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hristianzubcic/Documents/Monash University/2023/Semester 2/FYP/FYP/tandf_scripts/"/>
    </mc:Choice>
  </mc:AlternateContent>
  <xr:revisionPtr revIDLastSave="0" documentId="8_{B7D0D5E2-E0D8-A949-9CF2-6AC226275B34}" xr6:coauthVersionLast="47" xr6:coauthVersionMax="47" xr10:uidLastSave="{00000000-0000-0000-0000-000000000000}"/>
  <bookViews>
    <workbookView xWindow="360" yWindow="760" windowWidth="15340" windowHeight="936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F57"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F100"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F116" i="1"/>
  <c r="BT116" i="1"/>
  <c r="BF117"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F160" i="1"/>
  <c r="BT160" i="1"/>
  <c r="BF161" i="1"/>
  <c r="BT161" i="1"/>
  <c r="BF162" i="1"/>
  <c r="BT162" i="1"/>
  <c r="BF163" i="1"/>
  <c r="BT163" i="1"/>
  <c r="BF164" i="1"/>
  <c r="BT164" i="1"/>
  <c r="BF165" i="1"/>
  <c r="BT165" i="1"/>
  <c r="BF166" i="1"/>
  <c r="BT166" i="1"/>
  <c r="BF167" i="1"/>
  <c r="BT167" i="1"/>
  <c r="BF168" i="1"/>
  <c r="BT168" i="1"/>
  <c r="BF169" i="1"/>
  <c r="BT169" i="1"/>
  <c r="BF170" i="1"/>
  <c r="BT170" i="1"/>
  <c r="BF171" i="1"/>
  <c r="BT171" i="1"/>
  <c r="BF172" i="1"/>
  <c r="BT172" i="1"/>
  <c r="BF173" i="1"/>
  <c r="BT173" i="1"/>
  <c r="BF174" i="1"/>
  <c r="BT174" i="1"/>
  <c r="BF175" i="1"/>
  <c r="BT175" i="1"/>
  <c r="BF176" i="1"/>
  <c r="BT176" i="1"/>
  <c r="BF177" i="1"/>
  <c r="BT177" i="1"/>
  <c r="BF178" i="1"/>
  <c r="BT178" i="1"/>
  <c r="BF179" i="1"/>
  <c r="BT179" i="1"/>
  <c r="BF180" i="1"/>
  <c r="BT180" i="1"/>
  <c r="BF181"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 r="BF193" i="1"/>
  <c r="BT193" i="1"/>
  <c r="BF194" i="1"/>
  <c r="BT194" i="1"/>
  <c r="BF195" i="1"/>
  <c r="BT195" i="1"/>
  <c r="BF196" i="1"/>
  <c r="BT196" i="1"/>
  <c r="BF197" i="1"/>
  <c r="BT197" i="1"/>
  <c r="BF198" i="1"/>
  <c r="BT198" i="1"/>
  <c r="BF199" i="1"/>
  <c r="BT199" i="1"/>
  <c r="BF200" i="1"/>
  <c r="BT200" i="1"/>
  <c r="BF201" i="1"/>
  <c r="BT201" i="1"/>
  <c r="BF202" i="1"/>
  <c r="BT202" i="1"/>
  <c r="BF203" i="1"/>
  <c r="BT203" i="1"/>
  <c r="BF204" i="1"/>
  <c r="BT204" i="1"/>
  <c r="BF205" i="1"/>
  <c r="BT205" i="1"/>
  <c r="BF206"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F218"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 r="BF255" i="1"/>
  <c r="BT255" i="1"/>
  <c r="BF256" i="1"/>
  <c r="BT256" i="1"/>
  <c r="BF257" i="1"/>
  <c r="BT257" i="1"/>
  <c r="BF258" i="1"/>
  <c r="BT258" i="1"/>
  <c r="BF259" i="1"/>
  <c r="BT259" i="1"/>
  <c r="BF260" i="1"/>
  <c r="BT260" i="1"/>
  <c r="BF261" i="1"/>
  <c r="BT261" i="1"/>
  <c r="BF262" i="1"/>
  <c r="BT262" i="1"/>
  <c r="BF263" i="1"/>
  <c r="BT263" i="1"/>
  <c r="BF264" i="1"/>
  <c r="BT264" i="1"/>
  <c r="BF265" i="1"/>
  <c r="BT265" i="1"/>
  <c r="BF266" i="1"/>
  <c r="BT266" i="1"/>
  <c r="BF267" i="1"/>
  <c r="BT267" i="1"/>
  <c r="BF268" i="1"/>
  <c r="BT268" i="1"/>
  <c r="BF269" i="1"/>
  <c r="BT269" i="1"/>
  <c r="BF270" i="1"/>
  <c r="BT270" i="1"/>
  <c r="BF271" i="1"/>
  <c r="BT271" i="1"/>
  <c r="BF272" i="1"/>
  <c r="BT272" i="1"/>
  <c r="BF273" i="1"/>
  <c r="BT273" i="1"/>
  <c r="BF274" i="1"/>
  <c r="BT274" i="1"/>
  <c r="BF275" i="1"/>
  <c r="BT275" i="1"/>
  <c r="BF276" i="1"/>
  <c r="BT276" i="1"/>
  <c r="BF277" i="1"/>
  <c r="BT277" i="1"/>
  <c r="BF278" i="1"/>
  <c r="BT278" i="1"/>
  <c r="BF279" i="1"/>
  <c r="BT279" i="1"/>
  <c r="BF280" i="1"/>
  <c r="BT280" i="1"/>
  <c r="BF281" i="1"/>
  <c r="BT281" i="1"/>
  <c r="BF282" i="1"/>
  <c r="BT282" i="1"/>
  <c r="BF283" i="1"/>
  <c r="BT283" i="1"/>
  <c r="BF284" i="1"/>
  <c r="BT284" i="1"/>
  <c r="BF285" i="1"/>
  <c r="BT285" i="1"/>
  <c r="BF286" i="1"/>
  <c r="BT286" i="1"/>
  <c r="BF287" i="1"/>
  <c r="BT287" i="1"/>
  <c r="BF288" i="1"/>
  <c r="BT288" i="1"/>
  <c r="BF289" i="1"/>
  <c r="BT289" i="1"/>
  <c r="BF290" i="1"/>
  <c r="BT290" i="1"/>
  <c r="BF291" i="1"/>
  <c r="BT291" i="1"/>
  <c r="BF292" i="1"/>
  <c r="BT292" i="1"/>
  <c r="BF293" i="1"/>
  <c r="BT293" i="1"/>
  <c r="BF294" i="1"/>
  <c r="BT294" i="1"/>
  <c r="BF295" i="1"/>
  <c r="BT295" i="1"/>
  <c r="BF296" i="1"/>
  <c r="BT296" i="1"/>
  <c r="BF297" i="1"/>
  <c r="BT297" i="1"/>
  <c r="BF298" i="1"/>
  <c r="BT298" i="1"/>
  <c r="BF299" i="1"/>
  <c r="BT299" i="1"/>
  <c r="BF300" i="1"/>
  <c r="BT300" i="1"/>
  <c r="BF301" i="1"/>
  <c r="BT301" i="1"/>
  <c r="BF302" i="1"/>
  <c r="BT302" i="1"/>
  <c r="BF303" i="1"/>
  <c r="BT303" i="1"/>
  <c r="BF304" i="1"/>
  <c r="BT304" i="1"/>
  <c r="BF305" i="1"/>
  <c r="BT305" i="1"/>
  <c r="BF306" i="1"/>
  <c r="BT306" i="1"/>
  <c r="BF307" i="1"/>
  <c r="BT307" i="1"/>
  <c r="BF308" i="1"/>
  <c r="BT308" i="1"/>
  <c r="BF309" i="1"/>
  <c r="BT309" i="1"/>
  <c r="BF310" i="1"/>
  <c r="BT310" i="1"/>
  <c r="BF311" i="1"/>
  <c r="BT311" i="1"/>
  <c r="BF312" i="1"/>
  <c r="BT312" i="1"/>
  <c r="BF313" i="1"/>
  <c r="BT313" i="1"/>
  <c r="BF314" i="1"/>
  <c r="BT314" i="1"/>
  <c r="BF315" i="1"/>
  <c r="BT315" i="1"/>
  <c r="BF316" i="1"/>
  <c r="BT316" i="1"/>
  <c r="BF317" i="1"/>
  <c r="BT317" i="1"/>
  <c r="BF318" i="1"/>
  <c r="BT318" i="1"/>
  <c r="BF319" i="1"/>
  <c r="BT319" i="1"/>
  <c r="BF320" i="1"/>
  <c r="BT320" i="1"/>
  <c r="BF321" i="1"/>
  <c r="BT321" i="1"/>
  <c r="BF322" i="1"/>
  <c r="BT322" i="1"/>
  <c r="BF323" i="1"/>
  <c r="BT323" i="1"/>
  <c r="BF324" i="1"/>
  <c r="BT324" i="1"/>
  <c r="BF325" i="1"/>
  <c r="BT325" i="1"/>
  <c r="BF326" i="1"/>
  <c r="BT326" i="1"/>
  <c r="BF327" i="1"/>
  <c r="BT327" i="1"/>
  <c r="BF328" i="1"/>
  <c r="BT328" i="1"/>
  <c r="BF329" i="1"/>
  <c r="BT329" i="1"/>
  <c r="BF330" i="1"/>
  <c r="BT330" i="1"/>
  <c r="BF331" i="1"/>
  <c r="BT331" i="1"/>
  <c r="BF332" i="1"/>
  <c r="BT332" i="1"/>
  <c r="BF333" i="1"/>
  <c r="BT333" i="1"/>
  <c r="BF334" i="1"/>
  <c r="BT334" i="1"/>
  <c r="BF335" i="1"/>
  <c r="BT335" i="1"/>
  <c r="BF336" i="1"/>
  <c r="BT336" i="1"/>
  <c r="BF337" i="1"/>
  <c r="BT337" i="1"/>
  <c r="BF338" i="1"/>
  <c r="BT338" i="1"/>
  <c r="BF339" i="1"/>
  <c r="BT339" i="1"/>
  <c r="BF340" i="1"/>
  <c r="BT340" i="1"/>
  <c r="BF341" i="1"/>
  <c r="BT341" i="1"/>
  <c r="BF342" i="1"/>
  <c r="BT342" i="1"/>
  <c r="BF343" i="1"/>
  <c r="BT343" i="1"/>
  <c r="BF344" i="1"/>
  <c r="BT344" i="1"/>
  <c r="BF345" i="1"/>
  <c r="BT345" i="1"/>
  <c r="BF346"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F359" i="1"/>
  <c r="BT359" i="1"/>
  <c r="BF360" i="1"/>
  <c r="BT360" i="1"/>
  <c r="BF361" i="1"/>
  <c r="BT361" i="1"/>
  <c r="BF362" i="1"/>
  <c r="BT362" i="1"/>
  <c r="BF363" i="1"/>
  <c r="BT363" i="1"/>
  <c r="BF364" i="1"/>
  <c r="BT364" i="1"/>
  <c r="BF365" i="1"/>
  <c r="BT365" i="1"/>
  <c r="BF366" i="1"/>
  <c r="BT366" i="1"/>
  <c r="BF367" i="1"/>
  <c r="BT367" i="1"/>
  <c r="BF368" i="1"/>
  <c r="BT368" i="1"/>
  <c r="BF369" i="1"/>
  <c r="BT369" i="1"/>
  <c r="BF370" i="1"/>
  <c r="BT370" i="1"/>
  <c r="BF371" i="1"/>
  <c r="BT371" i="1"/>
  <c r="BF372" i="1"/>
  <c r="BT372" i="1"/>
  <c r="BF373" i="1"/>
  <c r="BT373" i="1"/>
  <c r="BF374" i="1"/>
  <c r="BT374" i="1"/>
  <c r="BF375" i="1"/>
  <c r="BT375" i="1"/>
  <c r="BF376" i="1"/>
  <c r="BT376" i="1"/>
  <c r="BF377" i="1"/>
  <c r="BT377" i="1"/>
  <c r="BF378" i="1"/>
  <c r="BT378" i="1"/>
  <c r="BF379" i="1"/>
  <c r="BT379" i="1"/>
  <c r="BF380" i="1"/>
  <c r="BT380" i="1"/>
  <c r="BF381" i="1"/>
  <c r="BT381" i="1"/>
  <c r="BF382" i="1"/>
  <c r="BT382" i="1"/>
  <c r="BF383" i="1"/>
  <c r="BT383" i="1"/>
  <c r="BF384" i="1"/>
  <c r="BT384" i="1"/>
  <c r="BF385" i="1"/>
  <c r="BT385" i="1"/>
  <c r="BF386" i="1"/>
  <c r="BT386" i="1"/>
  <c r="BF387" i="1"/>
  <c r="BT387" i="1"/>
  <c r="BF388" i="1"/>
  <c r="BT388" i="1"/>
  <c r="BF389" i="1"/>
  <c r="BT389" i="1"/>
  <c r="BF390" i="1"/>
  <c r="BT390" i="1"/>
  <c r="BF391" i="1"/>
  <c r="BT391" i="1"/>
  <c r="BF392" i="1"/>
  <c r="BT392" i="1"/>
  <c r="BF393" i="1"/>
  <c r="BT393" i="1"/>
  <c r="BF394" i="1"/>
  <c r="BT394" i="1"/>
  <c r="BF395" i="1"/>
  <c r="BT395" i="1"/>
  <c r="BF396" i="1"/>
  <c r="BT396" i="1"/>
  <c r="BF397" i="1"/>
  <c r="BT397" i="1"/>
  <c r="BF398" i="1"/>
  <c r="BT398" i="1"/>
  <c r="BF399" i="1"/>
  <c r="BT399" i="1"/>
  <c r="BF400" i="1"/>
  <c r="BT400" i="1"/>
  <c r="BF401" i="1"/>
  <c r="BT401" i="1"/>
  <c r="BF402" i="1"/>
  <c r="BT402" i="1"/>
  <c r="BF403" i="1"/>
  <c r="BT403" i="1"/>
  <c r="BF404" i="1"/>
  <c r="BT404" i="1"/>
  <c r="BF405" i="1"/>
  <c r="BT405" i="1"/>
  <c r="BF406" i="1"/>
  <c r="BT406" i="1"/>
  <c r="BF407" i="1"/>
  <c r="BT407" i="1"/>
  <c r="BF408" i="1"/>
  <c r="BT408" i="1"/>
  <c r="BF409" i="1"/>
  <c r="BT409" i="1"/>
  <c r="BF410"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F431" i="1"/>
  <c r="BT431" i="1"/>
  <c r="BF432" i="1"/>
  <c r="BT432" i="1"/>
  <c r="BF433" i="1"/>
  <c r="BT433" i="1"/>
  <c r="BF434" i="1"/>
  <c r="BT434" i="1"/>
  <c r="BF435" i="1"/>
  <c r="BT435" i="1"/>
  <c r="BF436" i="1"/>
  <c r="BT436" i="1"/>
  <c r="BF437" i="1"/>
  <c r="BT437" i="1"/>
  <c r="BF438" i="1"/>
  <c r="BT438" i="1"/>
  <c r="BF439" i="1"/>
  <c r="BT439" i="1"/>
  <c r="BF440" i="1"/>
  <c r="BT440" i="1"/>
  <c r="BF441" i="1"/>
  <c r="BT441" i="1"/>
  <c r="BF442" i="1"/>
  <c r="BT442" i="1"/>
  <c r="BF443" i="1"/>
  <c r="BT443" i="1"/>
  <c r="BF444" i="1"/>
  <c r="BT444" i="1"/>
  <c r="BF445" i="1"/>
  <c r="BT445" i="1"/>
  <c r="BF446" i="1"/>
  <c r="BT446" i="1"/>
  <c r="BF447" i="1"/>
  <c r="BT447" i="1"/>
  <c r="BF448" i="1"/>
  <c r="BT448" i="1"/>
  <c r="BF449" i="1"/>
  <c r="BT449" i="1"/>
  <c r="BF450" i="1"/>
  <c r="BT450" i="1"/>
  <c r="BF451" i="1"/>
  <c r="BT451" i="1"/>
  <c r="BF452" i="1"/>
  <c r="BT452" i="1"/>
  <c r="BF453" i="1"/>
  <c r="BT453" i="1"/>
  <c r="BF454" i="1"/>
  <c r="BT454" i="1"/>
  <c r="BF455" i="1"/>
  <c r="BT455" i="1"/>
  <c r="BF456" i="1"/>
  <c r="BT456" i="1"/>
  <c r="BF457"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F472" i="1"/>
  <c r="BT472" i="1"/>
  <c r="BF473" i="1"/>
  <c r="BT473" i="1"/>
  <c r="BF474" i="1"/>
  <c r="BT474" i="1"/>
  <c r="BF475" i="1"/>
  <c r="BT475" i="1"/>
  <c r="BF476" i="1"/>
  <c r="BT476" i="1"/>
  <c r="BF477" i="1"/>
  <c r="BT477" i="1"/>
  <c r="BF478" i="1"/>
  <c r="BT478" i="1"/>
  <c r="BF479" i="1"/>
  <c r="BT479" i="1"/>
  <c r="BF480" i="1"/>
  <c r="BT480" i="1"/>
  <c r="BF481" i="1"/>
  <c r="BT481" i="1"/>
  <c r="BF482" i="1"/>
  <c r="BT482" i="1"/>
  <c r="BF483" i="1"/>
  <c r="BT483" i="1"/>
  <c r="BF484" i="1"/>
  <c r="BT484" i="1"/>
  <c r="BF485" i="1"/>
  <c r="BT485" i="1"/>
  <c r="BF486" i="1"/>
  <c r="BT486" i="1"/>
  <c r="BF487" i="1"/>
  <c r="BT487" i="1"/>
  <c r="BF488" i="1"/>
  <c r="BT488" i="1"/>
  <c r="BF489" i="1"/>
  <c r="BT489" i="1"/>
  <c r="BF490" i="1"/>
  <c r="BT490" i="1"/>
  <c r="BF491" i="1"/>
  <c r="BT491" i="1"/>
  <c r="BF492" i="1"/>
  <c r="BT492" i="1"/>
  <c r="BF493" i="1"/>
  <c r="BT493" i="1"/>
  <c r="BF494" i="1"/>
  <c r="BT494" i="1"/>
  <c r="BF495" i="1"/>
  <c r="BT495" i="1"/>
  <c r="BF496" i="1"/>
  <c r="BT496" i="1"/>
  <c r="BF497" i="1"/>
  <c r="BT497" i="1"/>
  <c r="BF498" i="1"/>
  <c r="BT498" i="1"/>
  <c r="BF499" i="1"/>
  <c r="BT499" i="1"/>
  <c r="BF500" i="1"/>
  <c r="BT500" i="1"/>
  <c r="BF501" i="1"/>
  <c r="BT501" i="1"/>
  <c r="BF502" i="1"/>
  <c r="BT502" i="1"/>
  <c r="BF503" i="1"/>
  <c r="BT503" i="1"/>
  <c r="BF504" i="1"/>
  <c r="BT504" i="1"/>
  <c r="BF505" i="1"/>
  <c r="BT505" i="1"/>
  <c r="BF506" i="1"/>
  <c r="BT506" i="1"/>
  <c r="BF507" i="1"/>
  <c r="BT507" i="1"/>
  <c r="BF508" i="1"/>
  <c r="BT508" i="1"/>
  <c r="BF509" i="1"/>
  <c r="BT509" i="1"/>
  <c r="BF510" i="1"/>
  <c r="BT510" i="1"/>
  <c r="BF511" i="1"/>
  <c r="BT511" i="1"/>
  <c r="BF512" i="1"/>
  <c r="BT512" i="1"/>
  <c r="BF513" i="1"/>
  <c r="BT513" i="1"/>
  <c r="BF514" i="1"/>
  <c r="BT514" i="1"/>
  <c r="BF515" i="1"/>
  <c r="BT515" i="1"/>
  <c r="BF516" i="1"/>
  <c r="BT516" i="1"/>
  <c r="BF517" i="1"/>
  <c r="BT517" i="1"/>
  <c r="BF518" i="1"/>
  <c r="BT518" i="1"/>
  <c r="BF519" i="1"/>
  <c r="BT519" i="1"/>
  <c r="BF520" i="1"/>
  <c r="BT520" i="1"/>
  <c r="BF521" i="1"/>
  <c r="BT521" i="1"/>
  <c r="BF522" i="1"/>
  <c r="BT522" i="1"/>
  <c r="BF523" i="1"/>
  <c r="BT523" i="1"/>
  <c r="BF524" i="1"/>
  <c r="BT524" i="1"/>
  <c r="BF525" i="1"/>
  <c r="BT525" i="1"/>
  <c r="BF526" i="1"/>
  <c r="BT526" i="1"/>
  <c r="BF527" i="1"/>
  <c r="BT527" i="1"/>
  <c r="BF528" i="1"/>
  <c r="BT528" i="1"/>
  <c r="BF529" i="1"/>
  <c r="BT529" i="1"/>
  <c r="BF530" i="1"/>
  <c r="BT530" i="1"/>
  <c r="BF531" i="1"/>
  <c r="BT531" i="1"/>
  <c r="BF532" i="1"/>
  <c r="BT532" i="1"/>
  <c r="BF533" i="1"/>
  <c r="BT533" i="1"/>
  <c r="BF534" i="1"/>
  <c r="BT534" i="1"/>
  <c r="BF535" i="1"/>
  <c r="BT535" i="1"/>
  <c r="BF536" i="1"/>
  <c r="BT536" i="1"/>
  <c r="BF537" i="1"/>
  <c r="BT537" i="1"/>
  <c r="BF538" i="1"/>
  <c r="BT538" i="1"/>
  <c r="BF539" i="1"/>
  <c r="BT539" i="1"/>
  <c r="BF540" i="1"/>
  <c r="BT540" i="1"/>
  <c r="BF541" i="1"/>
  <c r="BT541" i="1"/>
  <c r="BF542" i="1"/>
  <c r="BT542" i="1"/>
  <c r="BF543" i="1"/>
  <c r="BT543" i="1"/>
  <c r="BF544" i="1"/>
  <c r="BT544" i="1"/>
  <c r="BF545" i="1"/>
  <c r="BT545" i="1"/>
  <c r="BF546" i="1"/>
  <c r="BT546" i="1"/>
  <c r="BF547" i="1"/>
  <c r="BT547" i="1"/>
  <c r="BF548" i="1"/>
  <c r="BT548" i="1"/>
  <c r="BF549" i="1"/>
  <c r="BT549" i="1"/>
  <c r="BF550" i="1"/>
  <c r="BT550" i="1"/>
  <c r="BF551" i="1"/>
  <c r="BT551" i="1"/>
  <c r="BF552" i="1"/>
  <c r="BT552" i="1"/>
  <c r="BF553" i="1"/>
  <c r="BT553" i="1"/>
  <c r="BF554" i="1"/>
  <c r="BT554" i="1"/>
  <c r="BF555" i="1"/>
  <c r="BT555" i="1"/>
  <c r="BF556" i="1"/>
  <c r="BT556" i="1"/>
  <c r="BF557" i="1"/>
  <c r="BT557" i="1"/>
  <c r="BF558" i="1"/>
  <c r="BT558" i="1"/>
  <c r="BF559" i="1"/>
  <c r="BT559" i="1"/>
  <c r="BF560" i="1"/>
  <c r="BT560" i="1"/>
  <c r="BF561" i="1"/>
  <c r="BT561" i="1"/>
  <c r="BF562" i="1"/>
  <c r="BT562" i="1"/>
  <c r="BF563" i="1"/>
  <c r="BT563" i="1"/>
  <c r="BF564" i="1"/>
  <c r="BT564" i="1"/>
  <c r="BF565" i="1"/>
  <c r="BT565" i="1"/>
  <c r="BF566" i="1"/>
  <c r="BT566" i="1"/>
  <c r="BF567" i="1"/>
  <c r="BT567" i="1"/>
  <c r="BF568" i="1"/>
  <c r="BT568" i="1"/>
  <c r="BF569" i="1"/>
  <c r="BT569" i="1"/>
  <c r="BF570" i="1"/>
  <c r="BT570" i="1"/>
  <c r="BF571" i="1"/>
  <c r="BT571" i="1"/>
  <c r="BF572" i="1"/>
  <c r="BT572" i="1"/>
  <c r="BF573" i="1"/>
  <c r="BT573" i="1"/>
  <c r="BF574" i="1"/>
  <c r="BT574" i="1"/>
  <c r="BF575" i="1"/>
  <c r="BT575" i="1"/>
  <c r="BF576" i="1"/>
  <c r="BT576" i="1"/>
  <c r="BF577" i="1"/>
  <c r="BT577" i="1"/>
  <c r="BF578" i="1"/>
  <c r="BT578" i="1"/>
  <c r="BF579" i="1"/>
  <c r="BT579" i="1"/>
  <c r="BF580" i="1"/>
  <c r="BT580" i="1"/>
  <c r="BF581" i="1"/>
  <c r="BT581" i="1"/>
  <c r="BF582" i="1"/>
  <c r="BT582" i="1"/>
  <c r="BF583" i="1"/>
  <c r="BT583" i="1"/>
  <c r="BF584" i="1"/>
  <c r="BT584" i="1"/>
  <c r="BF585" i="1"/>
  <c r="BT585" i="1"/>
  <c r="BF586" i="1"/>
  <c r="BT586" i="1"/>
  <c r="BF587" i="1"/>
  <c r="BT587" i="1"/>
  <c r="BF588" i="1"/>
  <c r="BT588" i="1"/>
  <c r="BF589" i="1"/>
  <c r="BT589" i="1"/>
  <c r="BF590" i="1"/>
  <c r="BT590" i="1"/>
  <c r="BF591" i="1"/>
  <c r="BT591" i="1"/>
  <c r="BF592" i="1"/>
  <c r="BT592" i="1"/>
  <c r="BF593" i="1"/>
  <c r="BT593" i="1"/>
  <c r="BF594" i="1"/>
  <c r="BT594" i="1"/>
  <c r="BF595" i="1"/>
  <c r="BT595" i="1"/>
  <c r="BF596" i="1"/>
  <c r="BT596" i="1"/>
  <c r="BF597" i="1"/>
  <c r="BT597" i="1"/>
  <c r="BF598" i="1"/>
  <c r="BT598" i="1"/>
  <c r="BF599" i="1"/>
  <c r="BT599" i="1"/>
  <c r="BF600" i="1"/>
  <c r="BT600" i="1"/>
  <c r="BF601" i="1"/>
  <c r="BT601" i="1"/>
  <c r="BF602" i="1"/>
  <c r="BT602" i="1"/>
  <c r="BF603" i="1"/>
  <c r="BT603" i="1"/>
  <c r="BF604" i="1"/>
  <c r="BT604" i="1"/>
  <c r="BF605" i="1"/>
  <c r="BT605" i="1"/>
  <c r="BF606" i="1"/>
  <c r="BT606" i="1"/>
  <c r="BF607" i="1"/>
  <c r="BT607" i="1"/>
  <c r="BF608" i="1"/>
  <c r="BT608" i="1"/>
  <c r="BF609" i="1"/>
  <c r="BT609" i="1"/>
  <c r="BF610" i="1"/>
  <c r="BT610" i="1"/>
  <c r="BF611" i="1"/>
  <c r="BT611" i="1"/>
  <c r="BF612" i="1"/>
  <c r="BT612" i="1"/>
  <c r="BF613" i="1"/>
  <c r="BT613" i="1"/>
  <c r="BF614" i="1"/>
  <c r="BT614" i="1"/>
  <c r="BF615" i="1"/>
  <c r="BT615" i="1"/>
  <c r="BF616" i="1"/>
  <c r="BT616" i="1"/>
  <c r="BF617" i="1"/>
  <c r="BT617" i="1"/>
  <c r="BF618" i="1"/>
  <c r="BT618" i="1"/>
  <c r="BF619" i="1"/>
  <c r="BT619" i="1"/>
  <c r="BF620" i="1"/>
  <c r="BT620" i="1"/>
  <c r="BF621" i="1"/>
  <c r="BT621" i="1"/>
  <c r="BF622" i="1"/>
  <c r="BT622" i="1"/>
  <c r="BF623" i="1"/>
  <c r="BT623" i="1"/>
  <c r="BF624" i="1"/>
  <c r="BT624" i="1"/>
  <c r="BF625" i="1"/>
  <c r="BT625" i="1"/>
  <c r="BF626" i="1"/>
  <c r="BT626" i="1"/>
  <c r="BF627" i="1"/>
  <c r="BT627" i="1"/>
  <c r="BF628" i="1"/>
  <c r="BT628" i="1"/>
  <c r="BF629" i="1"/>
  <c r="BT629" i="1"/>
  <c r="BF630" i="1"/>
  <c r="BT630" i="1"/>
  <c r="BF631" i="1"/>
  <c r="BT631" i="1"/>
  <c r="BF632" i="1"/>
  <c r="BT632" i="1"/>
  <c r="BF633" i="1"/>
  <c r="BT633" i="1"/>
  <c r="BF634" i="1"/>
  <c r="BT634" i="1"/>
  <c r="BF635" i="1"/>
  <c r="BT635" i="1"/>
  <c r="BF636" i="1"/>
  <c r="BT636" i="1"/>
  <c r="BF637" i="1"/>
  <c r="BT637" i="1"/>
  <c r="BF638" i="1"/>
  <c r="BT638" i="1"/>
  <c r="BF639" i="1"/>
  <c r="BT639" i="1"/>
  <c r="BF640" i="1"/>
  <c r="BT640" i="1"/>
  <c r="BF641" i="1"/>
  <c r="BT641" i="1"/>
  <c r="BF642" i="1"/>
  <c r="BT642" i="1"/>
  <c r="BF643" i="1"/>
  <c r="BT643" i="1"/>
  <c r="BF644" i="1"/>
  <c r="BT644" i="1"/>
  <c r="BF645" i="1"/>
  <c r="BT645" i="1"/>
  <c r="BF646" i="1"/>
  <c r="BT646" i="1"/>
  <c r="BF647" i="1"/>
  <c r="BT647" i="1"/>
  <c r="BF648" i="1"/>
  <c r="BT648" i="1"/>
  <c r="BF649" i="1"/>
  <c r="BT649" i="1"/>
  <c r="BF650" i="1"/>
  <c r="BT650" i="1"/>
  <c r="BF651" i="1"/>
  <c r="BT651" i="1"/>
  <c r="BF652" i="1"/>
  <c r="BT652" i="1"/>
  <c r="BF653" i="1"/>
  <c r="BT653" i="1"/>
  <c r="BF654" i="1"/>
  <c r="BT654" i="1"/>
  <c r="BF655" i="1"/>
  <c r="BT655" i="1"/>
  <c r="BF656" i="1"/>
  <c r="BT656" i="1"/>
  <c r="BF657" i="1"/>
  <c r="BT657" i="1"/>
  <c r="BF658" i="1"/>
  <c r="BT658" i="1"/>
  <c r="BF659" i="1"/>
  <c r="BT659" i="1"/>
  <c r="BF660" i="1"/>
  <c r="BT660" i="1"/>
  <c r="BF661" i="1"/>
  <c r="BT661" i="1"/>
  <c r="BF662" i="1"/>
  <c r="BT662" i="1"/>
  <c r="BF663" i="1"/>
  <c r="BT663" i="1"/>
  <c r="BF664" i="1"/>
  <c r="BT664" i="1"/>
  <c r="BF665" i="1"/>
  <c r="BT665" i="1"/>
  <c r="BF666" i="1"/>
  <c r="BT666" i="1"/>
  <c r="BF667" i="1"/>
  <c r="BT667" i="1"/>
  <c r="BF668" i="1"/>
  <c r="BT668" i="1"/>
  <c r="BF669" i="1"/>
  <c r="BT669" i="1"/>
  <c r="BF670" i="1"/>
  <c r="BT670" i="1"/>
  <c r="BF671" i="1"/>
  <c r="BT671" i="1"/>
  <c r="BF672" i="1"/>
  <c r="BT672" i="1"/>
  <c r="BF673" i="1"/>
  <c r="BT673" i="1"/>
  <c r="BF674" i="1"/>
  <c r="BT674" i="1"/>
  <c r="BF675" i="1"/>
  <c r="BT675" i="1"/>
  <c r="BF676" i="1"/>
  <c r="BT676" i="1"/>
  <c r="BF677" i="1"/>
  <c r="BT677" i="1"/>
  <c r="BF678" i="1"/>
  <c r="BT678" i="1"/>
  <c r="BF679" i="1"/>
  <c r="BT679" i="1"/>
  <c r="BF680" i="1"/>
  <c r="BT680" i="1"/>
  <c r="BF681" i="1"/>
  <c r="BT681" i="1"/>
  <c r="BF682" i="1"/>
  <c r="BT682" i="1"/>
  <c r="BF683" i="1"/>
  <c r="BT683" i="1"/>
  <c r="BF684" i="1"/>
  <c r="BT684" i="1"/>
  <c r="BF685" i="1"/>
  <c r="BT685" i="1"/>
  <c r="BF686" i="1"/>
  <c r="BT686" i="1"/>
  <c r="BF687" i="1"/>
  <c r="BT687" i="1"/>
  <c r="BF688" i="1"/>
  <c r="BT688" i="1"/>
  <c r="BF689" i="1"/>
  <c r="BT689" i="1"/>
  <c r="BF690" i="1"/>
  <c r="BT690" i="1"/>
  <c r="BF691" i="1"/>
  <c r="BT691" i="1"/>
  <c r="BF692" i="1"/>
  <c r="BT692" i="1"/>
  <c r="BF693" i="1"/>
  <c r="BT693" i="1"/>
  <c r="BF694" i="1"/>
  <c r="BT694" i="1"/>
  <c r="BF695" i="1"/>
  <c r="BT695" i="1"/>
  <c r="BF696" i="1"/>
  <c r="BT696" i="1"/>
  <c r="BF697" i="1"/>
  <c r="BT697" i="1"/>
  <c r="BF698" i="1"/>
  <c r="BT698" i="1"/>
  <c r="BF699" i="1"/>
  <c r="BT699" i="1"/>
  <c r="BF700" i="1"/>
  <c r="BT700" i="1"/>
  <c r="BF701" i="1"/>
  <c r="BT701" i="1"/>
  <c r="BF702" i="1"/>
  <c r="BT702" i="1"/>
  <c r="BF703" i="1"/>
  <c r="BT703" i="1"/>
  <c r="BF704" i="1"/>
  <c r="BT704" i="1"/>
  <c r="BF705" i="1"/>
  <c r="BT705" i="1"/>
  <c r="BF706" i="1"/>
  <c r="BT706" i="1"/>
  <c r="BF707" i="1"/>
  <c r="BT707" i="1"/>
  <c r="BF708" i="1"/>
  <c r="BT708" i="1"/>
  <c r="BF709" i="1"/>
  <c r="BT709" i="1"/>
  <c r="BF710" i="1"/>
  <c r="BT710" i="1"/>
  <c r="BF711" i="1"/>
  <c r="BT711" i="1"/>
  <c r="BF712" i="1"/>
  <c r="BT712" i="1"/>
  <c r="BF713" i="1"/>
  <c r="BT713" i="1"/>
  <c r="BF714" i="1"/>
  <c r="BT714" i="1"/>
  <c r="BF715" i="1"/>
  <c r="BT715" i="1"/>
  <c r="BF716" i="1"/>
  <c r="BT716" i="1"/>
  <c r="BF717" i="1"/>
  <c r="BT717" i="1"/>
  <c r="BF718" i="1"/>
  <c r="BT718" i="1"/>
  <c r="BF719" i="1"/>
  <c r="BT719" i="1"/>
  <c r="BF720" i="1"/>
  <c r="BT720" i="1"/>
  <c r="BF721" i="1"/>
  <c r="BT721" i="1"/>
  <c r="BF722" i="1"/>
  <c r="BT722" i="1"/>
  <c r="BF723" i="1"/>
  <c r="BT723" i="1"/>
  <c r="BF724" i="1"/>
  <c r="BT724" i="1"/>
  <c r="BF725" i="1"/>
  <c r="BT725" i="1"/>
  <c r="BF726" i="1"/>
  <c r="BT726" i="1"/>
  <c r="BF727" i="1"/>
  <c r="BT727" i="1"/>
  <c r="BF728" i="1"/>
  <c r="BT728" i="1"/>
  <c r="BF729" i="1"/>
  <c r="BT729" i="1"/>
  <c r="BF730" i="1"/>
  <c r="BT730" i="1"/>
  <c r="BF731" i="1"/>
  <c r="BT731" i="1"/>
  <c r="BF732" i="1"/>
  <c r="BT732" i="1"/>
  <c r="BF733" i="1"/>
  <c r="BT733" i="1"/>
  <c r="BF734" i="1"/>
  <c r="BT734" i="1"/>
  <c r="BF735" i="1"/>
  <c r="BT735" i="1"/>
  <c r="BF736" i="1"/>
  <c r="BT736" i="1"/>
  <c r="BF737" i="1"/>
  <c r="BT737" i="1"/>
  <c r="BF738" i="1"/>
  <c r="BT738" i="1"/>
  <c r="BF739" i="1"/>
  <c r="BT739" i="1"/>
  <c r="BF740" i="1"/>
  <c r="BT740" i="1"/>
  <c r="BF741" i="1"/>
  <c r="BT741" i="1"/>
  <c r="BF742" i="1"/>
  <c r="BT742" i="1"/>
  <c r="BF743" i="1"/>
  <c r="BT743" i="1"/>
  <c r="BF744" i="1"/>
  <c r="BT744" i="1"/>
  <c r="BF745" i="1"/>
  <c r="BT745" i="1"/>
  <c r="BF746" i="1"/>
  <c r="BT746" i="1"/>
  <c r="BF747" i="1"/>
  <c r="BT747" i="1"/>
  <c r="BF748" i="1"/>
  <c r="BT748" i="1"/>
  <c r="BF749" i="1"/>
  <c r="BT749" i="1"/>
  <c r="BF750" i="1"/>
  <c r="BT750" i="1"/>
  <c r="BF751" i="1"/>
  <c r="BT751" i="1"/>
  <c r="BF752" i="1"/>
  <c r="BT752" i="1"/>
  <c r="BF753" i="1"/>
  <c r="BT753" i="1"/>
  <c r="BF754" i="1"/>
  <c r="BT754" i="1"/>
  <c r="BF755" i="1"/>
  <c r="BT755" i="1"/>
  <c r="BF756" i="1"/>
  <c r="BT756" i="1"/>
  <c r="BF757" i="1"/>
  <c r="BT757" i="1"/>
  <c r="BF758" i="1"/>
  <c r="BT758" i="1"/>
  <c r="BF759" i="1"/>
  <c r="BT759" i="1"/>
  <c r="BF760" i="1"/>
  <c r="BT760" i="1"/>
  <c r="BF761" i="1"/>
  <c r="BT761" i="1"/>
  <c r="BF762" i="1"/>
  <c r="BT762" i="1"/>
  <c r="BF763" i="1"/>
  <c r="BT763" i="1"/>
  <c r="BF764" i="1"/>
  <c r="BT764" i="1"/>
  <c r="BF765" i="1"/>
  <c r="BT765" i="1"/>
  <c r="BF766" i="1"/>
  <c r="BT766" i="1"/>
  <c r="BF767" i="1"/>
  <c r="BT767" i="1"/>
  <c r="BF768" i="1"/>
  <c r="BT768" i="1"/>
  <c r="BF769" i="1"/>
  <c r="BT769" i="1"/>
  <c r="BF770" i="1"/>
  <c r="BT770" i="1"/>
  <c r="BF771" i="1"/>
  <c r="BT771" i="1"/>
  <c r="BF772" i="1"/>
  <c r="BT772" i="1"/>
  <c r="BF773" i="1"/>
  <c r="BT773" i="1"/>
  <c r="BF774" i="1"/>
  <c r="BT774" i="1"/>
  <c r="BF775" i="1"/>
  <c r="BT775" i="1"/>
  <c r="BF776" i="1"/>
  <c r="BT776" i="1"/>
  <c r="BF777" i="1"/>
  <c r="BT777" i="1"/>
  <c r="BF778" i="1"/>
  <c r="BT778" i="1"/>
  <c r="BF779" i="1"/>
  <c r="BT779" i="1"/>
  <c r="BF780" i="1"/>
  <c r="BT780" i="1"/>
  <c r="BF781" i="1"/>
  <c r="BT781" i="1"/>
  <c r="BF782" i="1"/>
  <c r="BT782" i="1"/>
  <c r="BF783" i="1"/>
  <c r="BT783" i="1"/>
  <c r="BF784" i="1"/>
  <c r="BT784" i="1"/>
  <c r="BF785" i="1"/>
  <c r="BT785" i="1"/>
  <c r="BF786" i="1"/>
  <c r="BT786" i="1"/>
  <c r="BF787" i="1"/>
  <c r="BT787" i="1"/>
  <c r="BF788" i="1"/>
  <c r="BT788" i="1"/>
  <c r="BF789" i="1"/>
  <c r="BT789" i="1"/>
  <c r="BF790" i="1"/>
  <c r="BT790" i="1"/>
  <c r="BF791" i="1"/>
  <c r="BT791" i="1"/>
  <c r="BF792" i="1"/>
  <c r="BT792" i="1"/>
  <c r="BF793" i="1"/>
  <c r="BT793" i="1"/>
  <c r="BF794" i="1"/>
  <c r="BT794" i="1"/>
  <c r="BF795" i="1"/>
  <c r="BT795" i="1"/>
  <c r="BF796" i="1"/>
  <c r="BT796" i="1"/>
  <c r="BF797" i="1"/>
  <c r="BT797" i="1"/>
  <c r="BF798" i="1"/>
  <c r="BT798" i="1"/>
  <c r="BF799" i="1"/>
  <c r="BT799" i="1"/>
  <c r="BF800" i="1"/>
  <c r="BT800" i="1"/>
  <c r="BF801" i="1"/>
  <c r="BT801" i="1"/>
  <c r="BF802" i="1"/>
  <c r="BT802" i="1"/>
  <c r="BF803" i="1"/>
  <c r="BT803" i="1"/>
  <c r="BF804" i="1"/>
  <c r="BT804" i="1"/>
  <c r="BF805" i="1"/>
  <c r="BT805" i="1"/>
  <c r="BF806" i="1"/>
  <c r="BT806" i="1"/>
  <c r="BF807" i="1"/>
  <c r="BT807" i="1"/>
  <c r="BF808" i="1"/>
  <c r="BT808" i="1"/>
  <c r="BF809" i="1"/>
  <c r="BT809" i="1"/>
  <c r="BF810" i="1"/>
  <c r="BT810" i="1"/>
  <c r="BF811" i="1"/>
  <c r="BT811" i="1"/>
  <c r="BF812" i="1"/>
  <c r="BT812" i="1"/>
  <c r="BF813" i="1"/>
  <c r="BT813" i="1"/>
  <c r="BF814" i="1"/>
  <c r="BT814" i="1"/>
  <c r="BF815" i="1"/>
  <c r="BT815" i="1"/>
  <c r="BF816" i="1"/>
  <c r="BT816" i="1"/>
  <c r="BF817" i="1"/>
  <c r="BT817" i="1"/>
  <c r="BF818" i="1"/>
  <c r="BT818" i="1"/>
  <c r="BF819" i="1"/>
  <c r="BT819" i="1"/>
  <c r="BF820" i="1"/>
  <c r="BT820" i="1"/>
  <c r="BF821" i="1"/>
  <c r="BT821" i="1"/>
  <c r="BF822" i="1"/>
  <c r="BT822" i="1"/>
  <c r="BF823" i="1"/>
  <c r="BT823" i="1"/>
  <c r="BF824" i="1"/>
  <c r="BT824" i="1"/>
  <c r="BF825" i="1"/>
  <c r="BT825" i="1"/>
  <c r="BF826" i="1"/>
  <c r="BT826" i="1"/>
  <c r="BF827" i="1"/>
  <c r="BT827" i="1"/>
  <c r="BF828" i="1"/>
  <c r="BT828" i="1"/>
  <c r="BF829" i="1"/>
  <c r="BT829" i="1"/>
  <c r="BF830" i="1"/>
  <c r="BT830" i="1"/>
  <c r="BF831" i="1"/>
  <c r="BT831" i="1"/>
  <c r="BF832" i="1"/>
  <c r="BT832" i="1"/>
  <c r="BF833" i="1"/>
  <c r="BT833" i="1"/>
  <c r="BF834" i="1"/>
  <c r="BT834" i="1"/>
  <c r="BF835" i="1"/>
  <c r="BT835" i="1"/>
  <c r="BF836" i="1"/>
  <c r="BT836" i="1"/>
  <c r="BF837" i="1"/>
  <c r="BT837" i="1"/>
  <c r="BF838" i="1"/>
  <c r="BT838" i="1"/>
  <c r="BF839" i="1"/>
  <c r="BT839" i="1"/>
  <c r="BF840" i="1"/>
  <c r="BT840" i="1"/>
  <c r="BF841" i="1"/>
  <c r="BT841" i="1"/>
  <c r="BF842" i="1"/>
  <c r="BT842" i="1"/>
  <c r="BF843" i="1"/>
  <c r="BT843" i="1"/>
  <c r="BF844" i="1"/>
  <c r="BT844" i="1"/>
  <c r="BF845" i="1"/>
  <c r="BT845" i="1"/>
  <c r="BF846" i="1"/>
  <c r="BT846" i="1"/>
  <c r="BF847" i="1"/>
  <c r="BT847" i="1"/>
  <c r="BF848" i="1"/>
  <c r="BT848" i="1"/>
  <c r="BF849" i="1"/>
  <c r="BT849" i="1"/>
  <c r="BF850" i="1"/>
  <c r="BT850" i="1"/>
  <c r="BF851" i="1"/>
  <c r="BT851" i="1"/>
  <c r="BF852" i="1"/>
  <c r="BT852" i="1"/>
  <c r="BF853" i="1"/>
  <c r="BT853" i="1"/>
  <c r="BF854" i="1"/>
  <c r="BT854" i="1"/>
  <c r="BF855" i="1"/>
  <c r="BT855" i="1"/>
  <c r="BF856" i="1"/>
  <c r="BT856" i="1"/>
  <c r="BF857" i="1"/>
  <c r="BT857" i="1"/>
  <c r="BF858" i="1"/>
  <c r="BT858" i="1"/>
  <c r="BF859" i="1"/>
  <c r="BT859" i="1"/>
  <c r="BF860" i="1"/>
  <c r="BT860" i="1"/>
  <c r="BF861" i="1"/>
  <c r="BT861" i="1"/>
  <c r="BF862" i="1"/>
  <c r="BT862" i="1"/>
  <c r="BF863" i="1"/>
  <c r="BT863" i="1"/>
  <c r="BF864" i="1"/>
  <c r="BT864" i="1"/>
  <c r="BF865" i="1"/>
  <c r="BT865" i="1"/>
  <c r="BF866" i="1"/>
  <c r="BT866" i="1"/>
  <c r="BF867" i="1"/>
  <c r="BT867" i="1"/>
  <c r="BF868" i="1"/>
  <c r="BT868" i="1"/>
  <c r="BF869" i="1"/>
  <c r="BT869" i="1"/>
  <c r="BF870" i="1"/>
  <c r="BT870" i="1"/>
  <c r="BF871" i="1"/>
  <c r="BT871" i="1"/>
  <c r="BF872" i="1"/>
  <c r="BT872" i="1"/>
  <c r="BF873" i="1"/>
  <c r="BT873" i="1"/>
  <c r="BF874" i="1"/>
  <c r="BT874" i="1"/>
  <c r="BF875" i="1"/>
  <c r="BT875" i="1"/>
  <c r="BF876" i="1"/>
  <c r="BT876" i="1"/>
  <c r="BF877" i="1"/>
  <c r="BT877" i="1"/>
  <c r="BF878" i="1"/>
  <c r="BT878" i="1"/>
  <c r="BF879" i="1"/>
  <c r="BT879" i="1"/>
  <c r="BF880" i="1"/>
  <c r="BT880" i="1"/>
  <c r="BF881" i="1"/>
  <c r="BT881" i="1"/>
  <c r="BF882" i="1"/>
  <c r="BT882" i="1"/>
  <c r="BF883" i="1"/>
  <c r="BT883" i="1"/>
  <c r="BF884" i="1"/>
  <c r="BT884" i="1"/>
  <c r="BF885" i="1"/>
  <c r="BT885" i="1"/>
  <c r="BF886" i="1"/>
  <c r="BT886" i="1"/>
  <c r="BF887" i="1"/>
  <c r="BT887" i="1"/>
  <c r="BF888" i="1"/>
  <c r="BT888" i="1"/>
  <c r="BF889" i="1"/>
  <c r="BT889" i="1"/>
  <c r="BF890" i="1"/>
  <c r="BT890" i="1"/>
  <c r="BF891" i="1"/>
  <c r="BT891" i="1"/>
  <c r="BF892" i="1"/>
  <c r="BT892" i="1"/>
  <c r="BF893" i="1"/>
  <c r="BT893" i="1"/>
  <c r="BF894" i="1"/>
  <c r="BT894" i="1"/>
  <c r="BF895" i="1"/>
  <c r="BT895" i="1"/>
  <c r="BF896" i="1"/>
  <c r="BT896" i="1"/>
  <c r="BF897" i="1"/>
  <c r="BT897" i="1"/>
  <c r="BF898" i="1"/>
  <c r="BT898" i="1"/>
  <c r="BF899" i="1"/>
  <c r="BT899" i="1"/>
  <c r="BF900" i="1"/>
  <c r="BT900" i="1"/>
  <c r="BF901" i="1"/>
  <c r="BT901" i="1"/>
  <c r="BF902" i="1"/>
  <c r="BT902" i="1"/>
  <c r="BF903" i="1"/>
  <c r="BT903" i="1"/>
  <c r="BF904" i="1"/>
  <c r="BT904" i="1"/>
  <c r="BF905" i="1"/>
  <c r="BT905" i="1"/>
  <c r="BF906" i="1"/>
  <c r="BT906" i="1"/>
  <c r="BF907" i="1"/>
  <c r="BT907" i="1"/>
  <c r="BF908" i="1"/>
  <c r="BT908" i="1"/>
  <c r="BF909" i="1"/>
  <c r="BT909" i="1"/>
  <c r="BF910" i="1"/>
  <c r="BT910" i="1"/>
  <c r="BF911" i="1"/>
  <c r="BT911" i="1"/>
  <c r="BF912" i="1"/>
  <c r="BT912" i="1"/>
  <c r="BF913" i="1"/>
  <c r="BT913" i="1"/>
  <c r="BF914" i="1"/>
  <c r="BT914" i="1"/>
  <c r="BF915" i="1"/>
  <c r="BT915" i="1"/>
  <c r="BF916" i="1"/>
  <c r="BT916" i="1"/>
  <c r="BF917" i="1"/>
  <c r="BT917" i="1"/>
  <c r="BF918" i="1"/>
  <c r="BT918" i="1"/>
  <c r="BF919" i="1"/>
  <c r="BT919" i="1"/>
  <c r="BF920" i="1"/>
  <c r="BT920" i="1"/>
  <c r="BF921" i="1"/>
  <c r="BT921" i="1"/>
  <c r="BF922" i="1"/>
  <c r="BT922" i="1"/>
  <c r="BF923" i="1"/>
  <c r="BT923" i="1"/>
  <c r="BF924" i="1"/>
  <c r="BT924" i="1"/>
  <c r="BF925" i="1"/>
  <c r="BT925" i="1"/>
  <c r="BF926" i="1"/>
  <c r="BT926" i="1"/>
  <c r="BF927" i="1"/>
  <c r="BT927" i="1"/>
  <c r="BF928" i="1"/>
  <c r="BT928" i="1"/>
  <c r="BF929" i="1"/>
  <c r="BT929" i="1"/>
  <c r="BF930" i="1"/>
  <c r="BT930" i="1"/>
  <c r="BF931" i="1"/>
  <c r="BT931" i="1"/>
  <c r="BF932" i="1"/>
  <c r="BT932" i="1"/>
  <c r="BF933" i="1"/>
  <c r="BT933" i="1"/>
  <c r="BF934" i="1"/>
  <c r="BT934" i="1"/>
  <c r="BF935" i="1"/>
  <c r="BT935" i="1"/>
  <c r="BF936" i="1"/>
  <c r="BT936" i="1"/>
  <c r="BF937" i="1"/>
  <c r="BT937" i="1"/>
  <c r="BF938" i="1"/>
  <c r="BT938" i="1"/>
  <c r="BF939" i="1"/>
  <c r="BT939" i="1"/>
  <c r="BF940" i="1"/>
  <c r="BT940" i="1"/>
  <c r="BF941" i="1"/>
  <c r="BT941" i="1"/>
  <c r="BF942" i="1"/>
  <c r="BT942" i="1"/>
  <c r="BF943" i="1"/>
  <c r="BT943" i="1"/>
  <c r="BF944" i="1"/>
  <c r="BT944" i="1"/>
  <c r="BF945" i="1"/>
  <c r="BT945" i="1"/>
  <c r="BF946" i="1"/>
  <c r="BT946" i="1"/>
  <c r="BF947" i="1"/>
  <c r="BT947" i="1"/>
  <c r="BF948" i="1"/>
  <c r="BT948" i="1"/>
  <c r="BT949" i="1"/>
  <c r="BF950" i="1"/>
  <c r="BT950" i="1"/>
  <c r="BF951" i="1"/>
  <c r="BT951" i="1"/>
  <c r="BF952" i="1"/>
  <c r="BT952" i="1"/>
  <c r="BF953" i="1"/>
  <c r="BT953" i="1"/>
  <c r="BF954" i="1"/>
  <c r="BT954" i="1"/>
  <c r="BF955" i="1"/>
  <c r="BT955" i="1"/>
  <c r="BF956" i="1"/>
  <c r="BT956" i="1"/>
  <c r="BT957" i="1"/>
  <c r="BF958" i="1"/>
  <c r="BT958" i="1"/>
  <c r="BF959" i="1"/>
  <c r="BT959" i="1"/>
  <c r="BF960" i="1"/>
  <c r="BT960" i="1"/>
  <c r="BF961" i="1"/>
  <c r="BT961" i="1"/>
  <c r="BF962" i="1"/>
  <c r="BT962" i="1"/>
  <c r="BF963" i="1"/>
  <c r="BT963" i="1"/>
  <c r="BF964" i="1"/>
  <c r="BT964" i="1"/>
  <c r="BF965" i="1"/>
  <c r="BT965" i="1"/>
  <c r="BF966" i="1"/>
  <c r="BT966" i="1"/>
  <c r="BF967" i="1"/>
  <c r="BT967" i="1"/>
  <c r="BF968" i="1"/>
  <c r="BT968" i="1"/>
  <c r="BF969" i="1"/>
  <c r="BT969" i="1"/>
  <c r="BF970" i="1"/>
  <c r="BT970" i="1"/>
  <c r="BF971" i="1"/>
  <c r="BT971" i="1"/>
  <c r="BF972" i="1"/>
  <c r="BT972" i="1"/>
  <c r="BF973" i="1"/>
  <c r="BT973" i="1"/>
  <c r="BF974" i="1"/>
  <c r="BT974" i="1"/>
  <c r="BF975" i="1"/>
  <c r="BT975" i="1"/>
  <c r="BF976" i="1"/>
  <c r="BT976" i="1"/>
  <c r="BF977" i="1"/>
  <c r="BT977" i="1"/>
  <c r="BF978" i="1"/>
  <c r="BT978" i="1"/>
  <c r="BF979" i="1"/>
  <c r="BT979" i="1"/>
  <c r="BF980" i="1"/>
  <c r="BT980" i="1"/>
  <c r="BF981" i="1"/>
  <c r="BT981" i="1"/>
  <c r="BF982" i="1"/>
  <c r="BT982" i="1"/>
  <c r="BF983" i="1"/>
  <c r="BT983" i="1"/>
  <c r="BF984" i="1"/>
  <c r="BT984" i="1"/>
  <c r="BF985" i="1"/>
  <c r="BT985" i="1"/>
  <c r="BF986" i="1"/>
  <c r="BT986" i="1"/>
  <c r="BF987" i="1"/>
  <c r="BT987" i="1"/>
  <c r="BF988" i="1"/>
  <c r="BT988" i="1"/>
  <c r="BF989" i="1"/>
  <c r="BT989" i="1"/>
  <c r="BF990" i="1"/>
  <c r="BT990" i="1"/>
  <c r="BF991" i="1"/>
  <c r="BT991" i="1"/>
  <c r="BF992" i="1"/>
  <c r="BT992" i="1"/>
  <c r="BF993" i="1"/>
  <c r="BT993" i="1"/>
  <c r="BF994" i="1"/>
  <c r="BT994" i="1"/>
  <c r="BF995" i="1"/>
  <c r="BT995" i="1"/>
  <c r="BF996" i="1"/>
  <c r="BT996" i="1"/>
  <c r="BF997" i="1"/>
  <c r="BT997" i="1"/>
  <c r="BF998" i="1"/>
  <c r="BT998" i="1"/>
  <c r="BF999" i="1"/>
  <c r="BT999" i="1"/>
  <c r="BF1000" i="1"/>
  <c r="BT1000" i="1"/>
  <c r="BF1001" i="1"/>
  <c r="BT1001" i="1"/>
</calcChain>
</file>

<file path=xl/sharedStrings.xml><?xml version="1.0" encoding="utf-8"?>
<sst xmlns="http://schemas.openxmlformats.org/spreadsheetml/2006/main" count="61164" uniqueCount="17787">
  <si>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</si>
  <si>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</si>
  <si>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</si>
  <si>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</si>
  <si>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</si>
  <si>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</si>
  <si>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</si>
  <si>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</si>
  <si>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</si>
  <si>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</si>
  <si>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</si>
  <si>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</si>
  <si>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</si>
  <si>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</si>
  <si>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</si>
  <si>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</si>
  <si>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</si>
  <si>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</si>
  <si>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</si>
  <si>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</si>
  <si>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</si>
  <si>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</si>
  <si>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</si>
  <si>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</si>
  <si>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</si>
  <si>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</si>
  <si>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</si>
  <si>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</si>
  <si>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</si>
  <si>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</si>
  <si>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</si>
  <si>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</si>
  <si>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</si>
  <si>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</si>
  <si>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</si>
  <si>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</si>
  <si>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</si>
  <si>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</si>
  <si>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</si>
  <si>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</si>
  <si>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</si>
  <si>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</si>
  <si>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</si>
  <si>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</si>
  <si>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</si>
  <si>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</si>
  <si>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</si>
  <si>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</si>
  <si>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</si>
  <si>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</si>
  <si>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</si>
  <si>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</si>
  <si>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</si>
  <si>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</si>
  <si>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</si>
  <si>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</si>
  <si>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</si>
  <si>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</si>
  <si>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</si>
  <si>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</si>
  <si>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</si>
  <si>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</si>
  <si>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</si>
  <si>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</si>
  <si>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</si>
  <si>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</si>
  <si>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</si>
  <si>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</si>
  <si>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</si>
  <si>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</si>
  <si>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</si>
  <si>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</si>
  <si>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</si>
  <si>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Abdulaal, WH; Hosny, KM; Alhakamy, NA; Bakhaidar, RB; Almuhanna, Y; Sabei, FY; Alissa, M; Majrashi, M; Alamoudi, JA; Hazzazi, MS; Jafer, A; Khallaf, RA</t>
  </si>
  <si>
    <t/>
  </si>
  <si>
    <t>Abdulaal, Wesam H.; Hosny, Khaled M.; Alhakamy, Nabil A.; Bakhaidar, Rana B.; Almuhanna, Yasir; Sabei, Fahad Y.; Alissa, Mohammed; Majrashi, Mohammed; Alamoudi, Jawaher Abdullah; Hazzazi, Mohannad S.; Jafer, Ayman; Khallaf, Rasha A.</t>
  </si>
  <si>
    <t>Fabrication, assessment, and optimization of alendronate sodium nanoemulsion-based injectable in-situ gel formulation for management of osteoporosis</t>
  </si>
  <si>
    <t>DRUG DELIVERY</t>
  </si>
  <si>
    <t>English</t>
  </si>
  <si>
    <t>Article</t>
  </si>
  <si>
    <t>In situ gel; alendronate sodium; nanoemulsion; PPSG; osteoporosis; design of experiment</t>
  </si>
  <si>
    <t>BONE MORPHOGENETIC PROTEIN-2; DRUG-DELIVERY; CONTROLLED-RELEASE; OVERCOME BARRIERS; FORMING IMPLANTS; SYSTEM; SAFETY</t>
  </si>
  <si>
    <t>Low bone mass, degeneration of bone tissue, and disruption of bone microarchitecture are all symptoms of the disease osteoporosis, which can decrease bone strength and increase the risk of fractures. The main objective of the current study was to use a phospholipid-based phase separation in-situ gel (PPSG) in combination with an alendronate sodium nanoemulsion (ALS-NE) to help prevent bone resorption in rats. The effect of factors such as concentrations of the ALS aqueous solution, surfactant Plurol Oleique CC 497, and Maisine CC oil on nanoemulsion characteristics such as stability index and globular size was investigated using an l-optimal coordinate exchange statistical design. Injectable PPSG with the best nanoemulsion formulation was tested for viscosity, gel strength, water absorption, and in-vitro ALS release. ALS retention in the rats' muscles was measured after 30 days. The droplet size and stability index of the optimal nanoemulsion were 90 +/- 2.0 nm and 85 +/- 1.9%, respectively. When mixed with water, the optimal ALS-NE-loaded PPSG became viscous and achieved 36 seconds of gel strength, which was adequate for an injectable in-situ formulation. In comparison with the ALS solution-loaded in-situ gel, the newly created optimal ALS-NE-loaded PPSG produced the sustained and regulated release of ALS; hence, a higher percentage of ALS remained in rats' muscles after 30 days. PPSG that has been loaded with an ALS-NE may therefore be a more auspicious, productive, and effective platform for osteoporosis treatment than conventional oral forms.</t>
  </si>
  <si>
    <t>[Abdulaal, Wesam H.] King Abdulaziz Univ, Fac Sci, King Fahd Ctr Med Res, Dept Biochem,Canc &amp; Mutagenesis Unit, Jeddah, Saudi Arabia; [Abdulaal, Wesam H.] King Abdulaziz Univ, Ctr Artificial Intelligence Precis Med CAIPM, Jeddah, Saudi Arabia; [Hosny, Khaled M.; Alhakamy, Nabil A.; Bakhaidar, Rana B.] King Abdulaziz Univ, Fac Pharm, Dept Pharmaceut, Jeddah 21589, Saudi Arabia; [Alhakamy, Nabil A.] King Abdulaziz Univ, Ctr Excellence Drug Res &amp; Pharmaceut Ind, Jeddah, Saudi Arabia; [Almuhanna, Yasir] Shaqra Univ, Coll Appl Med Sci, Dept Med Labs, Shaqra, Saudi Arabia; [Sabei, Fahad Y.] Jazan Univ, Coll Pharm, Dept Pharmaceut, Jazan, Saudi Arabia; [Alissa, Mohammed] Prince Sattam bin Abdulaziz Univ, Coll Appl Med Sci, Dept Med Lab Sci, Al Kharj, Saudi Arabia; [Majrashi, Mohammed] Univ Jeddah, Coll Med, Dept Pharmacol, Jeddah, Saudi Arabia; [Alamoudi, Jawaher Abdullah] Princess Nourah bint Abdulrahman Univ, Coll Pharm, Dept Pharmaceut Sci, Riyadh, Saudi Arabia; [Hazzazi, Mohannad S.; Jafer, Ayman] King Abdulaziz Univ, Fac Appl Med Sci, Dept Med Lab Sci, Jeddah, Saudi Arabia; [Hazzazi, Mohannad S.] King Abdulaziz Univ, King Fahd Med Res Ctr, Hematol Res Unit, Jeddah, Saudi Arabia; [Khallaf, Rasha A.] Beni Suef Univ, Fac Pharm, Dept Pharmaceut &amp; Ind Pharm, Bani Suwayf 2164094, Egypt</t>
  </si>
  <si>
    <t>King Abdulaziz University; King Abdulaziz University; King Abdulaziz University; King Abdulaziz University; Shaqra University; Jazan University; Prince Sattam Bin Abdulaziz University; University of Jeddah; Princess Nourah bint Abdulrahman University; King Abdulaziz University; King Abdulaziz University; Egyptian Knowledge Bank (EKB); Beni Suef University</t>
  </si>
  <si>
    <t>Hosny, KM (corresponding author), King Abdulaziz Univ, Fac Pharm, Dept Pharmaceut, Jeddah 21589, Saudi Arabia.</t>
  </si>
  <si>
    <t>elswaify2000@yahoo.com</t>
  </si>
  <si>
    <t>Majrashi, Mohammed/AAM-4998-2020; Almuhanna, Yasir/GQA-8504-2022; Alamoudi, Jawaher/HIK-0103-2022; ALISSA, MOHAMMED/AHD-9636-2022; SABEI, FAHAD Y./HKW-3591-2023</t>
  </si>
  <si>
    <t>Majrashi, Mohammed/0000-0001-5752-7389; Almuhanna, Yasir/0000-0001-9080-6056; ALISSA, MOHAMMED/0000-0002-4045-0810; SABEI, FAHAD Y./0000-0002-1412-5299; Alhakamy, Nabil/0000-0002-3826-1519</t>
  </si>
  <si>
    <t>Deanship of Scientific Research (DSR) at King Abdulaziz University, Jeddah; [G-141-130-1442]</t>
  </si>
  <si>
    <t>Deanship of Scientific Research (DSR) at King Abdulaziz University, Jeddah;</t>
  </si>
  <si>
    <t>This project was funded by the Deanship of Scientific Research (DSR) at King Abdulaziz University, Jeddah, under grant no. (G-141-130-1442). The authors, therefore, acknowledge with thanks DSR for technical and financial support.</t>
  </si>
  <si>
    <t>TAYLOR &amp; FRANCIS LTD</t>
  </si>
  <si>
    <t>ABINGDON</t>
  </si>
  <si>
    <t>2-4 PARK SQUARE, MILTON PARK, ABINGDON OR14 4RN, OXON, ENGLAND</t>
  </si>
  <si>
    <t>1071-7544</t>
  </si>
  <si>
    <t>1521-0464</t>
  </si>
  <si>
    <t>DRUG DELIV</t>
  </si>
  <si>
    <t>Drug Deliv.</t>
  </si>
  <si>
    <t>DEC 31</t>
  </si>
  <si>
    <t>10.1080/10717544.2022.2164094</t>
  </si>
  <si>
    <t>Pharmacology &amp; Pharmacy</t>
  </si>
  <si>
    <t>Science Citation Index Expanded (SCI-EXPANDED)</t>
  </si>
  <si>
    <t>7L1ET</t>
  </si>
  <si>
    <t>gold, Green Published</t>
  </si>
  <si>
    <t>2023-10-09</t>
  </si>
  <si>
    <t>WOS:000905718300001</t>
  </si>
  <si>
    <t>Adams, AM; Chen, X; Li, WD; Zhang, CR</t>
  </si>
  <si>
    <t>Adams, Aaron M.; Chen, Xiang; Li, Weidong; Zhang, Chuanrong</t>
  </si>
  <si>
    <t>Normalizing the pandemic: exploring the cartographic issues in state government COVID-19 dashboards</t>
  </si>
  <si>
    <t>JOURNAL OF MAPS</t>
  </si>
  <si>
    <t>COVID-19; choropleth; web GIS; dashboard; infodemic; &gt;</t>
  </si>
  <si>
    <t>CHOROPLETH MAPS</t>
  </si>
  <si>
    <t>Government agencies have utilized Web Geographic Information Systems (GIS) dashboards to collect and disseminate spatial information on COVID-19. However, not all maps on these dashboards adhere to established cartographic principles. This article explores the extent of the cartographic issues by surveying state governments' official COVID-19 websites in the United States on February 11, 2021. The results indicate that out of the fifty states, thirty-one (62.0%) incorrectly used unnormalized data in choropleth maps, sixteen (32.0%) used normalized data, and three (6.0%) did not employ choropleth maps. Among states using normalized data correctly, we identified other cartographic problems, including inappropriate data class divisions and suboptimal enumeration units. As dashboards serve as authoritative sources for health information, issues in map creation can influence public perception of the health crisis. These findings underscore the need for map standards to ensure the accuracy and reliability of health information in the Web GIS era.</t>
  </si>
  <si>
    <t>[Adams, Aaron M.; Chen, Xiang; Li, Weidong; Zhang, Chuanrong] Univ Connecticut, Dept Geog, Storrs, CT USA; [Adams, Aaron M.] UConn GIS Hlth Lab Connecticut Childrens, Hartford, CT USA; [Chen, Xiang] Univ Connecticut, Inst Collaborat Hlth Intervent &amp; Policy InCHIP, Storrs, CT USA; [Zhang, Chuanrong] Univ Connecticut, Ctr Environm Sci &amp; Engn, Storrs, CT USA; [Chen, Xiang] Univ Connecticut, Dept Geog, Storrs, CT 06269 USA; [Chen, Xiang] UConn GIS Hlth Labat Connecticut Childrens, Hartford, CT 06106 USA</t>
  </si>
  <si>
    <t>University of Connecticut; University of Connecticut; University of Connecticut; University of Connecticut</t>
  </si>
  <si>
    <t>Chen, X (corresponding author), Univ Connecticut, Dept Geog, Storrs, CT 06269 USA.;Chen, X (corresponding author), UConn GIS Hlth Labat Connecticut Childrens, Hartford, CT 06106 USA.</t>
  </si>
  <si>
    <t>xiang.chen@uconn.edu</t>
  </si>
  <si>
    <t>1744-5647</t>
  </si>
  <si>
    <t>J MAPS</t>
  </si>
  <si>
    <t>J. Maps</t>
  </si>
  <si>
    <t>10.1080/17445647.2023.2235385</t>
  </si>
  <si>
    <t>Geography; Geography, Physical</t>
  </si>
  <si>
    <t>Science Citation Index Expanded (SCI-EXPANDED); Social Science Citation Index (SSCI)</t>
  </si>
  <si>
    <t>Geography; Physical Geography</t>
  </si>
  <si>
    <t>N4ND2</t>
  </si>
  <si>
    <t>gold</t>
  </si>
  <si>
    <t>WOS:001036789500001</t>
  </si>
  <si>
    <t>Afana, MS; Abu-Tineh, M; Alshurafa, A; Yasin, AK; Ahmed, K; Abdulgayoom, M; Yassin, MA</t>
  </si>
  <si>
    <t>Afana, Mohammad S.; Abu-Tineh, Mohammad; Alshurafa, Awni; Yasin, Ahmed K.; Ahmed, Khalid; Abdulgayoom, Mohammed; Yassin, Mohamed A.</t>
  </si>
  <si>
    <t>Recurrence of acute chest syndrome post stopping Crizanlizumab, the dilemma of stopping vs continuation in patient with sickle cell disease: case report</t>
  </si>
  <si>
    <t>HEMATOLOGY</t>
  </si>
  <si>
    <t>Crizanlizumab; sickle cell disease; vaso-occlusive crisis; acute chest syndrome; hemoglobinopathies; Hydroxyurea; exchange transfusion; Voxelotor ‌</t>
  </si>
  <si>
    <t>CRISES</t>
  </si>
  <si>
    <t>Sickle cell disease (SCD) is one of the most common hematological diseases, which results in variable complications. The treatment of SCD is evolving but limited options are available for now. Acute chest syndrome (ACS) is one of the serious complications observed in SCD and a challenging one in prevention. Crizanlizumab is a monoclonal antibody that binds to P-selectin and improves blood flow by preventing sickle cell adhesion to endothelium, resulting in improvement of vaso-oclusive crises (VOC). It is not well evaluated in terms of ACS prevention. Here we report a 23-year-old patient with SCD and recurrent ACS; she was started on Crizanlizumab and she had no more ACS, but once she was off Crizanlizumab she developed ACS again, later Crizanlizumab was re-started, and the patient has improved significantly.</t>
  </si>
  <si>
    <t>[Afana, Mohammad S.; Abu-Tineh, Mohammad; Alshurafa, Awni; Ahmed, Khalid; Abdulgayoom, Mohammed; Yassin, Mohamed A.] Hamad Med Corp, Natl Ctr Canc Care &amp; Res, Dept Med Oncol, Hematol Sect, Doha, Qatar; [Yasin, Ahmed K.] Hamad Med Corp, Dept Internal Med, Doha, Qatar</t>
  </si>
  <si>
    <t>Hamad Medical Corporation; Hamad Medical Corporation</t>
  </si>
  <si>
    <t>Afana, MS (corresponding author), Hamad Med Corp, Natl Ctr Canc Care &amp; Res, Dept Med Oncol, Hematol Sect, Doha, Qatar.</t>
  </si>
  <si>
    <t>mafana@hamad.qa</t>
  </si>
  <si>
    <t>Qatar National Library</t>
  </si>
  <si>
    <t>Qatar National Library(Qatar National Research Fund (QNRF))</t>
  </si>
  <si>
    <t>We thank Qatar National Library for funding this article.</t>
  </si>
  <si>
    <t>1024-5332</t>
  </si>
  <si>
    <t>1607-8454</t>
  </si>
  <si>
    <t>Hematology</t>
  </si>
  <si>
    <t>10.1080/16078454.2023.2229115</t>
  </si>
  <si>
    <t>O0KT9</t>
  </si>
  <si>
    <t>WOS:001040803800001</t>
  </si>
  <si>
    <t>Afulani, PA; Oboke, EN; Ogolla, BA; Getahun, M; Kinyua, J; Oluoch, I; Odour, J; Ongeri, L</t>
  </si>
  <si>
    <t>Afulani, Patience A.; Oboke, Edwina N.; Ogolla, Beryl A.; Getahun, Monica; Kinyua, Joyceline; Oluoch, Iscar; Odour, James; Ongeri, Linnet</t>
  </si>
  <si>
    <t>Caring for providers to improve patient experience (CPIPE): intervention development process</t>
  </si>
  <si>
    <t>GLOBAL HEALTH ACTION</t>
  </si>
  <si>
    <t>Person-centered maternity care; stress; implicit bias; Kenya; respectful maternity care</t>
  </si>
  <si>
    <t>RESPECTFUL MATERNITY CARE; QUALITY-OF-CARE; IMPLICIT BIAS; CENTERED CARE; COMMUNICATION; PERSPECTIVE; CHILDBIRTH; CLINICIAN; ATTITUDES; STRESS</t>
  </si>
  <si>
    <t>A growing body of research has documented disrespectful, abusive, and neglectful treatment of women in facilities during childbirth, as well as the drivers of such mistreatment. Yet, little research exists on effective interventions to improve Person-Centred Maternal Care (PCMC)-care that is respectful and responsive to individual women's preferences, needs, and values. We sought to extend knowledge on interventions to improve PCMC, with a focus on two factors - provider stress and implicit bias - that are driving poor PCMC and contributing to disparities in PCMC. In this paper we describe the process towards the development of the intervention. The intervention design was an iterative process informed by existing literature, behaviour change theory, formative research, and continuous feedback in consultation with key stakeholders. The intervention strategies were informed by the Social Cognitive Theory, Trauma Informed System framework, and the Ecological Perspective. This process resulted in the 'Caring for Providers to Improve Patient Experience (CPIPE)' intervention, which has 5 components: provider training, peer support, mentorship, embedded champions, and leadership engagement. The training includes didactic and interactive content on PCMC, stress, burnout, dealing with difficult situations, and bias, with some content integrated into emergency obstetric and neonatal care (EmONC) simulations to enable providers apply concepts in the context of managing an emergency. The other components create an enabling environment for ongoing individual behavior and facility culture change. The pilot study is being implemented in Migori County, Kenya. The CPIPE intervention is an innovative theory and evidence-based intervention that addresses key drivers of poor PCMC and centers the unique needs of vulnerable women as well as that of providers. This intervention will advance the evidence base for interventions to improve PCMC and has great potential to improve equity in PCMC and maternal and neonatal health.</t>
  </si>
  <si>
    <t>[Afulani, Patience A.] Univ Calif San Francisco UCSF, Epidemiol &amp; Biostat Dept, San Francisco, CA USA; [Afulani, Patience A.; Getahun, Monica] Univ Calif San Francisco, Inst Global Hlth Sci, San Francisco, CA 94158 USA; [Oboke, Edwina N.; Ogolla, Beryl A.] Res Dept, Global Programs Res &amp; Training, Nairobi, Kenya; [Kinyua, Joyceline] Kenya Govt Med Res Ctr, Ctr Virus Res, Nairobi, Kenya; [Oluoch, Iscar] Cty Execut Comm, Migori, Kenya; [Odour, James] Migori Cty Referral Hosp, Migori, Kenya; [Ongeri, Linnet] Kenya Govt Med Res Ctr, Ctr Clin Res, Nairobi, Kenya; [Afulani, Patience A.] Univ Calif San Francisco, Epidemiol &amp; Biostat Dept, 550 16th St,3rd Floor, San Francisco, CA 94158 USA</t>
  </si>
  <si>
    <t>University of California System; University of California San Francisco; University of California System; University of California San Francisco; Kenya Medical Research Institute; Kenya Medical Research Institute; University of California System; University of California San Francisco</t>
  </si>
  <si>
    <t>Afulani, PA (corresponding author), Univ Calif San Francisco, Epidemiol &amp; Biostat Dept, 550 16th St,3rd Floor, San Francisco, CA 94158 USA.</t>
  </si>
  <si>
    <t>Patience.Afulani@ucsf.edu</t>
  </si>
  <si>
    <t>Ongeri, Linnet/0000-0003-2330-6144; Getahun, Monica/0000-0002-2116-2637</t>
  </si>
  <si>
    <t>1654-9880</t>
  </si>
  <si>
    <t>Glob. Health Action</t>
  </si>
  <si>
    <t>10.1080/16549716.2022.2147289</t>
  </si>
  <si>
    <t>Public, Environmental &amp; Occupational Health</t>
  </si>
  <si>
    <t>6Y4RU</t>
  </si>
  <si>
    <t>Green Published, gold</t>
  </si>
  <si>
    <t>WOS:000897084600001</t>
  </si>
  <si>
    <t>Ahda, M; Jaswir, I; Khatib, A; Ahmed, QU; Mahfudh, N; Ardini, YD</t>
  </si>
  <si>
    <t>Ahda, Mustofa; Jaswir, Irwandi; Khatib, Alfi; Ahmed, Qamar Uddin; Mahfudh, Nurkhasanah; Ardini, Yunita Dewi</t>
  </si>
  <si>
    <t>A review on selected herbal plants as alternative anti-diabetes drugs: chemical compositions, mechanisms of action, and clinical study</t>
  </si>
  <si>
    <t>INTERNATIONAL JOURNAL OF FOOD PROPERTIES</t>
  </si>
  <si>
    <t>Review</t>
  </si>
  <si>
    <t>Anti-diabetes; herbal medicines; mechanisms of action; clinical study</t>
  </si>
  <si>
    <t>TRADITIONAL CHINESE MEDICINE; MORINGA-OLEIFERA; TYPE-2; TRIAL</t>
  </si>
  <si>
    <t>Herbal utilization, as an antidiabetes agent, is an interesting topic to find acceptable herbal drugs to decrease blood glucose levels. The aim of this review is to evaluate the potency of selected herbal medicines to reduce blood glucose levels and to identify the chemical compounds responsible for reducing glucose. The mechanisms of action of different herbal medicines used might be also different. The reduction of blood glucose levels by Aloe vera, Andrographis paniculata, and Trigonella foenum-graecum through minimum 3 mechanisms of action, such as increased GLP-1 secretion and inhibited amylase, glucosidase, and SGLT 2. While Andrographis paniculata has more than 4 mechanisms of action, such as increasing GLP secretion, activating PPAR gamma-receptor, and also inhibiting amylase, glucosidase, and SGLT 2 but it did not inhibit DPP 4 in diabetic patients.</t>
  </si>
  <si>
    <t>[Ahda, Mustofa; Mahfudh, Nurkhasanah] Univ Ahmad Dahlan, Fac Pharm, Dept Pharmaceut Chem, Yogyakarta, Indonesia; [Jaswir, Irwandi] Univ Ahmad Dahlan, Fac Pharm, Dept Pharmaceut Technol, Yogyakarta, Indonesia; [Ahda, Mustofa] Univ Ahmad Dahlan, Ahmad Dahlan Halal Ctr, Yogyakarta, Indonesia; [Ahda, Mustofa; Khatib, Alfi; Ahmed, Qamar Uddin] Int Islamic Univ Malaysia, Dept Pharmaceut Chem, Kuantan, Malaysia; [Jaswir, Irwandi] Int Islamic Univ Malaysia, INHART, Kuala Lumpur, Malaysia; [Ardini, Yunita Dewi] Int Islamic Univ Malaysia, Paediat Dent &amp; Dent Publ Hlth Dept, Kulliyyah Dent, Kuantan, Malaysia</t>
  </si>
  <si>
    <t>Universitas Ahmad Dahlan; Universitas Ahmad Dahlan; Universitas Ahmad Dahlan; International Islamic University Malaysia; International Islamic University Malaysia; International Islamic University Malaysia</t>
  </si>
  <si>
    <t>Ahda, M (corresponding author), Univ Ahmad Dahlan, Fac Pharm, Dept Pharmaceut Chem, Yogyakarta, Indonesia.</t>
  </si>
  <si>
    <t>mustofa_ahda@yahoo.com</t>
  </si>
  <si>
    <t>Ahmed, Qamar Uddin/ITU-7666-2023</t>
  </si>
  <si>
    <t>Ahmed, Qamar Uddin/0000-0003-0565-3222</t>
  </si>
  <si>
    <t>Universitas Ahmad Dahlan, Kemenristekdikti Republik Indonesia; International Islamic University of Malaysia [PD-144/SP3/LPPM-UAD/VII/2022]; [RMCG20-042-0042]; [071E5/PG.02.00.PT/2022]</t>
  </si>
  <si>
    <t>Universitas Ahmad Dahlan, Kemenristekdikti Republik Indonesia; International Islamic University of Malaysia; ;</t>
  </si>
  <si>
    <t>The authors would like to express their gratitude to Universitas Ahmad Dahlan, Kemenristekdikti Republik Indonesia, and The International Islamic University of Malaysia for providing research funding (no: PD-144/SP3/LPPM-UAD/VII/2022; 071E5/PG.02.00.PT/2022; and RMCG20-042-0042) to enable them to carry out this study</t>
  </si>
  <si>
    <t>TAYLOR &amp; FRANCIS INC</t>
  </si>
  <si>
    <t>PHILADELPHIA</t>
  </si>
  <si>
    <t>530 WALNUT STREET, STE 850, PHILADELPHIA, PA 19106 USA</t>
  </si>
  <si>
    <t>1094-2912</t>
  </si>
  <si>
    <t>1532-2386</t>
  </si>
  <si>
    <t>INT J FOOD PROP</t>
  </si>
  <si>
    <t>Int. J. Food Prop.</t>
  </si>
  <si>
    <t>10.1080/10942912.2023.2215475</t>
  </si>
  <si>
    <t>Food Science &amp; Technology</t>
  </si>
  <si>
    <t>J4AQ0</t>
  </si>
  <si>
    <t>WOS:001009059000001</t>
  </si>
  <si>
    <t>Elshalakany, NA</t>
  </si>
  <si>
    <t>Ahmed Elshalakany, Nirvana</t>
  </si>
  <si>
    <t>Influence of fentanyl-based Patient-Controlled Intravenous Analgesia (PCIA) with and without background infusion on postoperative pain intensity in patients following total hip replacement</t>
  </si>
  <si>
    <t>EGYPTIAN JOURNAL OF ANAESTHESIA</t>
  </si>
  <si>
    <t>Fentanyl; hip replacement; Background infusion PCIA; VAS scores</t>
  </si>
  <si>
    <t>MANAGEMENT</t>
  </si>
  <si>
    <t>Objective The goal of this trial was to determine if fentanyl PCIA and background infusion are effective for post-total hip replacement analgesia. Methods This trial examined two groups of patients receiving PCIA who had total hip replacements: group A (n = 35) with no background infusion, lockout time of 6 min; group B (n = 35) with background infusion 2 mL/h infusion, lockout time of 10 min. The fentanyl dose in each group was diluted with 100 mL normal saline. Primary outcome was VAS scores at rest after 24 hr. The secondary outcomes included VAS scores at rest at 6, 12, and 18 hr, fentanyl consumption, injection to attempt ratio, blood pressure, and heart rate. Results Neither background infusion nor no background infusion showed significant differences in VAS scores at 24 hr. Background infusion groups exhibited lower VAS pain levels at 6, 12, and 18 hr. At 24 hr after surgery, attempts, injections, and fentanyl consumption were significantly different between the two groups (P &lt; 0.001). While BP and HR did not differ significantly between groups, pain control effectiveness showed statistically significant differences between groups. Conclusion Background infusion increased the overall quantity of fentanyl consumed within 24 hr after total hip replacement. The background infusion considerably decreased the pain at 6, 12, and 18 hr, but it had little effect on hip replacement pain at 24 hr. Importantly, it did not increase the incidence of BP, and HR. However, there were no significant differences in BP or HR between both groups, Fentanyl Background infusion was effective for post-total hip replacement analgesia.</t>
  </si>
  <si>
    <t>[Ahmed Elshalakany, Nirvana] October 6 Univ, Anaesthesia &amp; Intens Care Unit, Fac Med, Cairo, Egypt</t>
  </si>
  <si>
    <t>Egyptian Knowledge Bank (EKB); October 6 University (O6U)</t>
  </si>
  <si>
    <t>Elshalakany, NA (corresponding author), October 6 Univ, Anaesthesia &amp; Intens Care Unit, Fac Med, Cairo, Egypt.</t>
  </si>
  <si>
    <t>nirvanaelshalakany@yahoo.com</t>
  </si>
  <si>
    <t>1110-1849</t>
  </si>
  <si>
    <t>EGYPT J ANAESTH</t>
  </si>
  <si>
    <t>Egypt. J. Anaesth.</t>
  </si>
  <si>
    <t>10.1080/11101849.2023.2213936</t>
  </si>
  <si>
    <t>Anesthesiology</t>
  </si>
  <si>
    <t>Emerging Sources Citation Index (ESCI)</t>
  </si>
  <si>
    <t>G6UV9</t>
  </si>
  <si>
    <t>WOS:000990495300001</t>
  </si>
  <si>
    <t>Ahmed, F; Liberda, EN; Solomon, A; Davey, R; Sutherland, B; Tsuji, LJS</t>
  </si>
  <si>
    <t>Ahmed, Fatima; Liberda, Eric N.; Solomon, Andrew; Davey, Roger; Sutherland, Bernard; Tsuji, Leonard J. S.</t>
  </si>
  <si>
    <t>Indigenous land-based approaches to well-being: The Sibi (River) program in subarctic Ontario, Canada</t>
  </si>
  <si>
    <t>INTERNATIONAL JOURNAL OF CIRCUMPOLAR HEALTH</t>
  </si>
  <si>
    <t>Indigenous; food security; fishing; photovoice; community-based participatory research; subarctic; well-being</t>
  </si>
  <si>
    <t>1ST NATIONS; NORTHERN ONTARIO; COMMUNITY; FOOD; YOUTH</t>
  </si>
  <si>
    <t>The Albany River system holds a special significance for the Omushkego Cree of subarctic Ontario, Canada, embodying their cultural roots, history, and the Cree way of life and worldviews. Through the Sibi program, youth learned traditional fishing practices from Elders and on-the-land experts, gaining valuable knowledge on the land and river. The program addressed barriers to being on the land, while also creating a space for the transfer of Indigenous knowledge and revitalising community social networks. The program took place in the summer, following the Omushkego Cree's seasonal cycle and employed community-based participatory research approach. Photovoice and semi-structured interviews were used to identify elements of well-being from an Indigenous perspective. Regardless of age or experience, participants expressed positive emotions while being on the land, highlighting how strengthening social and community networks, intergenerational knowledge transfer, and fostering cultural continuity contribute to improved well-being. Program outcomes emphasize the importance of collaboration with communities to gain insights into their needs, priorities, and values, ultimately creating more sustainable and effective well-being programs. By fostering engagement and recognizing the environment's significance, sustainable and long-term solutions can be pursued to address challenges faced by communities, ultimately advancing health and well-being for both present and future generations.The Albany River system holds a special significance for the Omushkego Cree of subarctic Ontario, Canada, embodying their cultural roots, history, and the Cree way of life and worldviews. Through the Sibi program, youth learned traditional fishing practices from Elders and on-the-land experts, gaining valuable knowledge on the land and river. The program addressed barriers to being on the land, while also creating a space for the transfer of Indigenous knowledge and revitalising community social networks. The program took place in the summer, following the Omushkego Cree's seasonal cycle and employed community-based participatory research approach. Photovoice and semi-structured interviews were used to identify elements of well-being from an Indigenous perspective. Regardless of age or experience, participants expressed positive emotions while being on the land, highlighting how strengthening social and community networks, intergenerational knowledge transfer, and fostering cultural continuity contribute to improved well-being. Program outcomes emphasize the importance of collaboration with communities to gain insights into their needs, priorities, and values, ultimately creating more sustainable and effective well-being programs. By fostering engagement and recognizing the environment's significance, sustainable and long-term solutions can be pursued to address challenges faced by communities, ultimately advancing health and well-being for both present and future generations.</t>
  </si>
  <si>
    <t>[Ahmed, Fatima; Tsuji, Leonard J. S.] Univ Toronto, Dept Phys &amp; Environm Sci, Toronto, ON, Canada; [Liberda, Eric N.] Toronto Metropolitan Univ, Fac Community Serv, Sch Occupat &amp; Publ Hlth, Toronto, ON, Canada; [Solomon, Andrew; Davey, Roger; Sutherland, Bernard] Ft Albany First Nation, Toronto, ON, Canada; [Sutherland, Bernard] Peetabeck Acad, Mundo Peetabeck Educ Author, Ft Albany Nation 1, Toronto, ON, Canada; [Ahmed, Fatima] Univ Toronto, Dept Phys &amp; Environm Sci, Toronto, ON M1C 1A4, Canada</t>
  </si>
  <si>
    <t>University of Toronto; University of Toronto</t>
  </si>
  <si>
    <t>Ahmed, F (corresponding author), Univ Toronto, Dept Phys &amp; Environm Sci, Toronto, ON M1C 1A4, Canada.</t>
  </si>
  <si>
    <t>fa.ahmed@utoronto.ca</t>
  </si>
  <si>
    <t>The authors would like to thank all the participants and community members whose support and involvement made this program possible.</t>
  </si>
  <si>
    <t>1239-9736</t>
  </si>
  <si>
    <t>2242-3982</t>
  </si>
  <si>
    <t>INT J CIRCUMPOL HEAL</t>
  </si>
  <si>
    <t>Int. J. Circumpolar Health</t>
  </si>
  <si>
    <t>10.1080/22423982.2023.2252595</t>
  </si>
  <si>
    <t>Q8GD0</t>
  </si>
  <si>
    <t>WOS:001059842200001</t>
  </si>
  <si>
    <t>Aibinu, MO; Momoniat, E</t>
  </si>
  <si>
    <t>Aibinu, M. O.; Momoniat, E.</t>
  </si>
  <si>
    <t>Approximate analytical solutions and applications of pantograph-type equations with Caputo derivative and variable orders</t>
  </si>
  <si>
    <t>APPLIED MATHEMATICS IN SCIENCE AND ENGINEERING</t>
  </si>
  <si>
    <t>Sumudu transform; hybrid; pantograph; Caputo derivatives; model</t>
  </si>
  <si>
    <t>DELAY-DIFFERENTIAL EQUATIONS; TRANSFORM</t>
  </si>
  <si>
    <t>This study presents an efficient method that is suitable for differential equations, both with integer-order and fractional derivatives. This study examines the construction of solutions of fractional differential equations that are associated with varying delay proportional to the independent variable using a hybrid of Sumudu transform method. This study considers differential equations with Caputo derivatives of fractional variable orders and their applications in Nuclear Physics. The application indicates that fractional differential equations that have varying delay proportional to the independent variable are useful as tools for the modelling of many anomalous phenomena in nature and in the theory of complex systems.</t>
  </si>
  <si>
    <t>[Aibinu, M. O.; Momoniat, E.] Univ Johannesburg, Dept Math &amp; Appl Math, POB 524, ZA-2006 Auckland Pk, South Africa; [Aibinu, M. O.; Momoniat, E.] Univ Johannesburg, Inst Future Knowledge, Data Sci Disciplines Res Grp, Auckland Pk, South Africa; [Aibinu, M. O.] Natl Inst Theoret &amp; Computat Sci NITheCS, Stellenbosch, South Africa</t>
  </si>
  <si>
    <t>University of Johannesburg; University of Johannesburg</t>
  </si>
  <si>
    <t>Aibinu, MO (corresponding author), Univ Johannesburg, Dept Math &amp; Appl Math, POB 524, ZA-2006 Auckland Pk, South Africa.</t>
  </si>
  <si>
    <t>moaibinu@yahoo.com</t>
  </si>
  <si>
    <t>University of Johannesburg [223263569]; National Research Foundation of South Africa [150070]</t>
  </si>
  <si>
    <t>University of Johannesburg; National Research Foundation of South Africa(National Research Foundation - South Africa)</t>
  </si>
  <si>
    <t>MOA acknowledges support from the University of Johannesburg under the GES 4.0 PDRF Award - 223263569. EM acknowledges support from the National Research Foundation of South Africa under grant number 150070.</t>
  </si>
  <si>
    <t>2769-0911</t>
  </si>
  <si>
    <t>APPL MATH SCI ENG</t>
  </si>
  <si>
    <t>Appl. Math. Sci. Eng.</t>
  </si>
  <si>
    <t>10.1080/27690911.2023.2232091</t>
  </si>
  <si>
    <t>Engineering, Multidisciplinary; Mathematics, Interdisciplinary Applications</t>
  </si>
  <si>
    <t>Engineering; Mathematics</t>
  </si>
  <si>
    <t>L9EK3</t>
  </si>
  <si>
    <t>WOS:001026221000001</t>
  </si>
  <si>
    <t>Akaishi, Y; Nawa, N; Kashimada, A; Itsui, Y; Okada, E; Yamawaki, M</t>
  </si>
  <si>
    <t>Akaishi, Yu; Nawa, Nobutoshi; Kashimada, Ayako; Itsui, Yasuhiro; Okada, Eriko; Yamawaki, Masanaga</t>
  </si>
  <si>
    <t>Association between Grit and depressive symptoms at the timing of job start among medical residents during the COVID-19 pandemic in Japan: a cross-sectional study</t>
  </si>
  <si>
    <t>MEDICAL EDUCATION ONLINE</t>
  </si>
  <si>
    <t>Grit; depressive symptoms; medical resident; COVID-19 pandemic; timing of job start</t>
  </si>
  <si>
    <t>NON-COGNITIVE SKILLS; PERSEVERANCE; MINDFULNESS; ADOLESCENTS; SCALE</t>
  </si>
  <si>
    <t>Introduction The COVID-19 pandemic had an additional negative impact on the mental health of healthcare workers, including residents. Previous studies revealed that grit, which is an individual trait to achieve long-term goals unrelated to intelligence quotient, is not only positively associated with academic achievement and career success but also negatively correlated with depression. This study aimed to examine the association between grit and depressive symptoms among residents at the time of job start during the coronavirus disease 2019 (COVID-19) pandemic in Japan. Materials and methods This cross-sectional study used data from all post-graduate year 1 residents from March 2020 to April 2022 at Tokyo Medical and Dental University, Tokyo, Japan. Grit was measured by the Japanese version of Grit-S. The resident's depressive symptoms were assessed using the Center for Epidemiologic Studies Depression Scale. The association of interest was examined using logistic regression analysis. Results Among 221 residents, 28 (12.7%) have depressive symptoms. One unit increase in Grit-S score after adjusting for age, sex, graduated university, and sleeping hours was associated with lower odds of having depressive symptoms by 63% (odds ratio [OR]: 0.37; 95% confidence interval [CI]: 0.19-0.74). Further, the perseverance of effort subscale score was associated with lower odds of having depressive symptoms after covariate adjustment (OR: 0.43; 95% CI: 0.22-0.84). Conclusions Higher grit scores were associated with lower odds of having depressive symptoms among residents at the timing of job start during the COVID-19 pandemic. Regular mental health assessment is particularly important for residents with low grit scores at entry.</t>
  </si>
  <si>
    <t>[Akaishi, Yu; Kashimada, Ayako; Itsui, Yasuhiro; Okada, Eriko; Yamawaki, Masanaga] Tokyo Med &amp; Dent Univ, Dept Med Educ Res &amp; Dev, Tokyo, Japan; [Akaishi, Yu; Kashimada, Ayako; Okada, Eriko] Tokyo Med &amp; Dent Univ, Dept Profess Dev, Tokyo, Japan; [Nawa, Nobutoshi] Tokyo Med &amp; Dent Univ, Dept Global Hlth Promot, Tokyo, Japan; [Yamawaki, Masanaga] Tokyo Med &amp; Dent Univ TMDU, 1-5-45 Yushima,Bunkyo ku, Tokyo 1138519, Japan</t>
  </si>
  <si>
    <t>Tokyo Medical &amp; Dental University (TMDU); Tokyo Medical &amp; Dental University (TMDU); Tokyo Medical &amp; Dental University (TMDU); Tokyo Medical &amp; Dental University (TMDU)</t>
  </si>
  <si>
    <t>Yamawaki, M (corresponding author), Tokyo Med &amp; Dent Univ TMDU, 1-5-45 Yushima,Bunkyo ku, Tokyo 1138519, Japan.</t>
  </si>
  <si>
    <t>myammerd@tmd.ac.jp</t>
  </si>
  <si>
    <t>Akaishi, Yu/0000-0002-3504-8501</t>
  </si>
  <si>
    <t>1087-2981</t>
  </si>
  <si>
    <t>MED EDUC ONLINE</t>
  </si>
  <si>
    <t>Med. Educ. Online</t>
  </si>
  <si>
    <t>10.1080/10872981.2023.2225886</t>
  </si>
  <si>
    <t>Education &amp; Educational Research</t>
  </si>
  <si>
    <t>Social Science Citation Index (SSCI)</t>
  </si>
  <si>
    <t>J5SG8</t>
  </si>
  <si>
    <t>WOS:001010208600001</t>
  </si>
  <si>
    <t>Al-Ahdal, WM; Hashim, HA; Almaqtari, FA; Saudagaran, SM</t>
  </si>
  <si>
    <t>Al-Ahdal, Waleed M. M.; Hashim, Hafiza Aishah; Almaqtari, Faozi A. A.; Saudagaran, Shahrokh M. M.</t>
  </si>
  <si>
    <t>The moderating effect of an audit committee on the relationship between ownership structure and firm performance: Evidence from emerging markets</t>
  </si>
  <si>
    <t>COGENT BUSINESS &amp; MANAGEMENT</t>
  </si>
  <si>
    <t>Ownership Structure (OS); Financial Performance (FP); Gulf Cooperation Council (GCC); Oman; UAE</t>
  </si>
  <si>
    <t>CORPORATE GOVERNANCE PRACTICES; FAMILY OWNERSHIP; GCC; DETERMINANTS</t>
  </si>
  <si>
    <t>The study aims to investigate the relationship between ownership structure (OS) and financial performance (FP) in non-financial listed companies operating in Oman and the UAE, using panel data from 2012 to 2021. The results revealed that Tobin's Q (TQ) is positively and significantly affected by managerial ownership and family ownership. In addition, return on asset (ROA) is found to have a negative and significant relationship with managerial ownership, while return on equity (ROE) is found to have a positive and significant relationship with family ownership. Comparing Oman and the UAE, the results indicated that all ownership variables tested have superior influence on FP. This study also documented that the moderating effect of the audit committee has a more positive relationship between managerial ownership, ownership concentration, and family ownership on firm performance in both countries. This study fills existing gaps in contemporary literature on OS in emerging markets by dissecting the outcome of OS on FP of companies in Oman and the UAE. To the best of our knowledge, most of the prior studies on OS have not examined the moderating effect of audit committee on the relationship between OS and FP. Our study on the OS in Oman and UAE listed firms shows that OS have an important outcome on market-based calculation. This study expands our understanding of the impact of OS on FP in emerging markets in two countries in the Gulf Cooperation Council (GCC), a region of growing economic importance that has not received adequate research attention.</t>
  </si>
  <si>
    <t>[Al-Ahdal, Waleed M. M.; Hashim, Hafiza Aishah] Univ Malaysia Terengganu, Fac Business Econ &amp; Social Dev, Terengganu 21030, Malaysia; [Hashim, Hafiza Aishah] Hodeidah Univ, Fac Commerce &amp; Econ, Dept Accounting, Hodeidah, Yemen; [Almaqtari, Faozi A. A.; Saudagaran, Shahrokh M. M.] Univ Washington, Milgard Sch Business, Tacoma, WA USA</t>
  </si>
  <si>
    <t>Universiti Malaysia Terengganu; Hodeidah University; University of Washington; University of Washington Tacoma</t>
  </si>
  <si>
    <t>Hashim, HA (corresponding author), Univ Malaysia Terengganu, Fac Business Econ &amp; Social Dev, Terengganu 21030, Malaysia.</t>
  </si>
  <si>
    <t>hafizaaishah@umt.edu.my</t>
  </si>
  <si>
    <t>Alahdal, Waleed M./0000-0003-3194-3864</t>
  </si>
  <si>
    <t>TAYLOR &amp; FRANCIS AS</t>
  </si>
  <si>
    <t>OSLO</t>
  </si>
  <si>
    <t>KARL JOHANS GATE 5, NO-0154 OSLO, NORWAY</t>
  </si>
  <si>
    <t>2331-1975</t>
  </si>
  <si>
    <t>COGENT BUS MANAG</t>
  </si>
  <si>
    <t>Cogent Bus. Manag.</t>
  </si>
  <si>
    <t>10.1080/23311975.2023.2194151</t>
  </si>
  <si>
    <t>Business</t>
  </si>
  <si>
    <t>Business &amp; Economics</t>
  </si>
  <si>
    <t>A7AW4</t>
  </si>
  <si>
    <t>WOS:000956619300001</t>
  </si>
  <si>
    <t>Al-Mahasneh, A; Abu Mallouh, M; Al-Khawaldeh, MA; Jouda, B; Shehata, O; Baniyounis, M</t>
  </si>
  <si>
    <t>Al-Mahasneh, Ahmad; Abu Mallouh, Mohammed; Al-Khawaldeh, Mustafa Awwad; Jouda, Basel; Shehata, Omar; Baniyounis, Mohammed</t>
  </si>
  <si>
    <t>Online reinforcement learning control of robotic arm in presence of high variation in friction forces</t>
  </si>
  <si>
    <t>SYSTEMS SCIENCE &amp; CONTROL ENGINEERING</t>
  </si>
  <si>
    <t>Reinforcement learning control; robotic arm; high friction variation; online learning</t>
  </si>
  <si>
    <t>COMPENSATION; MANIPULATORS</t>
  </si>
  <si>
    <t>The operation and accuracy of industrial robotic arms can be negatively affected by significant fluctuations in friction forces within their joints, potentially resulting in financial and operational losses. To mitigate these issues, an online model-free reinforcement learning controller specifically designed to handle high variations in joints' friction forces. To the best of our knowledge this is the first time where reinforcement learning controller is used to handle high friction variations in a robotic arm. Initially, the dynamic equations of the robotic arm are derived, verified and validated to ensure an accurate representation of real-world behaviour. The stability of the closed-loop system is analyzed using the Lyapunov second method. The performance of the proposed controller in terms of position tracking is compared against four commonly used controllers found in literature for similar applications: (i) nonlinear model-based computed torque controller, (ii) proportional-derivative controller, (iii) adaptive iterative learning controller and (iv) radial basis function neural network adaptive controller. Simulation results demonstrate that the reinforcement learning controller outperforms the other controllers in terms of tracking performance, even in the presence of significant variations in joint friction forces.</t>
  </si>
  <si>
    <t>[Al-Mahasneh, Ahmad; Al-Khawaldeh, Mustafa Awwad; Jouda, Basel; Shehata, Omar; Baniyounis, Mohammed] Philadelphia Univ, Fac Engn &amp; Technol, Dept Mechatron Engn, Amman, Jordan; [Abu Mallouh, Mohammed] Hashemite Univ, Fac Engn, Dept Mechatron Engn, Zarqa, Jordan</t>
  </si>
  <si>
    <t>Philadelphia University Jordan; Hashemite University</t>
  </si>
  <si>
    <t>Abu Mallouh, M (corresponding author), Hashemite Univ, Fac Engn, Dept Mechatron Engn, Zarqa, Jordan.</t>
  </si>
  <si>
    <t>2164-2583</t>
  </si>
  <si>
    <t>SYST SCI CONTROL ENG</t>
  </si>
  <si>
    <t>Syst. Sci. Control Eng.</t>
  </si>
  <si>
    <t>10.1080/21642583.2023.2251521</t>
  </si>
  <si>
    <t>Automation &amp; Control Systems</t>
  </si>
  <si>
    <t>Q7PQ7</t>
  </si>
  <si>
    <t>WOS:001059411200001</t>
  </si>
  <si>
    <t>Aladwani, RM; Benkherouf, L; Almathkour, F</t>
  </si>
  <si>
    <t>Aladwani, Rashid. M.; Benkherouf, Lakdere; Almathkour, Fatmah</t>
  </si>
  <si>
    <t>Optimal inventory policies for finite horizon deterministic inventory models for non-instantaneous deteriorating items and permissible-delay in payment</t>
  </si>
  <si>
    <t>INTERNATIONAL JOURNAL OF SYSTEMS SCIENCE-OPERATIONS &amp; LOGISTICS</t>
  </si>
  <si>
    <t>Inventory model; finite time horizon; non-instantaneous deteriorating items; optimal schedule; permissible delay in payment; mixed integer nonlinear programming; submodular function; &gt;</t>
  </si>
  <si>
    <t>TIME-VARYING DEMAND; OPTIMAL REPLENISHMENT POLICY; LOT-SIZE MODELS; DEPENDENT DEMAND; INFLATION; COST</t>
  </si>
  <si>
    <t>This paper is concerned with the search for the optimal inventory policy for a finite horizon inventory model with time-varying demand, non-instantaneous deteriorating items, and permissible delay in payment. The optimal inventory policy consists of the determination of the number and timing of replenishment schedules that minimise some total inventory costs. The search for such policy is formulated as a mixed integer nonlinear programming problem (MINLP). It turns out that the non-instantaneous deterioration phenomenon coupled with permissible delay in payment introduce non-smoothness in the objective function of the MINLP. This leads to failure of direct applications of known solution methods to the MINLP. To circumvent this problem, a methodology is proposed for solving fully the MINLP problem. It is shown, through careful mathematical analysis, that earlier results on similar problems can be adapted to solve this problem. Conditions under which the solution of the MINLP is unique are identified. Moreover, convexity with respect to the number of replenishment orders is established. This makes the search for the optimal inventory policy handy. Numerical experiments are also conducted to test the applicability, to identify the key elements and to provide managerial insights to the model.</t>
  </si>
  <si>
    <t>[Aladwani, Rashid. M.; Benkherouf, Lakdere; Almathkour, Fatmah] Kuwait Univ, Coll Sci, Dept Stat &amp; Operat Res, Safat, Kuwait; [Almathkour, Fatmah] Kuwait Univ, Coll Sci, Dept Stat &amp; Operat Res, POB 5969, Safat 13060, Kuwait</t>
  </si>
  <si>
    <t>Kuwait University; Kuwait University</t>
  </si>
  <si>
    <t>Almathkour, F (corresponding author), Kuwait Univ, Coll Sci, Dept Stat &amp; Operat Res, POB 5969, Safat 13060, Kuwait.</t>
  </si>
  <si>
    <t>fatmah.almazkoor@ku.edu.kw</t>
  </si>
  <si>
    <t>2330-2674</t>
  </si>
  <si>
    <t>2330-2682</t>
  </si>
  <si>
    <t>INT J SYST SCI-OPER</t>
  </si>
  <si>
    <t>Int. J. Syst. Sci.- Oper. Logist.</t>
  </si>
  <si>
    <t>10.1080/23302674.2023.2235268</t>
  </si>
  <si>
    <t>Engineering, Industrial; Operations Research &amp; Management Science</t>
  </si>
  <si>
    <t>Engineering; Operations Research &amp; Management Science</t>
  </si>
  <si>
    <t>N9FF7</t>
  </si>
  <si>
    <t>WOS:001039978200001</t>
  </si>
  <si>
    <t>Alaida, MF; Aldhebiani, AY</t>
  </si>
  <si>
    <t>Alaida, Meaad F.; Aldhebiani, Amal Y.</t>
  </si>
  <si>
    <t>Phytochemical studies on Arecaceae growing in Al-Madinah Al-Munawarah, Saudi Arabia</t>
  </si>
  <si>
    <t>JOURNAL OF TAIBAH UNIVERSITY FOR SCIENCE</t>
  </si>
  <si>
    <t>Phoenix dactylifera; hyphaena thebaica; phytochemistry; flavonoids; antioxidant</t>
  </si>
  <si>
    <t>ANTIOXIDANT CAPACITIES; PHENOLIC COMPOSITION; CULTIVARS; EXTRACT; FRUIT</t>
  </si>
  <si>
    <t>Arecaceae belongs to monocotyledons with around 217 genera. In Saudi Arabia, two genera of Arecaceae are recorded, namely, Hyphaena and Phoenix. Al-Madinah Al-Munawarah is an important region in the western part of Saudi Arabia. This study aimed to investigate the significance of phytochemical traits in Arecaceae plants growing in the region of Al-Madinah Al-Munawarah. Plant specimens were collected in September 2021 from the Al-Madinah Al-Munawarah region. Leaves and fruit samples were screened using standard techniques for the presence of phytochemical groups. For the estimation of antioxidants, extracts were obtained from leaves and the concentration of phenolics and flavonoids was determined by LC-DAD at 335 nm and characterized by LTQ-XL linear Ion Trap LC-MS. In statistical analyses, all data obtained from phytochemical investigations were transferred to numerical characters and used in the multivariate statistical package (MVSP). In phytochemical screening, the phytochemical groups of leaves were useful to differentiate between cultivars of date palms. The presence or absence of tannin and saponin in fruits was useful to distinguish between Ph. dactylifera and H. thebaica. The leaves of Ph. dactylifera cultivars and H. thebaica contained flavonoid compounds with different concentrations. The leaves of Phoenix dactylifera cultivars and Hyphaena thebaica can be a valuable source of natural antioxidants and protect against several diseases because of the abundance of flavonoids. The high concentration of phenolics and flavonoids among date palm cultivars was in Altaibat (5.88 mg/g) while the lowest concentration was found in Safawi (1.54 mg/g). The concentration of phenolics and flavonoids in H. thebaica was 5.02 mg/g.</t>
  </si>
  <si>
    <t>[Alaida, Meaad F.] Aljouf Univ, Fac Sci, Biol Sci Dept, Aljouf Skaka, Saudi Arabia; [Aldhebiani, Amal Y.] King Abdulaziz Univ, Fac Sci, Dept Biol Sci, Jeddah, Saudi Arabia</t>
  </si>
  <si>
    <t>Al Jouf University; King Abdulaziz University</t>
  </si>
  <si>
    <t>Alaida, MF (corresponding author), Aljouf Univ, Fac Sci, Biol Sci Dept, Aljouf Skaka, Saudi Arabia.</t>
  </si>
  <si>
    <t>mfayda@ju.edu.sa</t>
  </si>
  <si>
    <t>The authors gratefully acknowledge the members of the faculty of Pharmacy, King Abdulaziz University for their collaboration and support. Author contribution: All authors listed have made a substantial, direct and intellectual contribution to the work, and</t>
  </si>
  <si>
    <t>The authors gratefully acknowledge the members of the faculty of Pharmacy, King Abdulaziz University for their collaboration and support. Author contribution: All authors listed have made a substantial, direct and intellectual contribution to the work, and approved it for publication.</t>
  </si>
  <si>
    <t>1658-3655</t>
  </si>
  <si>
    <t>J TAIBAH UNIV SCI</t>
  </si>
  <si>
    <t>J. Taibah Univ. Sci.</t>
  </si>
  <si>
    <t>10.1080/16583655.2023.2254908</t>
  </si>
  <si>
    <t>Multidisciplinary Sciences</t>
  </si>
  <si>
    <t>Science &amp; Technology - Other Topics</t>
  </si>
  <si>
    <t>R6PV5</t>
  </si>
  <si>
    <t>WOS:001065565000001</t>
  </si>
  <si>
    <t>Alamneh, T; Mada, M; Abebe, T</t>
  </si>
  <si>
    <t>Alamneh, Tadele; Mada, Melkamu; Abebe, Tora</t>
  </si>
  <si>
    <t>Impact of Urban expansion on income of evicted farmers in the peri-Urban areas of Amhara Regional State, Ethiopia: Endogenous switching regression approach</t>
  </si>
  <si>
    <t>COGENT ECONOMICS &amp; FINANCE</t>
  </si>
  <si>
    <t>Evicted; impact; non-evicted; peri-urban; Ethiopia</t>
  </si>
  <si>
    <t>TENURE</t>
  </si>
  <si>
    <t>The rate of urbanization in the Amhara region has apparently increased over the past three decades and is now higher than that of any other region in Ethiopia. As cities expand, peri-urban farmers in the region are being compelled to abandon their landholdings, which is their life-long asset. Therefore, the aim of this study is to investigate the impact of urban expansion on the income of evicted peri-urban farmers in Injibara, Burie and Gish Abay cities of the Amhara regional state, Ethiopia. Using stratified sampling technique, primary data was collected from 393 households (197 evicted and 196 non-evicted). The endogenous switching regression model was employed to examine the impact of urbanization on the income of evicted farmers. The model's output of ATT revealed that evicted farmers had a substantial reduction in yearly income of 9202.36 Ethiopian Birr as compared to their counterfactuals. In other words, eviction diminishes the annual income of evicted farmers by 26.73%. Furthermore, ATU results also confirmed that non-evicted farmers' income would have decreased by 4666.78 Birr if they had chosen to be evicted, proving that eviction might have a negative impact on farmers' income at any circumstance. Therefore, this study suggests that the government conduct a comprehensive socioeconomic and demographic evaluation before evicting indigenous farmers and that an alternative strategy be developed to mitigate the negative effects of eviction on peri-urban farmers.</t>
  </si>
  <si>
    <t>[Alamneh, Tadele; Mada, Melkamu; Abebe, Tora] Arba Minch Univ, Dept Econ, Arba Minch, Ethiopia; [Alamneh, Tadele] Arba Minch Univ, Coll Business &amp; Econ, Dept Econ, Arba Minch, Ethiopia</t>
  </si>
  <si>
    <t>Arba Minch University; Arba Minch University</t>
  </si>
  <si>
    <t>Alamneh, T (corresponding author), Arba Minch Univ, Coll Business &amp; Econ, Dept Econ, Arba Minch, Ethiopia.</t>
  </si>
  <si>
    <t>alamnehtadele@gmail.com</t>
  </si>
  <si>
    <t>Arba Minch University</t>
  </si>
  <si>
    <t>The authors would like to thank, without implicating, the journal editor and two anonymous reviewers for valuable comments and suggestions that have substantially improved the paper. They would also like to thank Arba Minch University for funding this research for data collection.</t>
  </si>
  <si>
    <t>2332-2039</t>
  </si>
  <si>
    <t>COGENT ECON FINANC</t>
  </si>
  <si>
    <t>Cogent Econ. Financ.</t>
  </si>
  <si>
    <t>10.1080/23322039.2023.2199596</t>
  </si>
  <si>
    <t>Economics</t>
  </si>
  <si>
    <t>D7PW0</t>
  </si>
  <si>
    <t>WOS:000970619900001</t>
  </si>
  <si>
    <t>Albuquerque, F; dos Santos, PG</t>
  </si>
  <si>
    <t>Albuquerque, Fabio; dos Santos, Paula Gomes</t>
  </si>
  <si>
    <t>A discourse analysis of Russia's invasion of Ukraine by listed European entities from the energy-related sectors</t>
  </si>
  <si>
    <t>COGENT SOCIAL SCIENCES</t>
  </si>
  <si>
    <t>content analysis; disclosures; energy sector; invasion; impression management; Russia; Ukraine</t>
  </si>
  <si>
    <t>IMPRESSION MANAGEMENT; SUSTAINABILITY REPORTS; NARRATIVES; DISCLOSURE</t>
  </si>
  <si>
    <t>Russia invaded Ukraine in March 2022, reinitiating a military conflict. Since Europe relied on Russian energy imports, entities in the energy sector may be affected. Based on content analysis, this exploratory paper assesses the disclosures by listed European entities in the energy sector in 2022 regarding Russia's invasion of Ukraine, since the impacts of this event should at least be reported under International Accounting Standard (IAS) 10. The impression management (IM) strategies behind the entities' disclosures are explored by using financial or integrated reporting as a source of information for the period ending in 2021. The findings mostly indicate a lower disclosure level among the entities that reported this event. Further, figures are often missing, and the entities' exposure to this non-adjustable event and its likely future impacts are usually unclear and vague within the notes on the subsequent events. Finally, messages' tone and readability might be aligned with concealment strategies. To the best of the authors' knowledge, this is the first research that uses this theme and IAS 10 notes as the object and source of analysis, respectively. The paper contributes to the literature by providing insights into the different patterns revealed by the entities concerning a current topic that has relevant social and economic impacts globally, as well as the characteristics of the entities' IAS 10 disclosures.</t>
  </si>
  <si>
    <t>[Albuquerque, Fabio; dos Santos, Paula Gomes] Inst Politecn Lisboa, Lisbon Accounting &amp; Business Sch ISCAL, P-1069035 Lisbon, Portugal</t>
  </si>
  <si>
    <t>Polytechnic Institute of Lisbon</t>
  </si>
  <si>
    <t>Albuquerque, F (corresponding author), Inst Politecn Lisboa, Lisbon Accounting &amp; Business Sch ISCAL, P-1069035 Lisbon, Portugal.</t>
  </si>
  <si>
    <t>fhalbuquerque@iscal.ipl.pt</t>
  </si>
  <si>
    <t>Albuquerque, Fabio/H-5040-2012; dos Santos, Paula Gomes/ABB-4507-2021</t>
  </si>
  <si>
    <t>Albuquerque, Fabio/0000-0001-8877-9634; dos Santos, Paula Gomes/0000-0003-2192-8855</t>
  </si>
  <si>
    <t>Instituto Politecnico de Lisboa [IPL/2022/REPUKRAINE_ISCAL]</t>
  </si>
  <si>
    <t>Instituto Politecnico de Lisboa</t>
  </si>
  <si>
    <t>The Instituto Politecnico de Lisboa (project IPL/2022/REPUKRAINE_ISCAL) provided the funding for this research.</t>
  </si>
  <si>
    <t>2331-1886</t>
  </si>
  <si>
    <t>COGENT SOC SCI</t>
  </si>
  <si>
    <t>Cogent Soc. Sci.</t>
  </si>
  <si>
    <t>10.1080/23311886.2023.2233790</t>
  </si>
  <si>
    <t>Social Sciences, Interdisciplinary</t>
  </si>
  <si>
    <t>Social Sciences - Other Topics</t>
  </si>
  <si>
    <t>L8BK3</t>
  </si>
  <si>
    <t>WOS:001025456400001</t>
  </si>
  <si>
    <t>Nazari, MA; Mukhtar, A; Yasir, ASHM; Rashidi, MM; Ahmadi, MH; Blazek, V; Prokop, L; Misak, S</t>
  </si>
  <si>
    <t>Alhuyi Nazari, Mohammad; Mukhtar, Azfarizal; Yasir, Ahmad Shah Hizam Md; Rashidi, M. M.; Ahmadi, Mohammad Hossein; Blazek, Vojtech; Prokop, Lukas; Misak, Stanislav</t>
  </si>
  <si>
    <t>Applications of intelligent methods in solar heaters: an updated review</t>
  </si>
  <si>
    <t>ENGINEERING APPLICATIONS OF COMPUTATIONAL FLUID MECHANICS</t>
  </si>
  <si>
    <t>Solar heaters; intelligent methods; artificial neural network; renewable energy; &gt;</t>
  </si>
  <si>
    <t>ARTIFICIAL NEURAL-NETWORKS; AIR HEATER; THERMAL-CONDUCTIVITY; PERFORMANCE PREDICTION; WATER-HEATER; ABSORBER PLATE; NANOFLUIDS; COLLECTOR; MODEL; ANFIS</t>
  </si>
  <si>
    <t>Heating and thermal comfort have remarkable share of final energy consumption. Until now, most of the demand for heating applications in buildings is supplied by fossil fuels and electrical technologies. Concerning the exhaustion of fossil fuels in the future and the environmental problems related to their consumption, making use of renewable energy sources can be a practical alternative. On this point, solar energy is an appropriate source to be applied for heating by utilizing different technologies. The function and output of solar heaters depends on numerous factors, and this causes difficulties in the prediction of their performance and modelling. In this scenario, intelligent techniques are helpful and have been used by several scholars in recent years. This paper reviews proposed models for the prediction of the performance of different solar heaters. The literature review reveals that artificial neural Networks represent one of the most used approaches for the performance prediction of solar heaters; however, other intelligent techniques, namely support vector machines, have been used for this purpose too. Moreover, it is found that these methods have the ability to predict with great precision by applying the appropriate approach and architecture. In addition, it can be noted that the function of the models generated based on intelligent techniques are associated with some elements such as the employed function and architecture of the model.</t>
  </si>
  <si>
    <t>[Alhuyi Nazari, Mohammad] Univ Tehran, Fac New Sci &amp; Technol, Tehran, Iran; [Mukhtar, Azfarizal] Univ Tenaga Nas, Inst Sustainable Energy, Putrajaya Campus, Kajang, Malaysia; [Yasir, Ahmad Shah Hizam Md] Rabdan Acad, Fac Resilience, Abu Dhabi, U Arab Emirates; [Rashidi, M. M.] Univ Elect Sci &amp; Technol China, Inst Fundamental &amp; Frontier Sci, Chengdu, Peoples R China; [Ahmadi, Mohammad Hossein] Shahrood Univ Technol, Fac Mech Engn, Shahrood, Iran; [Blazek, Vojtech; Prokop, Lukas; Misak, Stanislav] VSB Tech Univ Ostrava, ENET Ctr, Ostrava, Czech Republic</t>
  </si>
  <si>
    <t>University of Tehran; Universiti Tenaga Nasional; University of Electronic Science &amp; Technology of China; Shahrood University of Technology; Technical University of Ostrava</t>
  </si>
  <si>
    <t>Mukhtar, A (corresponding author), Univ Tenaga Nas, Inst Sustainable Energy, Putrajaya Campus, Kajang, Malaysia.</t>
  </si>
  <si>
    <t>azfarizal@uniten.edu.my</t>
  </si>
  <si>
    <t>Mukhtar, Azfarizal/D-5803-2017; Blazek, Vojtech/GLT-8776-2022</t>
  </si>
  <si>
    <t>Mukhtar, Azfarizal/0000-0002-7792-0767; Blazek, Vojtech/0000-0003-0508-8518</t>
  </si>
  <si>
    <t>National Centre for Energy II [TN02000025]</t>
  </si>
  <si>
    <t>National Centre for Energy II</t>
  </si>
  <si>
    <t>This paper was supported by the following project TN02000025 National Centre for Energy II.</t>
  </si>
  <si>
    <t>1994-2060</t>
  </si>
  <si>
    <t>1997-003X</t>
  </si>
  <si>
    <t>ENG APPL COMP FLUID</t>
  </si>
  <si>
    <t>Eng. Appl. Comp. Fluid Mech.</t>
  </si>
  <si>
    <t>10.1080/19942060.2023.2229882</t>
  </si>
  <si>
    <t>Engineering, Multidisciplinary; Engineering, Mechanical; Mechanics</t>
  </si>
  <si>
    <t>Engineering; Mechanics</t>
  </si>
  <si>
    <t>N5XD2</t>
  </si>
  <si>
    <t>WOS:001037729300001</t>
  </si>
  <si>
    <t>Almuradova, E; Menekse, S</t>
  </si>
  <si>
    <t>Almuradova, Elvina; Menekse, Serkan</t>
  </si>
  <si>
    <t>Survival outcomes and prognostic nutritional index in very elderly small-cell lung cancer patients: importance of active treatment and nutritional support</t>
  </si>
  <si>
    <t>AGING MALE</t>
  </si>
  <si>
    <t>SCLC; elderly; malnutrition; survival; prognostic nutritional index</t>
  </si>
  <si>
    <t>THORACIC-RADIOTHERAPY; CISPLATIN; ETOPOSIDE; PREDICTS; TRIAL</t>
  </si>
  <si>
    <t>Background: Small-cell lung cancer (SCLC) is a highly aggressive tumor with a high metastatic potential, particularly affecting current or former heavy smokers. Treatment typically involves chemotherapy, often combined with radiotherapy, and immunotherapy for extensive disease. Prophylactic cranial irradiation is recommended to reduce brain metastases. Elderly SCLC patients face unique challenges due to frailty and comorbidities, leading to increased risks of treatment-related toxicity and malnutrition. The prognostic nutritional index (PNI), a composite marker of nutritional and immune status, has shown promise in predicting outcomes in various malignancies. However, the optimal treatment approach for very elderly SCLC patients remains unclear, as they are often excluded from clinical trials.Aims: This study aimed to evaluate the survival outcomes of SCLC patients aged 75 years or older and their correlation with PNI.Study design Retrospective cohort study.Methods: The study retrospectively analyzed data from 71 SCLC patients aged =75 years, focusing on age, gender, smoking status, chronic diseases, performance status, clinical stage, treatment modality, and pretreatment PNI. Survival estimates were calculated using the Kaplan-Meier method, and multivariate Cox regression analysis was performed to identify independent predictors of overall survival (OS).Results: The results demonstrated that 26.8% of very elderly SCLC patients received no active treatment, resulting in a significantly shorter median survival time of 1.3 months. In contrast, patients who underwent aggressive treatment, such as palliative chemotherapy or chemotherapy plus radiotherapy, had significantly longer median survival times. Multivariate analysis revealed that receiving chemotherapy plus radiotherapy was associated with a significant survival benefit compared to no treatment. Furthermore, low PNI (=40) was independently associated with decreased OS.Conclusion: This study highlights the importance of active treatment and nutritional support in improving survival outcomes for very elderly SCLC patients. The findings suggest that low PNI and lack of oncological treatment are associated with worse survival outcomes. Therefore, integrating nutritional assessment, interventions, and appropriate treatment strategies are crucial in managing lung cancer patients. Larger, multicenter studies are needed to validate these findings and explore potential interventions to optimize nutritional status and improve outcomes for elderly patients with SCLC.</t>
  </si>
  <si>
    <t>[Almuradova, Elvina] Ege Univ, Fac Med, Dept Med Oncol, Izmir, Turkiye; [Menekse, Serkan] Manisa City Hosp, Dept Nucl Med, Manisa, Turkiye</t>
  </si>
  <si>
    <t>Ege University</t>
  </si>
  <si>
    <t>Almuradova, E (corresponding author), Ege Univ, Fac Med, Dept Med Oncol, Izmir, Turkiye.</t>
  </si>
  <si>
    <t>elvinaalmuradova@yahoo.com.tr</t>
  </si>
  <si>
    <t>ALMURADOVA, ELVİNA/IAR-8895-2023</t>
  </si>
  <si>
    <t>Almuradova, Elvina/0000-0002-5551-7731</t>
  </si>
  <si>
    <t>None.</t>
  </si>
  <si>
    <t>1368-5538</t>
  </si>
  <si>
    <t>1473-0790</t>
  </si>
  <si>
    <t>Aging Male</t>
  </si>
  <si>
    <t>10.1080/13685538.2023.2251573</t>
  </si>
  <si>
    <t>Endocrinology &amp; Metabolism; Urology &amp; Nephrology</t>
  </si>
  <si>
    <t>Q4PR6</t>
  </si>
  <si>
    <t>WOS:001057362100001</t>
  </si>
  <si>
    <t>Alqahtani, M; Mahabbat, N; Fayi, K</t>
  </si>
  <si>
    <t>Alqahtani, Moraya; Mahabbat, Nehal; Fayi, Khalid</t>
  </si>
  <si>
    <t>Rare complication of coupled VASER liposuction and Renuvion technologies: a case report</t>
  </si>
  <si>
    <t>CASE REPORTS IN PLASTIC SURGERY AND HAND SURGERY</t>
  </si>
  <si>
    <t>Liposuction; J-Plasma; Renuvion</t>
  </si>
  <si>
    <t>This study presents the case of a women, who underwent VASER-assisted liposuction of the abdomen coupled with Renuvion skin tightening by J-Plasma for skin retraction. She developed pain and moderate surgical emphysema. Radiological findings showed moderate subcutaneous emphysema. There were no signs of viscus perforation, or pneumothorax.</t>
  </si>
  <si>
    <t>[Mahabbat, Nehal; Fayi, Khalid] King Faisal Specialist Hosp &amp; Res Ctr, Dept Plast Surg, Riyadh, Saudi Arabia</t>
  </si>
  <si>
    <t>King Faisal Specialist Hospital &amp; Research Center</t>
  </si>
  <si>
    <t>Mahabbat, N (corresponding author), King Faisal Specialist Hosp &amp; Res Ctr, Dept Plast Surg, Riyadh, Saudi Arabia.</t>
  </si>
  <si>
    <t>moralqahtani@kfshrc.edu.sa</t>
  </si>
  <si>
    <t>2332-0885</t>
  </si>
  <si>
    <t>CASE REP PLAST SURG</t>
  </si>
  <si>
    <t>Case Rep. Plast. Surg. Hand Surg.</t>
  </si>
  <si>
    <t>10.1080/23320885.2023.2181175</t>
  </si>
  <si>
    <t>Surgery</t>
  </si>
  <si>
    <t>D0GD2</t>
  </si>
  <si>
    <t>WOS:000965588300001</t>
  </si>
  <si>
    <t>Alvarez-Peralta, M; Rojas-Andrés, R; Diefenbacher, S</t>
  </si>
  <si>
    <t>Alvarez-Peralta, Miguel; Rojas-Andres, Raul; Diefenbacher, Svenne</t>
  </si>
  <si>
    <t>Meta-analysis of political communication research on Twitter: Methodological trends</t>
  </si>
  <si>
    <t>Political communications; Twitter; meta research; meta-study; methodology; sampling bias</t>
  </si>
  <si>
    <t>This meta-analysis examines the methodological tendencies of scientific research about political communication on Twitter published in journals based on Spanish-speaking countries between 2019 and 2021. It covers all the journals indexed in the JCR and the two first quartiles of Scopus index, producing a universe of 1.233 articles, of which 51 addressed political communication on Twitter. The focus is set on the following methodological parameters: sample types and construction, time periods, geographical areas, methodologies, multimedia analysis, general research themes and approaches, and software resources. The aim is to provide a map of recent research in the Spanish-speaking scientific community and to identify widespread methodological trends. A significant trend of software dependency was identified, i.e. published research often consists of the mere application of a certain software to a certain dataset, without enough discussion on the possible biases introduced by the software and the sampling methods.</t>
  </si>
  <si>
    <t>[Alvarez-Peralta, Miguel] Univ Castilla La Mancha, Dept Journalism, Mancha, Cuenca, Spain; [Rojas-Andres, Raul] Univ Castilla La Mancha, Fac Commun, Mancha, Cuenca, Spain; [Diefenbacher, Svenne] Ulm Univ, Dept Social Psychol, Ulm, Germany; [Alvarez-Peralta, Miguel] Univ Castilla La Mancha, UCLM, Fac Comunicac, Dept Journalism, Off 2-09 Pza Libertad Expres S-N, Cuenca 16071, Spain</t>
  </si>
  <si>
    <t>Universidad de Castilla-La Mancha; Universidad de Castilla-La Mancha; Ulm University; Universidad de Castilla-La Mancha</t>
  </si>
  <si>
    <t>Alvarez-Peralta, M (corresponding author), Univ Castilla La Mancha, UCLM, Fac Comunicac, Dept Journalism, Off 2-09 Pza Libertad Expres S-N, Cuenca 16071, Spain.</t>
  </si>
  <si>
    <t>miguel.alvarez@uclm.es</t>
  </si>
  <si>
    <t>; Alvarez-Peralta, Miguel/A-5501-2017</t>
  </si>
  <si>
    <t>Diefenbacher, Svenne/0000-0001-7560-2565; Alvarez-Peralta, Miguel/0000-0001-5619-8106; Rojas, Raul/0000-0002-0375-3548</t>
  </si>
  <si>
    <t>Volkswagen Foundation [99685]</t>
  </si>
  <si>
    <t>Volkswagen Foundation(Volkswagen)</t>
  </si>
  <si>
    <t>The work was supported by the~Volkswagen Foundation [99685]</t>
  </si>
  <si>
    <t>10.1080/23311886.2023.2209371</t>
  </si>
  <si>
    <t>F5RM3</t>
  </si>
  <si>
    <t>WOS:000982916900001</t>
  </si>
  <si>
    <t>Amanda, C</t>
  </si>
  <si>
    <t>Amanda, Citra</t>
  </si>
  <si>
    <t>Spatial competition on rural bank efficiency: Evidence from Indonesia</t>
  </si>
  <si>
    <t>Physical distance; market boundaries; rural banks; bank cost efficiency; SFA model</t>
  </si>
  <si>
    <t>PROFIT EFFICIENCY; MARKET-STRUCTURE; FRONTIER MODELS; INFORMATION; DISTANCE; PROFITABILITY; PERFORMANCE; EQUITY; COST; DIVERSIFICATION</t>
  </si>
  <si>
    <t>This study empirically examines bank spatial competition within the rural banking setting of Indonesia. The specific focus is on bank cost efficiency. It presents a new competition measure based on two spatial variables: physical distances and Thiessen polygon market boundaries. This study uses panel data from a large sample of more than 1,000 rural banks using quarterly financial data of rural banks in Indonesia from Q1-2014 to Q4-2018. Parametric or stochastic frontier analysis of Model EN is used to handle the endogeneity in bank cost efficiency measurement. The results show that bank efficiency is higher for shorter distances between banks and larger boundaries. Overall, the results support the competition-efficiency hypothesis. It also helps the idea that banks have mark-up pricing (higher market power) and may choose to reduce their effort to maximize profit.</t>
  </si>
  <si>
    <t>[Amanda, Citra] Univ Auckland, Dept Accounting &amp; Finance, Private Bag 92019, Auckland 1142, New Zealand</t>
  </si>
  <si>
    <t>University of Auckland</t>
  </si>
  <si>
    <t>Amanda, C (corresponding author), Univ Auckland, Dept Accounting &amp; Finance, Private Bag 92019, Auckland 1142, New Zealand.</t>
  </si>
  <si>
    <t>c.amanda@auckland.ac.nz</t>
  </si>
  <si>
    <t>Amanda, Citra/0000-0002-1982-6182</t>
  </si>
  <si>
    <t>10.1080/23322039.2023.2190216</t>
  </si>
  <si>
    <t>A1QU2</t>
  </si>
  <si>
    <t>WOS:000952954100001</t>
  </si>
  <si>
    <t>Amano, H; Ishimoto, T; Hagihara, K; Suganuma, R; Aiba, K; Sun, SH; Wang, P; Nakano, T</t>
  </si>
  <si>
    <t>Amano, Hiroki; Ishimoto, Takuya; Hagihara, Koji; Suganuma, Ryoya; Aiba, Keisuke; Sun, Shi-Hai; Wang, Pan; Nakano, Takayoshi</t>
  </si>
  <si>
    <t>Impact of gas flow direction on the crystallographic texture evolution in laser beam powder bed fusion</t>
  </si>
  <si>
    <t>VIRTUAL AND PHYSICAL PROTOTYPING</t>
  </si>
  <si>
    <t>Gas flow direction; laser powder bed fusion; crystallographic orientation; scan strategy; thermal conductivity</t>
  </si>
  <si>
    <t>FINITE-ELEMENT SIMULATION; TI-15MO-5ZR-3AL ALLOY; MECHANICAL-PROPERTIES; SPATTER GENERATION; STAINLESS-STEEL; MICROSTRUCTURE; METAL; BEHAVIOR; DEFORMATION; STRATEGIES</t>
  </si>
  <si>
    <t>This study demonstrated that the gas flow direction in the laser beam powder bed fusion (PBF-LB) significantly affects the crystallographic texture evolved in the products. The effect on texture is attributed to the difference in the melt pool depth, which depends on gas flow direction. The melt pool was shallower when the laser scanning and gas flow directions were parallel than when they were perpendicular. This phenomenon should be of particular concern when applying Scan Strategy_XY wherein the laser was scanned with a 90 degrees rotation in each layer, which is often used in PBF-LB. The asymmetry in the melt pool depth generated by laser scanning in the x- and y-directions can lead to unintended variations in the crystallographic texture. The gas phase would interact with a part being manufactured immediately beneath the gas and affect the crystallographic feature of the product.</t>
  </si>
  <si>
    <t>[Amano, Hiroki; Ishimoto, Takuya; Hagihara, Koji; Suganuma, Ryoya; Sun, Shi-Hai; Nakano, Takayoshi] Osaka Univ, Grad Sch Engn, Div Mat &amp; Mfg Sci, Suita, Japan; [Amano, Hiroki; Aiba, Keisuke] TAIYO NIPPON SANSO Corp, Tokyo, Japan; [Ishimoto, Takuya; Hagihara, Koji; Sun, Shi-Hai; Nakano, Takayoshi] Osaka Univ, Anisotrop Design &amp; Addit Mfg Res Ctr, Suita, Japan; [Ishimoto, Takuya] Univ Toyama, Aluminium Res Ctr, Toyama, Japan; [Hagihara, Koji] Nagoya Inst Technol, Dept Phys Sci &amp; Engn, Nagoya, Japan; [Sun, Shi-Hai] Beijing Inst Technol, Sch Mat &amp; Engn, Beijing, Peoples R China; [Wang, Pan] ASTAR, Singapore Inst Mfg Technol, Singapore, Singapore; [Nakano, Takayoshi] Osaka Univ, Grad Sch Engn, Div Mat &amp; Mfg Sci, 2-1 Yamadaoka, Suita, Osaka 5650871, Japan; [Nakano, Takayoshi] Osaka Univ, Anisotrop Design &amp; Addit Mfg Res Ctr, 2-1 Yamadaoka, Suita, Osaka 5650871, Japan</t>
  </si>
  <si>
    <t>Osaka University; Taiyo Nippon Sanso Corporation; Osaka University; University of Toyama; Nagoya Institute of Technology; Beijing Institute of Technology; Agency for Science Technology &amp; Research (A*STAR); A*STAR - Singapore Institute of Manufacturing Technology (SIMTech); Osaka University; Osaka University</t>
  </si>
  <si>
    <t>Nakano, T (corresponding author), Osaka Univ, Grad Sch Engn, Div Mat &amp; Mfg Sci, 2-1 Yamadaoka, Suita, Osaka 5650871, Japan.;Nakano, T (corresponding author), Osaka Univ, Anisotrop Design &amp; Addit Mfg Res Ctr, 2-1 Yamadaoka, Suita, Osaka 5650871, Japan.</t>
  </si>
  <si>
    <t>nakano@mat.eng.osaka-u.ac.jp</t>
  </si>
  <si>
    <t>sun, shihai/AAL-5837-2021</t>
  </si>
  <si>
    <t>Wang, Pan/0000-0002-2079-9580; Nakano, Takayoshi/0000-0001-8052-1698; Ishimoto, Takuya/0000-0003-0081-0591</t>
  </si>
  <si>
    <t>Japan Science and Technology Agency (JST) [JPMJCR2194]</t>
  </si>
  <si>
    <t>Japan Science and Technology Agency (JST)(Japan Science &amp; Technology Agency (JST))</t>
  </si>
  <si>
    <t>This work was supported by CREST-Nanomechanics: Elucidation of macroscale mechanical properties based on understanding the nanoscale dynamics of innovative mechanical materials (Grant Number: JPMJCR2194) from the Japan Science and Technology Agency (JST).</t>
  </si>
  <si>
    <t>1745-2759</t>
  </si>
  <si>
    <t>1745-2767</t>
  </si>
  <si>
    <t>VIRTUAL PHYS PROTOTY</t>
  </si>
  <si>
    <t>Virtual Phys. Prototyp.</t>
  </si>
  <si>
    <t>e2169172</t>
  </si>
  <si>
    <t>10.1080/17452759.2023.2169172</t>
  </si>
  <si>
    <t>Engineering, Manufacturing; Materials Science, Multidisciplinary</t>
  </si>
  <si>
    <t>Engineering; Materials Science</t>
  </si>
  <si>
    <t>8G5DJ</t>
  </si>
  <si>
    <t>Green Submitted, gold</t>
  </si>
  <si>
    <t>WOS:000920365200001</t>
  </si>
  <si>
    <t>An, B; Jiang, YN; Wang, CC; Shen, P; Song, TY; Hu, CH; Liu, K</t>
  </si>
  <si>
    <t>An, Bei; Jiang, Yanan; Wang, Changcheng; Shen, Peng; Song, Tianyi; Hu, Chihao; Liu, Kui</t>
  </si>
  <si>
    <t>Ground infrastructure monitoring in coastal areas using time-series inSAR technology: the case study of Pudong International Airport, Shanghai</t>
  </si>
  <si>
    <t>INTERNATIONAL JOURNAL OF DIGITAL EARTH</t>
  </si>
  <si>
    <t>SAR interferometry; coastal management; permanent scatterer; short baseline subsets; Pudong International Airport; subsidence measurement</t>
  </si>
  <si>
    <t>SYNTHETIC-APERTURE RADAR; PERMANENT SCATTERERS; LAND RECLAMATION; DEFORMATION; INTERFEROMETRY; SUBSIDENCE; LANDSLIDE; DISPLACEMENT; ISLAND; DELTA</t>
  </si>
  <si>
    <t>Shanghai Pudong International Airport (PDIA), with its east side built along the coast with weak geological conditions, is prone to uneven foundation settlement due to the consolidation and compression of soil and erosion of coastal tides, affecting the safe operation of the airport. Therefore, it is crucial to conduct dynamic subsidence monitoring within the airport, especially in the runway area. 29 scenes of ascending track Sentinel-1A radar images from August 2016 to June 2018 are selected to perform surface deformation inversion based on PS-InSAR and improved SBAS-InSAR for PDIA and its around coastal area. Through cross-validation, the reliability of the time-series InSAR technique for dynamic monitoring of surface deformation of coastal zone infrastructures is confirmed. The results show severely uneven settlement. By combining the monitoring results with the local geological and hydrological dataset, the driving factors of differential deformation of the infrastructures are analyzed, including stratigraphic geological conditions, ground loadings, foundation treatment methods, water erosion, and groundwater level changes. Finally, the time-series deformation characteristics and the causes of PDIA's runway are emphasized based on the PS deformation results. This case provides a reference for the safety management of critical infrastructure in coastal areas using advanced InSAR technique.</t>
  </si>
  <si>
    <t>[An, Bei; Jiang, Yanan] Chengdu Univ Technol, Coll Earth Sci, Chengdu, Peoples R China; [An, Bei; Wang, Changcheng; Shen, Peng; Song, Tianyi; Hu, Chihao; Liu, Kui] Cent South Univ, Sch Geosci &amp; Info Phys, Changsha, Peoples R China; [Jiang, Yanan] Chengdu Univ Technol, State Key Lab Geohazard Prevent &amp; Geoenviroment Pr, Chengdu, Peoples R China</t>
  </si>
  <si>
    <t>Chengdu University of Technology; Central South University; Chengdu University of Technology</t>
  </si>
  <si>
    <t>Jiang, YN (corresponding author), Chengdu Univ Technol, Coll Earth Sci, Chengdu, Peoples R China.;Jiang, YN (corresponding author), Chengdu Univ Technol, State Key Lab Geohazard Prevent &amp; Geoenviroment Pr, Chengdu, Peoples R China.</t>
  </si>
  <si>
    <t>jiangyanan@cdut.edu.cn</t>
  </si>
  <si>
    <t>WANG, YANG/JFA-8821-2023; yang, peng/JEZ-8452-2023; Liu, Yuan/JFB-4766-2023; li, xiang/JCN-9316-2023; yang, yun/IZE-1092-2023; Jiang, Yu/JEZ-9814-2023; li, jing/JEF-8436-2023; zhang, yan/JGL-8022-2023; yang, li/JGM-1009-2023; li, qing/JEF-9044-2023; Liu, Jie/JCP-1070-2023; Zhang, Yunxuan/IXD-9283-2023; Chen, Xin/JDN-2017-2023; zhang, yuyang/IVV-5089-2023; Yang, Tian/JFB-1008-2023; Liu, Yujie/IWU-6535-2023; 影, 影探/HOC-5813-2023; zhang, yue/JAC-3705-2023; zhang, xiao/JCN-8822-2023; liu, lin/JFK-3401-2023; Zhang, Jingyi Chandler/JFK-8953-2023</t>
  </si>
  <si>
    <t>Liu, Yujie/0000-0002-1153-6156; 影, 影探/0000-0003-1381-3476; Shen, Peng/0000-0002-6691-1398; Zhang, Jingyi Chandler/0000-0003-3015-4396</t>
  </si>
  <si>
    <t>National Natural Science Foundation of China [41790445]; Key Research and Development Program of Sichuan Province [2023YFS0439]</t>
  </si>
  <si>
    <t>National Natural Science Foundation of China(National Natural Science Foundation of China (NSFC)); Key Research and Development Program of Sichuan Province</t>
  </si>
  <si>
    <t>This work is financially supported by the National Natural Science Foundation of China [grant no 41790445] and the Key Research and Development Program of Sichuan Province [grant no 2023YFS0439].</t>
  </si>
  <si>
    <t>1753-8947</t>
  </si>
  <si>
    <t>1753-8955</t>
  </si>
  <si>
    <t>INT J DIGIT EARTH</t>
  </si>
  <si>
    <t>Int. J. Digit. Earth</t>
  </si>
  <si>
    <t>10.1080/17538947.2023.2171144</t>
  </si>
  <si>
    <t>Geography, Physical; Remote Sensing</t>
  </si>
  <si>
    <t>Physical Geography; Remote Sensing</t>
  </si>
  <si>
    <t>9J5RX</t>
  </si>
  <si>
    <t>WOS:000940244600001</t>
  </si>
  <si>
    <t>Anku-Tsede, O; Arthur, R; Amankwah, MO</t>
  </si>
  <si>
    <t>Anku-Tsede, Olivia; Arthur, Reginald; Amankwah, Majoreen Osafroadu</t>
  </si>
  <si>
    <t>Special prosecutor: Panacea or facade to institutionalised corruption in Ghana?</t>
  </si>
  <si>
    <t>special prosecutor; corruption; law; anti-corruption; attorney</t>
  </si>
  <si>
    <t>Motivated by the systematic nature of corruption and effect on the nation's potential, this study sought to assess how the establishment of the Office of the Special Prosecutor (OSP) aids in its fight. Further, it comparatively analyses this agency vis-a-vis other agencies with a similar mandate to determine whether the role of the special prosecutor makes any impact in fighting this cancer. Data was collected through interviews from professionals in the law fraternity and analysed using content analysis. Findings are that the OSP is indeed an independent prosecutor who could be regarded as free from the influence of the executive with no conflict of interest in carrying out its mandate. Further, the study found that there was dissatisfaction with the performance of the OSP due to its inability to prosecute enough high-profile cases. However, due to the commitment and track record of the OSP, many expressed confidence in his person to help wrestle corruption. Many, however, were of the view that there were overlapping and conflicting functions between the OSP and other state anti-corruption agencies. Unfortunately, the office is saddled with many challenges inhibiting the performance of its mandate, thereby questioning whether it is a panacea or facade to institutionalised corruption in Ghana.</t>
  </si>
  <si>
    <t>[Anku-Tsede, Olivia] Univ Ghana, Off Legal Counsel, Accra, Ghana; [Arthur, Reginald; Amankwah, Majoreen Osafroadu] Univ Ghana, Dept Org &amp; Human Resource Management, Business Sch, Accra, Ghana; [Amankwah, Majoreen Osafroadu] Univ Ghana, Dept Org &amp; Human Resource Management, Business Sch, POB LG 78, Accra, Ghana</t>
  </si>
  <si>
    <t>University of Ghana; University of Ghana; University of Ghana</t>
  </si>
  <si>
    <t>Amankwah, MO (corresponding author), Univ Ghana, Dept Org &amp; Human Resource Management, Business Sch, POB LG 78, Accra, Ghana.</t>
  </si>
  <si>
    <t>moamankwah@ug.edu.gh</t>
  </si>
  <si>
    <t>Arthur, Reginald/AAH-4592-2020</t>
  </si>
  <si>
    <t>Arthur, Reginald/0000-0001-7726-9794</t>
  </si>
  <si>
    <t>10.1080/23311886.2022.2161185</t>
  </si>
  <si>
    <t>7J6AJ</t>
  </si>
  <si>
    <t>WOS:000904663700001</t>
  </si>
  <si>
    <t>Arab, S; Orfan, SN</t>
  </si>
  <si>
    <t>Arab, Shamsullah; Orfan, Sayeed Naqibullah</t>
  </si>
  <si>
    <t>Perceptions of Afghan EFL undergraduate students about exam cheating</t>
  </si>
  <si>
    <t>COGENT ARTS &amp; HUMANITIES</t>
  </si>
  <si>
    <t>academic fraud; academic misconduct; exam cheating; assessment; techniques; consequences; higher education</t>
  </si>
  <si>
    <t>ACADEMIC DISHONESTY; UNIVERSITY; BEHAVIOR</t>
  </si>
  <si>
    <t>The main purpose of this quantitative study was to investigate EFL undergraduate students' perceptions about cheating in exams: reasons, techniques, and consequences. It also examined the differences between participants' responses by their gender and class. A total of 185 EFL undergraduate students at two public universities took part in the study. A survey questionnaire was used to collect data for the study. SPSS version 28.0 was used to analyze the data. The results revealed that students cheated in exams for various reasons including getting a higher grade, passing an exam, and not having enough time. Students used different ways to cheat in exams such as cheat sheets, cellphones, clothes, and their body parts. Furthermore, students faced certain consequences as a result of cheating in exams. For instance, they failed a particular course due to being caught cheating in exams and they lost their class ranking and self-respect. The study also revealed that there were differences between the participants by their gender but not class. Lecturers should use student-centered learning and formative assessment techniques in their teaching practices to engage students in the learning process and maximize their learning.</t>
  </si>
  <si>
    <t>[Arab, Shamsullah; Orfan, Sayeed Naqibullah] Takhar Univ, Sch Language &amp; Literature, Taliqan, Takhar, Afghanistan</t>
  </si>
  <si>
    <t>Arab, S (corresponding author), Takhar Univ, Sch Language &amp; Literature, Taliqan, Takhar, Afghanistan.</t>
  </si>
  <si>
    <t>Shamsarab57@gmail.com</t>
  </si>
  <si>
    <t>Orfan, Sayeed Naqibullah/0000-0003-4584-1965</t>
  </si>
  <si>
    <t>2331-1983</t>
  </si>
  <si>
    <t>COGENT ARTS HUMANITE</t>
  </si>
  <si>
    <t>Cogent Art Humanities</t>
  </si>
  <si>
    <t>10.1080/23311983.2023.2215564</t>
  </si>
  <si>
    <t>Humanities, Multidisciplinary</t>
  </si>
  <si>
    <t>Arts &amp; Humanities - Other Topics</t>
  </si>
  <si>
    <t>G6LZ5</t>
  </si>
  <si>
    <t>WOS:000990263700001</t>
  </si>
  <si>
    <t>Awwad, M; Jarrah, M; Al-Shawashreh, E</t>
  </si>
  <si>
    <t>Awwad, Mousa; Jarrah, Marwan; Al-Shawashreh, Ekab</t>
  </si>
  <si>
    <t>The discourse uses of the verb dire 'to say' in Vernacular French: A corpus-based exploration</t>
  </si>
  <si>
    <t>Epistemic verbs; grammaticalization; speech verbs; Vernacular French</t>
  </si>
  <si>
    <t>ENGLISH</t>
  </si>
  <si>
    <t>This article provides a descriptive account of the major uses of the speech verb dire to say in Vernacular French. CLAPI Corpus (Corpus de Langue Parlee en Interaction), which is a multimedia database of corpora recorded in real situations (i.e. professional, institutional, commercial, didactic, and medical) is used. Five major uses of the verb dire are found, namely quotative (speech) dire, epistemic dire, evocative dire, desiderative dire, and copular dire. Unlike quotative dire, epistemic dire, evocative dire, desiderative dire and copular dire are restricted in terms of their occurrences (with varying degrees between them). For instance, the verb dire under some of these uses does not take place in the perfect tense, while under other uses it is only restricted to a specific type of subjects (i.e. the demonstrative pronoun ca). We take these restrictions as evidence that this verb undergoes different stages of grammaticalization. Therefore, the study concludes that the verb dire is a target of a grammaticalization process that causes the semantic shift that the verb dire in Spoken French witnesses.</t>
  </si>
  <si>
    <t>[Awwad, Mousa; Jarrah, Marwan; Al-Shawashreh, Ekab] Univ Jordan, Dept French language &amp; literature, Amman, Jordan; [Awwad, Mousa] Univ Jordan, Sch Foreign Languages, Dept French language &amp; literature, Amman 11942, Jordan</t>
  </si>
  <si>
    <t>University of Jordan; University of Jordan</t>
  </si>
  <si>
    <t>Awwad, M (corresponding author), Univ Jordan, Sch Foreign Languages, Dept French language &amp; literature, Amman 11942, Jordan.</t>
  </si>
  <si>
    <t>mousa.awwad@ju.edu.jo</t>
  </si>
  <si>
    <t>10.1080/23311983.2023.2204628</t>
  </si>
  <si>
    <t>F3FQ6</t>
  </si>
  <si>
    <t>WOS:000981240800001</t>
  </si>
  <si>
    <t>Barrera-Verdugo, G</t>
  </si>
  <si>
    <t>Barrera-Verdugo, Gustavo</t>
  </si>
  <si>
    <t>The link between social media exposure and students' moral reasoning and environmental concern: A generational analysis in Chile</t>
  </si>
  <si>
    <t>social media; moral reasoning; environmental concern; higher education; centennial generation</t>
  </si>
  <si>
    <t>TRANSFORMATIONAL LEADERSHIP; SUSTAINABLE CONSUMPTION; FAIR CONSUMPTION; CONSCIOUSNESS; ANTECEDENTS; INFORMATION; TELEVISION; ENGAGEMENT; CONSUMERS; NETWORKS</t>
  </si>
  <si>
    <t>Currently, social media is a fundamental source of information for higher education students, and universities are seeking to strengthen the ethical training and environmental concern of their students enrolled in engineering and business careers since they should lead teams and make relevant decisions in private or public organizations, affecting their subordinates, clients, suppliers and the environment. There is little information about the relationship between exposure to social media platforms and the level of moral reasoning and environmental concern of students enrolled in these areas, differentiating such relationships among younger students who are part of the centennial generation and older ones. To address this knowledge gap, this research analyses the responses of 237 Chilean engineering and business students to an online self-report survey through the Mann-U Wilcoxon test and Spearman correlation coefficients. Students were selected through convenience sampling during the 2020-2021 academic year. The results suggest that there is a positive relationship between the frequency of exposure to social media and the aforementioned concepts and that this relationship is more prominent in the centennial generation. Significant differences among the social media platforms are also supported. WhatsApp is a more transversal social media platform that shows significant correlations in both the younger and older students. This research highlights that social media platforms can be a relevant tool to strengthen the moral reasoning and environmental concern of engineering students who will lead people in organizations.</t>
  </si>
  <si>
    <t>[Barrera-Verdugo, Gustavo] Univ Amer, Fac Engn &amp; Business, Santiago, Chile; [Barrera-Verdugo, Gustavo] Manuel Montt 948, Santiago, Chile</t>
  </si>
  <si>
    <t>Universidad de Las Americas - Chile</t>
  </si>
  <si>
    <t>Barrera-Verdugo, G (corresponding author), Manuel Montt 948, Santiago, Chile.</t>
  </si>
  <si>
    <t>gbarrera@udla.cl</t>
  </si>
  <si>
    <t>Barrera, Gustavo/ABC-4583-2021</t>
  </si>
  <si>
    <t>Barrera, Gustavo/0000-0002-1609-5003</t>
  </si>
  <si>
    <t>10.1080/23311886.2023.2167570</t>
  </si>
  <si>
    <t>8I9FX</t>
  </si>
  <si>
    <t>WOS:000922033500001</t>
  </si>
  <si>
    <t>Baser, U; Bozoglu, M</t>
  </si>
  <si>
    <t>Baser, Ugur; Bozoglu, Mehmet</t>
  </si>
  <si>
    <t>The impact of farm size on sustainability of beef cattle farms: A case study of the Samsun province, Turkey</t>
  </si>
  <si>
    <t>INTERNATIONAL JOURNAL OF AGRICULTURAL SUSTAINABILITY</t>
  </si>
  <si>
    <t>Sustainability; farm size; factor analysis; index; Turkey</t>
  </si>
  <si>
    <t>CARBON FOOTPRINT; IDEA METHOD; AGRICULTURE; PROFITABILITY; DETERMINANTS; PRODUCTIVITY; FERTILIZER; EFFICIENCY; INDEX</t>
  </si>
  <si>
    <t>Many global agricultural problems, such as the decline of agricultural land, soil pollution, climate change, water scarcity, and rural poverty threaten the sustainability of agricultural production systems. This study aimed to (i) develop a methodology to measure the sustainability of beef cattle farms, (ii) measure economic, social and environmental sustainability, and (iii) determine the impact of farm size on the sustainability of beef cattle farming. The study data were collected from 155 beef cattle sample farms via face-to-face surveys in Samsun Province, Turkey. A multi-stage process was employed to measure sustainability. The most important factors contributing to sustainability were determined as the debt-asset ratio, beef yield, and production cost for economic sustainability; the adequacy of educational institutions in the village or district and misunderstanding with neighbours for social sustainability; paying attention to meteorological conditions for pesticide use and nature conservation for environmental sustainability. The composite sustainability index was determined as 0.43 in small farms, 0.51 in medium farms and 0.61 in large farms. It has been found that an increase in the farm size had a positive impact on economic, social, and environmental sustainability of beef cattle farming. The methodology and indicators developed can be used to ensure the sustainability of different agricultural sectors.</t>
  </si>
  <si>
    <t>[Baser, Ugur; Bozoglu, Mehmet] Ondokuz Mayis Univ, Fac Agr, Dept Agr Econ, TR-55139 Samsun, Turkiye</t>
  </si>
  <si>
    <t>Ondokuz Mayis University</t>
  </si>
  <si>
    <t>Baser, U (corresponding author), Ondokuz Mayis Univ, Fac Agr, Dept Agr Econ, TR-55139 Samsun, Turkiye.</t>
  </si>
  <si>
    <t>ugur.baser@omu.edu.tr</t>
  </si>
  <si>
    <t>TUBITAK [2211-C]</t>
  </si>
  <si>
    <t>TUBITAK(Turkiye Bilimsel ve Teknolojik Arastirma Kurumu (TUBITAK))</t>
  </si>
  <si>
    <t>This work was supported by the TUBITAK under 2211-C Priority Areas Related to Doctoral Scholarship Programme.</t>
  </si>
  <si>
    <t>1473-5903</t>
  </si>
  <si>
    <t>1747-762X</t>
  </si>
  <si>
    <t>INT J AGR SUSTAIN</t>
  </si>
  <si>
    <t>Int. J. Agric. Sustain.</t>
  </si>
  <si>
    <t>10.1080/14735903.2023.2253647</t>
  </si>
  <si>
    <t>Agriculture, Multidisciplinary; Green &amp; Sustainable Science &amp; Technology</t>
  </si>
  <si>
    <t>Agriculture; Science &amp; Technology - Other Topics</t>
  </si>
  <si>
    <t>R0KV7</t>
  </si>
  <si>
    <t>WOS:001061325600001</t>
  </si>
  <si>
    <t>Basharat, Z; Afzaal, M; Saeed, F; Islam, F; Hussain, M; Ikram, A; Pervaiz, MU; Awuchi, CG</t>
  </si>
  <si>
    <t>Basharat, Zunaira; Afzaal, Muhammad; Saeed, Farhan; Islam, Fakhar; Hussain, Muzzamal; Ikram, Ali; Pervaiz, Muhammad Usama; Awuchi, Chinaza Godswill</t>
  </si>
  <si>
    <t>Nutritional and functional profile of carob bean (Ceratonia siliqua): a comprehensive review</t>
  </si>
  <si>
    <t>Functional profile; nutritional composition; carob bean; bioactive compounds</t>
  </si>
  <si>
    <t>GLUTEN-FREE BREAD; OXIDATIVE STRESS; IN-VITRO; PHENOLIC-COMPOUNDS; DIETARY FIBER; CARDIOVASCULAR-DISEASE; REPRODUCTIVE TOXICITY; PROXIMATE COMPOSITION; ANTIOXIDANT ACTIVITY; METHANOLIC EXTRACT</t>
  </si>
  <si>
    <t>Carob (Ceratonia siliqua) is one of Asia and Africa's popular nutritional and medicinal crops. This unique plant has an outstanding functional properties and nutritional profile. Carob has high sugar content, drought resistance and is very economical. Carob fruit consists of pulp and seed that are rich sources of different bioactive components. Carob has wide applications in various industries (food, pharmaceuticals and cosmetics) as an anti-oxidant, thickener, stabilizer, lactic acid production and emulsions. The trend of moving toward natural products further highlights the use of carob in different fields due to its excellent nutritional and therapeutic profile. Carob bean gum is widely used in the food industry. The current review has highlighted the nutritional composition, bioactive profile, functional properties, and recent findings on the subject.</t>
  </si>
  <si>
    <t>[Basharat, Zunaira] Univ Punjab Lahore, Dept Food Sci, Lahore, Pakistan; [Afzaal, Muhammad; Saeed, Farhan; Islam, Fakhar; Hussain, Muzzamal; Ikram, Ali] Govt Coll Univ Faisalabad, Dept Food Sci, Faisalabad, Punjab, Pakistan; [Pervaiz, Muhammad Usama] Univ Engn &amp; Technol, Dept Chem, Lahore, Pakistan; [Awuchi, Chinaza Godswill] Kampala Int Univ, Sch Nat &amp; Appl Sci, Kampala, Uganda; [Awuchi, Chinaza Godswill] Kampala Int Univ, Sch Nat &amp; Appl Sci, Box 20000, Kampala, Uganda</t>
  </si>
  <si>
    <t>University of Punjab; Government College University Faisalabad; University of Engineering &amp; Technology Lahore</t>
  </si>
  <si>
    <t>Afzaal, M; Islam, F (corresponding author), Govt Coll Univ Faisalabad, Dept Food Sci, Faisalabad, Punjab, Pakistan.;Awuchi, CG (corresponding author), Kampala Int Univ, Sch Nat &amp; Appl Sci, Box 20000, Kampala, Uganda.</t>
  </si>
  <si>
    <t>muhammadafzaal@gcuf.edu.pk; fakhar.ft440@gmail.com; awuchi.chinaza@kiu.ac.ug</t>
  </si>
  <si>
    <t>Awuchi, Chinaza Godswill/AAO-9006-2021; Islam, Fakhar/HHZ-1206-2022; Afzaal, Muhammad/AAM-8559-2020</t>
  </si>
  <si>
    <t>Awuchi, Chinaza Godswill/0000-0001-5071-8895; Islam, Fakhar/0000-0001-6935-5924; Afzaal, Muhammad/0000-0001-9047-9075; Hussain, Muzzamal/0000-0001-6508-1962</t>
  </si>
  <si>
    <t>10.1080/10942912.2022.2164590</t>
  </si>
  <si>
    <t>7U5MJ</t>
  </si>
  <si>
    <t>WOS:000912176900001</t>
  </si>
  <si>
    <t>Bergaoui, J; Latiri, I; Chaouch, H; Ben Abdallah, J; Mrad, S; Maatamri, W; Letaief, A; Ben Saad, H</t>
  </si>
  <si>
    <t>Bergaoui, Jihene; Latiri, Imed; Chaouch, Houda; Ben Abdallah, Jihene; Mrad, Sawssen; Maatamri, Wided; Letaief, Amel; Ben Saad, Helmi</t>
  </si>
  <si>
    <t>Evaluation of muscle strength and quality in North African patients with chronic hepatitis B: A pilot case control study</t>
  </si>
  <si>
    <t>LIBYAN JOURNAL OF MEDICINE</t>
  </si>
  <si>
    <t>Chronic liver diseases; maximal isometric strength; muscle mass; sarcopenia; Tunisia</t>
  </si>
  <si>
    <t>RELATIVE HANDGRIP STRENGTH; ASIAN WORKING GROUP; PHYSICAL PERFORMANCE; LIVER-CIRRHOSIS; GRIP STRENGTH; SARCOPENIC OBESITY; PROGNOSTIC VALUE; MASS INDEX; MORTALITY; DISEASE</t>
  </si>
  <si>
    <t>Early detection of alteration of muscle strength, quantity, and quality, and sarcopenia is useful in non-cirrhotic chronic hepatitis B (NC-CHB) patients. Studies, which explored the handgrip strength (HGS) are scarce with questionable results, and no previous case-control study explored the presence of sarcopenia. The aim of this study was to assess the muscle strength [i.e.; HGS absolute (HGS(A)), HGS(A)/body mass index (BMI)], muscle quantity [i.e.; appendicular skeletal muscle (ASM), ASM/height(2), ASM/total body weight (TBW), ASM/BMI], and muscle quality [i.e.; HGS(A)/total muscle mass (TMM), HGS(A)/ASM] of NC-CHB patients. This was a case-control study. Cases (n = 26) were untreated NC-CHB patients, and controls (n = 28) were 'apparently' healthy participants. Muscle mass was estimated via the TMM (kg) and ASM (kg). Muscle strength was evaluated via the HGS data [i.e.; HGS(A) (kg), HGS(A)/BMI (m(2))]. Six variants of HGS(A) were determined: highest values for the dominant and non-dominant hands, highest value between the two hands, averages of the three measurements for the two hands, and the average of the highest values of the two hands. Muscle quantity was expressed in three relative variants (ASM/height(2), ASM/TBW, and ASM/BMI). Muscle quality was evaluated via relative HGS data adjusted by muscle mass (i.e.; HGS(A)/TMM, HGS(A)/ASM). Probable and confirmed sarcopenia were retained in front of low muscle strength, and low muscle strength and muscle quantity or quality, respectively. There were no significant differences between controls and NC-CHB patients in values of muscle i) Strength whatever the HGS' mode of expression (e.g.; HGS(A)/BMI: 1.59 +/- 0.54 vs. 1.53 +/- 0.54 m(2), p = 0.622, respectively), ii) Quantity (e.g.; ASM/BMI: 0.79 +/- 0.24 vs. 0.77 +/- 0.23 m(2), p = 0.883), and iii) Quality (e.g.; HGS(A)/ASM: 2.00 +/- 0.25 vs. 2.01 +/- 0.41, p = 0.952, respectively). One NC-CHB participant had a confirmed sarcopenia. To conclude, both controls and NC-CHB patients had similar HGS values. Only one NC-CHB patient had a confirmed sarcopenia.</t>
  </si>
  <si>
    <t>[Bergaoui, Jihene; Latiri, Imed; Ben Saad, Helmi] Hosp Farhat HACHED, Res Lab Heart Failure LR12SP09, Sousse, Tunisia; [Latiri, Imed; Ben Saad, Helmi] Sousse Univ, Fac Med Sousse, Dept Physiol, Sousse, Tunisia; [Chaouch, Houda; Letaief, Amel] Hosp Farhat HACHED, Dept Infect Dis, Viral Hepatitis Res Unit UR12SP35, Sousse, Tunisia; [Ben Abdallah, Jihene; Mrad, Sawssen] Hosp Farhat HACHED, Biochem Res Lab LR18ES47, Sousse, Tunisia; [Maatamri, Wided] Hosp Farhat HACHED, Haematol Lab, Sousse, Tunisia; [Ben Saad, Helmi] Fac Med Sousse, Lab Physiol, Mohamed KAROUI St, Sousse, Tunisia</t>
  </si>
  <si>
    <t>Universite de Sousse; Hopital Farhat Hached; Universite de Sousse; Universite de Sousse; Hopital Farhat Hached; Universite de Sousse; Hopital Farhat Hached; Universite de Sousse; Hopital Farhat Hached; Universite de Sousse</t>
  </si>
  <si>
    <t>Ben Saad, H (corresponding author), Fac Med Sousse, Lab Physiol, Mohamed KAROUI St, Sousse, Tunisia.</t>
  </si>
  <si>
    <t>helmi.bensaad@rns.tn</t>
  </si>
  <si>
    <t>Ben Saad, Helmi/C-8263-2018</t>
  </si>
  <si>
    <t>Ben Saad, Helmi/0000-0002-7477-2965</t>
  </si>
  <si>
    <t>1993-2820</t>
  </si>
  <si>
    <t>1819-6357</t>
  </si>
  <si>
    <t>LIBYAN J MED</t>
  </si>
  <si>
    <t>Libyan J. Med.</t>
  </si>
  <si>
    <t>10.1080/19932820.2023.2204564</t>
  </si>
  <si>
    <t>Medicine, General &amp; Internal</t>
  </si>
  <si>
    <t>General &amp; Internal Medicine</t>
  </si>
  <si>
    <t>E2RG4</t>
  </si>
  <si>
    <t>WOS:000974064300001</t>
  </si>
  <si>
    <t>Bisson, M; Isaia, R; Nave, R; Pensa, A; Giordano, G</t>
  </si>
  <si>
    <t>Bisson, Marina; Isaia, Roberto; Nave, Rosella; Pensa, Alessandra; Giordano, Guido</t>
  </si>
  <si>
    <t>Vents opening susceptibility map of the Colli Albani long dormant volcano</t>
  </si>
  <si>
    <t>GEOMATICS NATURAL HAZARDS &amp; RISK</t>
  </si>
  <si>
    <t>Hazard map; vent opening susceptibility; Colli Albani volcano; long dormant volcanoes</t>
  </si>
  <si>
    <t>RISK-ASSESSMENT; MAGMA CHAMBERS; CALDERA; MAAR; HAZARD; HILLS; 40AR/39AR; ERUPTION; GEOCHRONOLOGY; STRATIGRAPHY</t>
  </si>
  <si>
    <t>Despite their protracted periods of inactivity, long-dormant volcanoes may be highly hazardous, as their reactivation can be characterized by violent explosive eruptions. An example of such volcanoes is the Colli Albani caldera, onto which deposits Rome Capital City is built, Italy. Its last volcanic activity was characterized by voluminous maar-forming phreatomagmatic eruptions dated between 36 and 25ka, but the volcano has produced several maar lake overflows during the Holocene till historical times. Presently, Colli Albani is affected by recurrent seismic events, anomalous heat flow, ground uplifts, hydrothermal circulation and gas emissions. For these reasons, the Italian Civil Protection has recently listed Colli Albani among the ten active volcanoes of Italy, but products for the evaluation of its volcanic hazards lacking. This work presents the first study on vent opening susceptibility mapping at Colli Albani. We explore the potential of an available geological dataset for building, through geographic information system analysis, an index that classifies areas at different vents opening susceptibility (low, moderate and high). Such result highlights as a solid geological mapping is a prerequisite for the volcanic hazard assessment, especially in remote or poorly studied long-dormant volcanoes such as caldera systems where the location of new vents could occur in different volcano sectors.</t>
  </si>
  <si>
    <t>[Bisson, Marina] Ist Nazl Geofis &amp; Vulcanol, Sez Pisa, Pisa, Italy; [Isaia, Roberto; Nave, Rosella] Ist Nazl Geofis &amp; Vulcanol, Osservatorio Vesuviano, Naples, Italy; [Pensa, Alessandra] Ist Super Protez &amp; Ric Ambientale, ISPRA, Ispra, Rome, Italy; [Pensa, Alessandra; Giordano, Guido] Univ Roma Tre, Dipartimento Sci, Rome, Italy; [Isaia, Roberto; Giordano, Guido] Ist Geol Ambientale &amp; Geoingn, IGAG CNR, Rome, Italy</t>
  </si>
  <si>
    <t>Istituto Nazionale Geofisica e Vulcanologia (INGV); Istituto Nazionale Geofisica e Vulcanologia (INGV); European Commission Joint Research Centre; EC JRC ISPRA Site; Italian Institute for Environmental Protection &amp; Research (ISPRA); Roma Tre University; Consiglio Nazionale delle Ricerche (CNR); Istituto di Geologia Ambientale e Geoingegneria (IGAG-CNR)</t>
  </si>
  <si>
    <t>Bisson, M (corresponding author), Ist Nazl Geofis &amp; Vulcanol, Sez Pisa, Pisa, Italy.</t>
  </si>
  <si>
    <t>marina.bisson@ingv.it</t>
  </si>
  <si>
    <t>1947-5705</t>
  </si>
  <si>
    <t>1947-5713</t>
  </si>
  <si>
    <t>GEOMAT NAT HAZ RISK</t>
  </si>
  <si>
    <t>Geomat. Nat. Hazards Risk</t>
  </si>
  <si>
    <t>10.1080/19475705.2023.2215905</t>
  </si>
  <si>
    <t>Geosciences, Multidisciplinary; Meteorology &amp; Atmospheric Sciences; Water Resources</t>
  </si>
  <si>
    <t>Geology; Meteorology &amp; Atmospheric Sciences; Water Resources</t>
  </si>
  <si>
    <t>H3GA0</t>
  </si>
  <si>
    <t>WOS:000994871300001</t>
  </si>
  <si>
    <t>Boakye, AN; Asravor, RK; Essuman, J</t>
  </si>
  <si>
    <t>Boakye, Afia Nyarko; Asravor, Richard Kofi; Essuman, John</t>
  </si>
  <si>
    <t>Work-life balance as predictors of job satisfaction in the tertiary educational sector</t>
  </si>
  <si>
    <t>improved effectiveness at work; personal life interference; structural equation model; work interference with personal life; workplace supports</t>
  </si>
  <si>
    <t>FAMILY ENRICHMENT</t>
  </si>
  <si>
    <t>This paper examines work-life balance as a predictor of job satisfaction in the tertiary education sector. The structural equation model was used to quantitatively analyse cross-sectional data gathered from 476 employees of 8 tertiary institutions operating in the Greater Accra region of Ghana. The study concludes that workplace support has a positive effect on personal life interference with work, and work interference with personal life. Work interference with personal life and personal life interference with work had a negative relationship with satisfaction with work life. The study recommends that personal life interference with work and work interference with the personal life of workers should be a priority of tertiary institutions, as it will help improve workplace support.</t>
  </si>
  <si>
    <t>[Boakye, Afia Nyarko] Ghana Commun Technol Univ, Dept Management &amp; Human Resource, Accra, Ghana; [Asravor, Richard Kofi] Ghana Commun Technol Univ, Dept Econ, Accra, Ghana; [Essuman, John] Ghana Commun Technol Univ, Dept Math, Accra, Ghana</t>
  </si>
  <si>
    <t>Asravor, RK (corresponding author), Ghana Commun Technol Univ, Dept Econ, Accra, Ghana.</t>
  </si>
  <si>
    <t>rkasravor@yahoo.com</t>
  </si>
  <si>
    <t>Asravor, Richard Kofi/D-7484-2017</t>
  </si>
  <si>
    <t>Asravor, Richard Kofi/0000-0003-1652-9948</t>
  </si>
  <si>
    <t>10.1080/23311975.2022.2162686</t>
  </si>
  <si>
    <t>7I3CX</t>
  </si>
  <si>
    <t>WOS:000903770800001</t>
  </si>
  <si>
    <t>Bonilla-Quijada, M; Del Olmo, JL; Andreu, D; Ripoll, J</t>
  </si>
  <si>
    <t>Bonilla-Quijada, Maria; Del Olmo, Josep Lluis; Andreu, David; Ripoll, Joan</t>
  </si>
  <si>
    <t>Customer engagement on Instagram for luxury fashion brands: An empirical comparative analysis</t>
  </si>
  <si>
    <t>social media; engagement; interactions; customer experience; fashion; Dior; Chanel; luxury; Instagram; &gt;</t>
  </si>
  <si>
    <t>CONSUMER; COMMUNICATION; INTERNET; MOTIVES; ONLINE; IMPACT</t>
  </si>
  <si>
    <t>This study explores the engagement generated by the posts that luxury brands publish on Instagram, based on the different types of content, communication strategies and other aspects of those posts. Its main intention is to clarify which items lead to a greater engagement of luxury fashion brands with their Instagram audience. A content analysis method was applied to analyse a random sample of 598 Instagram posts published by two of the world's most important luxury brands, Dior and Chanel. The analysed period was one year with the intention of having both a large sample and overriding seasonal effects. The results reveal which items studied generate more engagement, and which generate less. It is empirically confirmed that posts displaying products generate more engagement, especially if the products are fashion accessories. Moreover, content related to social responsibility also increases engagement. Finally, and as a highly relevant factor, we observe that posts in video format generate only limited engagement among followers. The results help companies gain a clearer idea of the potential applications of social media platforms, thus improving their understanding of the impact of social media. These findings are of interest to researchers and, especially, marketing and social media professionals, as they provide insights into what to publish in order to gain higher engagement rates.</t>
  </si>
  <si>
    <t>[Bonilla-Quijada, Maria; Del Olmo, Josep Lluis; Andreu, David; Ripoll, Joan] Univ Abat Oliba CEU, Business &amp; Econ Dept, Carrer Bellesguard 30, Barcelona 08022, Spain</t>
  </si>
  <si>
    <t>Universitat Abat Oliba CEU</t>
  </si>
  <si>
    <t>Bonilla-Quijada, M (corresponding author), Univ Abat Oliba CEU, Business &amp; Econ Dept, Carrer Bellesguard 30, Barcelona 08022, Spain.</t>
  </si>
  <si>
    <t>mbonillaq@uao.es</t>
  </si>
  <si>
    <t>10.1080/23311886.2023.2235169</t>
  </si>
  <si>
    <t>M5BR8</t>
  </si>
  <si>
    <t>WOS:001030371200001</t>
  </si>
  <si>
    <t>Brennan, A; Dempsey, M; McAvoy, J; O'Dea, M; O'Leary, S; Prendergast, M</t>
  </si>
  <si>
    <t>Brennan, Attracta; Dempsey, Mary; McAvoy, John; O'Dea, Majella; O'Leary, Sharon; Prendergast, Margaret</t>
  </si>
  <si>
    <t>How COVID-19 impacted soft skills development: The views of software engineering students</t>
  </si>
  <si>
    <t>COGENT EDUCATION</t>
  </si>
  <si>
    <t>COVID-19; soft skills; software engineering students; empathy; resilience; time and organization management</t>
  </si>
  <si>
    <t>SLEEP QUALITY; RESILIENCE; BUSINESS</t>
  </si>
  <si>
    <t>Since a pandemic was declared in 2020, Irish higher education institutions transitioned from on-campus to online delivery. This disruption created challenges to students' acquisition of hard and soft skills. With greater employee mobility, there is an increased emphasis on soft skills development, especially those skills that enhance employability, i.e., creativity, leadership, communication, innovation, teamwork, adaptability, resilience, time management, organization, self motivation, ability to work under pressure, critical thinking and problem solving and organizational ability. The purpose of this study was to understand the effects of COVID-19 on fears for the future and on soft skills development. In this study, 111 Software Engineering university students were surveyed. The results show heightened fears for the future with regard to job opportunities, the loss of time and the lack of control. While females reported to being more fearful, they also reported enhanced empathy and strengthened resilience. Postgraduate students were less fearful about the future compared to undergraduate students whilst also reporting better time management and organization skills. This study showed that despite disruptions to education, the Software Engineering students self-reported enhancements to resilience, empathy, time management and organizational skills, with the greatest impact on resilience and time management.</t>
  </si>
  <si>
    <t>[Brennan, Attracta; O'Dea, Majella; O'Leary, Sharon] Univ Galway, Sch Comp Sci, Galway, Ireland; [Dempsey, Mary] Univ Galway, Sch Engn, Galway, Ireland; [McAvoy, John] Univ Coll Cork, Business Informat Syst, Cork, Ireland; [Prendergast, Margaret] ATU, Dept Nursing Hlth Sci &amp; Integrated Care, Galway, Ireland</t>
  </si>
  <si>
    <t>Ollscoil na Gaillimhe-University of Galway; Ollscoil na Gaillimhe-University of Galway; University College Cork</t>
  </si>
  <si>
    <t>Brennan, A (corresponding author), Univ Galway, Sch Comp Sci, Galway, Ireland.</t>
  </si>
  <si>
    <t>attracta.brennan@universityofgalway.ie</t>
  </si>
  <si>
    <t>Brennan, Attracta/IYJ-8287-2023; Dempsey, Mary/Y-7684-2018; Mondaca Gómez, Katherine/JED-5127-2023</t>
  </si>
  <si>
    <t>Brennan, Attracta/0000-0002-1164-9484</t>
  </si>
  <si>
    <t>2331-186X</t>
  </si>
  <si>
    <t>COGENT EDUC</t>
  </si>
  <si>
    <t>Cogent Educ.</t>
  </si>
  <si>
    <t>10.1080/2331186X.2023.2171621</t>
  </si>
  <si>
    <t>8M7OZ</t>
  </si>
  <si>
    <t>WOS:000924650600001</t>
  </si>
  <si>
    <t>Brown, KL; Ceci, A; Roby, C; Briggs, R; Ziolo, D; Korba, R; Mejia, R; Kelly, ST; Toney, D; Friedlander, MJ; Finkielstein, CV</t>
  </si>
  <si>
    <t>Brown, K. L.; Ceci, A.; Roby, C.; Briggs, R.; Ziolo, D.; Korba, R.; Mejia, R.; Kelly, S. T.; Toney, D.; Friedlander, M. J.; Finkielstein, C. V.</t>
  </si>
  <si>
    <t>A comparative analysis exposes an amplification delay distinctive to SARS-CoV-2 Omicron variants of clinical and public health relevance</t>
  </si>
  <si>
    <t>EMERGING MICROBES &amp; INFECTIONS</t>
  </si>
  <si>
    <t>Omicron variant; SARS-CoV-2; Delta variant; RT-qPCR; diagnosis; mismatch; amplification efficiency; COVID-19</t>
  </si>
  <si>
    <t>Mutations in the SARS-CoV-2 genome may negatively impact a diagnostic test, have no effect, or turn into an opportunity for rapid molecular screening of variants. Using an in-house Emergency Use Authorized RT-qPCR-based COVID-19 diagnostic assay, we combined sequence surveillance of viral variants and computed PCR efficiencies for mismatched templates. We found no significant mismatches for the N, E, and S set of assay primers until the Omicron variant emerged in late November 2021. We found a single mismatch between the Omicron sequence and one of our assay's primers caused a &gt; 4 cycle delay during amplification without impacting overall assay performance. Starting in December 2021, clinical specimens received for COVID-19 diagnostic testing that generated a Cq delay greater than 4 cycles were sequenced and confirmed as Omicron. Clinical samples without a Cq delay were largely confirmed as the Delta variant. The primer-template mismatch was then used as a rapid surrogate marker for Omicron. Primers that correctly identified Omicron were designed and tested, which prepared us for the emergence of future variants with novel mismatches to our diagnostic assay's primers. Our experience demonstrates the importance of monitoring sequences, the need for predicting the impact of mismatches, their value as a surrogate marker, and the relevance of adapting one's molecular diagnostic test for evolving pathogens.</t>
  </si>
  <si>
    <t>[Brown, K. L.] Virginia Tech, Caril Sch Med, Roanoke, VA USA; [Ceci, A.; Roby, C.; Briggs, R.; Finkielstein, C. V.] Virginia Tech, Fralin Biomed Res Inst VTC, Mol Diagnost Lab, Roanoke, VA USA; [Finkielstein, C. V.] Virginia Tech, Fralin Biomed Res Instituteat VTC, Integrated Cellular Responses Lab, Roanoke, VA USA; [Friedlander, M. J.] Virginia Tech, Fralin Biomed Res Inst VTC, Roanoke, VA USA; [Finkielstein, C. V.] Dept Biol Sci, Virginia Tech, Blacksburg, VA USA; [Ziolo, D.] ZC Lab Serv, Greenacreas, FL USA; [Korba, R.; Mejia, R.; Kelly, S. T.; Toney, D.] Dept Gen Serv, Div Consolidated Lab Serv, Mol Detect &amp; Characterizat, Richmond, VA USA; [Brown, K. L.; Finkielstein, C. V.] Virginia Tech, Ctr Zoonot &amp; Arthropod borne Pathogens, Blacksburg, VA USA; [Finkielstein, C. V.] Virginia Tech, Fralin Biomed Res Inst VTC, Mol Diagnost Lab, 4 Riverside Cr, Roanoke, VA 24016 USA</t>
  </si>
  <si>
    <t>Virginia Polytechnic Institute &amp; State University; Virginia Polytechnic Institute &amp; State University; Virginia Polytechnic Institute &amp; State University; Virginia Polytechnic Institute &amp; State University; Virginia Polytechnic Institute &amp; State University; Virginia Polytechnic Institute &amp; State University; Virginia Polytechnic Institute &amp; State University</t>
  </si>
  <si>
    <t>Finkielstein, CV (corresponding author), Virginia Tech, Fralin Biomed Res Inst VTC, Mol Diagnost Lab, 4 Riverside Cr, Roanoke, VA 24016 USA.</t>
  </si>
  <si>
    <t>finkielc@vt.edu</t>
  </si>
  <si>
    <t>friedlander, michael j/F-5952-2011; Kelly, S. Thomas/AAO-3069-2020</t>
  </si>
  <si>
    <t>Kelly, S. Thomas/0000-0003-3904-6690</t>
  </si>
  <si>
    <t>Fralin Biomedical Research Institute; Department of General Services of the Commonwealth of Virginia [DGS-201020-UVT]</t>
  </si>
  <si>
    <t>Fralin Biomedical Research Institute; Department of General Services of the Commonwealth of Virginia</t>
  </si>
  <si>
    <t>This work was supported by Fralin Biomedical Research Institute [Grant Number N/A]; Department of General Services of the Commonwealth of Virginia [Grant Number DGS-201020-UVT].</t>
  </si>
  <si>
    <t>2222-1751</t>
  </si>
  <si>
    <t>EMERG MICROBES INFEC</t>
  </si>
  <si>
    <t>Emerg. Microbes Infect.</t>
  </si>
  <si>
    <t>10.1080/22221751.2022.2154617</t>
  </si>
  <si>
    <t>Immunology; Infectious Diseases; Microbiology</t>
  </si>
  <si>
    <t>7I1AC</t>
  </si>
  <si>
    <t>WOS:000903625900001</t>
  </si>
  <si>
    <t>Brunes, TO; Pinto, FCS; Taucce, PPG; Santos, MTT; Nascimento, LB; Carvalho, DC; Oliveira, G; Vasconcelos, S; Leite, FSF</t>
  </si>
  <si>
    <t>Brunes, Tuliana O.; Pinto, Felipe C. S.; Taucce, Pedro P. G.; Santos, Marcus Thadeu T.; Nascimento, Luciana B.; Carvalho, Daniel C.; Oliveira, Guilherme; Vasconcelos, Santelmo; Leite, Felipe S. F.</t>
  </si>
  <si>
    <t>Traditional taxonomy underestimates the number of species of Bokermannohyla (Amphibia: Anura: Hylidae) diverging in the mountains of southeastern Brazil since the Miocene</t>
  </si>
  <si>
    <t>SYSTEMATICS AND BIODIVERSITY</t>
  </si>
  <si>
    <t>Atlantic Forest; barcode; campo rupestre; cryptic species; Espinhaco range; Mantiqueira range; molecular taxonomy; species revalidation</t>
  </si>
  <si>
    <t>PHYLOGENETIC ANALYSIS; ADVERTISEMENT CALL; STATISTICAL-METHOD; DNA; PHYLOGEOGRAPHY; SOFTWARE; HISTORY; FROGS; DIVERSIFICATION; HYBRIDIZATION</t>
  </si>
  <si>
    <t>Despite the huge difference in land coverage between mountains and lowlands, most species are indeed found in mountains and foothills. The causes of this pattern have challenged biogeographers and evolutionary biologists. The Espinhaco and Mantiqueira Ranges are large mountain ranges from eastern Brazil that are global biodiversity hotspots located between the Brazilian Atlantic Forest (AF) and the Cerrado. However, Espinhaco and Mantiqueira species diversity may still be underestimated, either due taxonomic complexity or morphological cryptic species complexes. Two hylid frogs, Bokermannohyla nanuzae and Bokermannohyla feioi, are endemic, respectively, distributed in these two mountain ranges. These species were recently synonymized based on traditional taxonomy. We used data from the mitochondrial DNA (mtDNA) gene 16S and two nuclear genes to undertake phylogenetic and network, distance-based, and multispecies coalescent analyses on B. nanuzae, B. feioi, and an extensive outgroup dataset. We tested the monophyly of B. nanuzae, as well as the presence of candidate new species. Based on 16S phylogenetic analysis, We recovered B. nanuzae as paraphyletic, with B. sagarana nested within it. We recovered two main groups, with the geographic distribution generally corresponding to the Cerrado and AF boundaries. Probably due to ancestral polymorphism, both nuclear haplotype genealogies failed to distinguish B. nanuzae from the former B. feioi and/or from B. sagarana. The time-calibrated mtDNA tree revealed that B. martinsi, B. sagarana, and B. nanuzae have diverged during the Late Miocene, subsequently splitting into the remaining species/lineages during the Plio-Pleistocene. Taken together, our distance-based barcode and nuclear Bayesian analyses identified the former B. feioi, referred to as the AF group, as a distinct evolutionary lineage from B. nanuzae (Cerrado group). We provide the first insights into how different evolutionary lineages speciated in the highlands of southeastern Brazil and revalidated B. feioi for the AF group.</t>
  </si>
  <si>
    <t>[Brunes, Tuliana O.] Univ Sao Paulo, Dept Zool, Lab Herpetol, Inst Biociencias, Sao Paulo, Brazil; [Brunes, Tuliana O.] Univ Porto, Ctr Invest Biodiversidade &amp; Recursos Genet, InBIO Lab Associado, CIBIO, Campus Vairao, Vairao, Portugal; [Brunes, Tuliana O.] CIBIO, BIOPOLIS Program Genom Biodivers &amp; Land Planning, Campus Vairao, Vairao, Portugal; [Pinto, Felipe C. S.; Nascimento, Luciana B.; Carvalho, Daniel C.] Pontificia Univ Catolica Minas Gerais, Programa Posgrad Biol Vertebrados, Belo Horizonte, MG, Brazil; [Taucce, Pedro P. G.] Inst Nacl de Pesquisas da Amazonia, Coordenacao Biodiversidade, Manaus, AM, Brazil; [Santos, Marcus Thadeu T.] Univ Estadual Paulista, Dept Biodiversidade, Lab Herpetol, Rio Claro, Brazil; [Santos, Marcus Thadeu T.] Univ Estadual Paulista, Ctr Aquicultura CAUNESP, Rio Claro, Brazil; [Oliveira, Guilherme; Vasconcelos, Santelmo] Inst Tecnol Vale, Belem, Para, Brazil; [Leite, Felipe S. F.] Univ Fed Vicosa, Inst Ciencias Biol &amp; Saude, Campus Florestal, Florestal, MG, Brazil</t>
  </si>
  <si>
    <t>Universidade de Sao Paulo; Universidade do Porto; Universidade do Porto; Pontificia Universidade Catolica de Minas Gerais; Institute Nacional de Pesquisas da Amazonia; Universidade Estadual Paulista; Universidade Estadual Paulista; Instituto Tecnologico Vale Desenvolvimento Sustentavel; Universidade Federal de Vicosa</t>
  </si>
  <si>
    <t>Brunes, TO (corresponding author), Univ Sao Paulo, Dept Zool, Lab Herpetol, Inst Biociencias, Sao Paulo, Brazil.;Brunes, TO (corresponding author), Univ Porto, Ctr Invest Biodiversidade &amp; Recursos Genet, InBIO Lab Associado, CIBIO, Campus Vairao, Vairao, Portugal.;Brunes, TO (corresponding author), CIBIO, BIOPOLIS Program Genom Biodivers &amp; Land Planning, Campus Vairao, Vairao, Portugal.</t>
  </si>
  <si>
    <t>brunestuliana@gmail.com</t>
  </si>
  <si>
    <t>NASCIMENTO, LUCIANA BARRETO/B-8190-2013; Oliveira, Guilherme/JDC-8172-2023; Goulart Taucce, Pedro Paulo/A-8515-2018; Santos, Marcus Thadeu/F-8692-2018; Oliveira, Guilherme/E-2624-2014; Carvalho, Daniel/G-2454-2012</t>
  </si>
  <si>
    <t>NASCIMENTO, LUCIANA BARRETO/0000-0002-2506-8445; Goulart Taucce, Pedro Paulo/0000-0002-3088-4543; Santos, Marcus Thadeu/0000-0003-2027-583X; Oliveira, Guilherme/0000-0003-0054-3438; Carvalho, Daniel/0000-0003-4517-5069</t>
  </si>
  <si>
    <t>CSN - Companhia Siderurgica Nacional and Biocev Projetos Inteligentes; Fundacao de Amparo a Pesquisa do Estado de Minas Gerais and Fundacao Vale [FAPEMIG/VALE: RDP-00004-17]; FAPEMIG [APQ-01796-15, APQ-00413-16]; Conselho Nacional de Desenvolvimento e Pesquisa (CNPq) [479457/2012-03]; Fundacao de Amparo a Pesquisa do Estado de Minas Gerais (FAPEMIG) [APQ-2067-14]; Fundo de Incentivo a Pesquisa - Pontificia Universidade Catolica de Minas Gerais (FIP/PUC Minas); CNPq [163594/2020-1]; Fundacao de Amparo a Pesquisa do Estado de Sao Paulo (FAPESP) [2021/06575-1]</t>
  </si>
  <si>
    <t>CSN - Companhia Siderurgica Nacional and Biocev Projetos Inteligentes; Fundacao de Amparo a Pesquisa do Estado de Minas Gerais and Fundacao Vale; FAPEMIG(Fundacao de Amparo a Pesquisa do Estado de Minas Gerais (FAPEMIG)); Conselho Nacional de Desenvolvimento e Pesquisa (CNPq)(Conselho Nacional de Desenvolvimento Cientifico e Tecnologico (CNPQ)); Fundacao de Amparo a Pesquisa do Estado de Minas Gerais (FAPEMIG)(Fundacao de Amparo a Pesquisa do Estado de Minas Gerais (FAPEMIG)); Fundo de Incentivo a Pesquisa - Pontificia Universidade Catolica de Minas Gerais (FIP/PUC Minas); CNPq(Conselho Nacional de Desenvolvimento Cientifico e Tecnologico (CNPQ)); Fundacao de Amparo a Pesquisa do Estado de Sao Paulo (FAPESP)(Fundacao de Amparo a Pesquisa do Estado de Sao Paulo (FAPESP))</t>
  </si>
  <si>
    <t>We are grateful to CSN - Companhia Siderurgica Nacional and Biocev Projetos Inteligentes for providing financial support. FSFL thanks Fundacao de Amparo a Pesquisa do Estado de Minas Gerais and Fundacao Vale (FAPEMIG/VALE: RDP-00004-17) and FAPEMIG (APQ-01796-15; APQ-00413-16). LBN thanks Conselho Nacional de Desenvolvimento e Pesquisa (CNPq, Process 479457/2012-03), Fundacao de Amparo a Pesquisa do Estado de Minas Gerais (FAPEMIG, Process APQ-2067-14), Fundo de Incentivo a Pesquisa - Pontificia Universidade Catolica de Minas Gerais (FIP/PUC Minas). PPGT thanks the CNPq (Process #163594/2020-1) for the postdoctoral fellowship. MTTS thanks Fundacao de Amparo a Pesquisa do Estado de Sao Paulo (FAPESP #2021/06575-1) for a postdoctoral fellowship. We thank P. C. A. Garcia (UFMG) for allowing access to tissues under their care. H. Thomassen and F. Leal for field assistance and photographs. Davi L. Bang for providing photographs. Deborah Faleiros for assisting with the graphic design. Specimens were collected under collection permits ICMBio 21185-3, IEF 108/2018, SEMAD 111.006/2018. We also thank Associate Editor David Gower and two anonymous reviewers for constructively critical reviews that improved the manuscript.</t>
  </si>
  <si>
    <t>1477-2000</t>
  </si>
  <si>
    <t>1478-0933</t>
  </si>
  <si>
    <t>SYST BIODIVERS</t>
  </si>
  <si>
    <t>Syst. Biodivers.</t>
  </si>
  <si>
    <t>10.1080/14772000.2022.2156001</t>
  </si>
  <si>
    <t>Biodiversity Conservation; Biology</t>
  </si>
  <si>
    <t>Biodiversity &amp; Conservation; Life Sciences &amp; Biomedicine - Other Topics</t>
  </si>
  <si>
    <t>8F8HH</t>
  </si>
  <si>
    <t>WOS:000919897100001</t>
  </si>
  <si>
    <t>Buachi, C; Thammachai, C; Tighe, BJ; Topham, PD; Molloy, R; Punyamoonwongsa, P</t>
  </si>
  <si>
    <t>Buachi, Chatmani; Thammachai, Charothar; Tighe, Brian J.; Topham, Paul D.; Molloy, Robert; Punyamoonwongsa, Patchara</t>
  </si>
  <si>
    <t>Encapsulation of propolis extracts in aqueous formulations by using nanovesicles of lipid and poly(styrene-alt-maleic acid)</t>
  </si>
  <si>
    <t>ARTIFICIAL CELLS NANOMEDICINE AND BIOTECHNOLOGY</t>
  </si>
  <si>
    <t>Nanodiscs; biomimetic; drug delivery; propolis; styrene maleic acid; nanoencapsulation</t>
  </si>
  <si>
    <t>IN-VITRO; ANTIOXIDANT; NANOPARTICLES; NANODISCS; SYSTEMS</t>
  </si>
  <si>
    <t>Bee propolis has been used in alternative medicine to treat various diseases. Due to its limited water solubility, it is often used in combination with alcohol solvents, causing skin irritation and immune response. To solve this, the new drug delivery system, based on the lipid nanodiscs of 1,2-dimyristoyl-sn-glycero-3-phosphochline (DMPC) and poly(styrene-alt-maleic acid) (PSMA), were created in an aqueous media. At the excess polymer concentrations, the PSMA/DMPC complexation produced the very fine nanoparticles (18 nm). With the increased molar ratio of styrene to maleic acid (St/MA) in the copolymer structure, the lipid nanodisc showed the improved encapsulation efficiency (EE%), comparing to their corresponding aqueous formulations. The maximum value had reached to around 20% when using the 2:1 PSMA precursor. Based on the cytotoxicity test, these nanoparticles were considered to be non-toxic over the low dose administration region (&lt;78 mu g/mL). Instead, they possessed the ability to promote the Vero cell growth. The new PSMA/DMPC nanovesicles could thus be used to improve aqueous solubility and therapeutic effects of poorly water-soluble drugs, thus extending their use in modern therapies. KEY MESSAGES circle New biomimetic approach for propolis encapsulation was developed with no use of organic solvent. circle Propolis antioxidants were recovered directly into water-soluble formats. circle The very fine lipid nanodiscs showed impressive shelf-life stability and tuneable drug-loading capacity.</t>
  </si>
  <si>
    <t>[Buachi, Chatmani; Thammachai, Charothar; Punyamoonwongsa, Patchara] Mae Fah Luang Univ, Sch Sci, Chiangrai, Thailand; [Tighe, Brian J.; Topham, Paul D.] Aston Univ, Aston Inst Mat Res, Birmingham, England; [Molloy, Robert] Chiang Mai Univ, Fac Sci, Mat Sci Res Ctr, Dept Chem,Polymer Res Grp, Chiang Mai, Thailand</t>
  </si>
  <si>
    <t>Mae Fah Luang University; Aston University; Chiang Mai University</t>
  </si>
  <si>
    <t>Punyamoonwongsa, P (corresponding author), Mae Fah Luang Univ, Sch Sci, Chiangrai, Thailand.</t>
  </si>
  <si>
    <t>patchara@mfu.ac.th</t>
  </si>
  <si>
    <t>; Topham, Paul/F-2265-2011</t>
  </si>
  <si>
    <t>Molloy, Robert/0000-0001-7164-0417; Topham, Paul/0000-0003-4152-6976; tighe, brian/0000-0001-9601-8501; Punyamoonwongsa, Patchara/0000-0003-2058-6320; BUACHI, CHATMANI/0000-0002-6023-6942</t>
  </si>
  <si>
    <t>National Research Council of Thailand [622B01056]; Mae Fah Luang University; European Union [871650]; Marie Curie Actions (MSCA) [871650] Funding Source: Marie Curie Actions (MSCA)</t>
  </si>
  <si>
    <t>National Research Council of Thailand(National Research Council of Thailand (NRCT)); Mae Fah Luang University; European Union(European Union (EU)); Marie Curie Actions (MSCA)(Marie Curie Actions)</t>
  </si>
  <si>
    <t>This work was financially supported by the National Research Council of Thailand (No. 622B01056), Mae Fah Luang University. One of our authors (Chatmani Buachi) acknowledged the Postgraduate Scholarship from Mae Fah Luang University. The authors thank Scientific and Technological Instrument Centre (Mae Fah Luang University) for their laboratory facilities, as well as the Science and Technology Service Centre (Chiang Mai University) for their cell culture service. This project has received funding from the European Union's Horizon 2020 research and innovation programme under the Marie Sklodowska-Curie grant agreement No 871650 (MEDIPOL).</t>
  </si>
  <si>
    <t>2169-1401</t>
  </si>
  <si>
    <t>2169-141X</t>
  </si>
  <si>
    <t>ARTIF CELL NANOMED B</t>
  </si>
  <si>
    <t>Artif. Cell. Nanomed. Biotechnol.</t>
  </si>
  <si>
    <t>10.1080/21691401.2023.2198570</t>
  </si>
  <si>
    <t>Biotechnology &amp; Applied Microbiology; Engineering, Biomedical; Materials Science, Biomaterials</t>
  </si>
  <si>
    <t>Biotechnology &amp; Applied Microbiology; Engineering; Materials Science</t>
  </si>
  <si>
    <t>D8NQ7</t>
  </si>
  <si>
    <t>Green Accepted, gold, Green Published</t>
  </si>
  <si>
    <t>WOS:000971244000001</t>
  </si>
  <si>
    <t>Bukatov, Y; Gimranova, G</t>
  </si>
  <si>
    <t>Bukatov, Yerik; Gimranova, Galiya</t>
  </si>
  <si>
    <t>Government measures to address out-of-pocket health expense in Kazakhstan</t>
  </si>
  <si>
    <t>government expenditure; out-of-pocket expense; health care financing; external reference pricing; health insurance</t>
  </si>
  <si>
    <t>EXPENDITURES; REFORMS; CARE</t>
  </si>
  <si>
    <t>Despite the fact that healthcare spending in Kazakhstan increased annually from 2011 to 2020, the country's healthcare system is seriously underfunded. For this reason, household spending in Kazakhstan plays a significant role in overall health spending. According to WHO, if the share of private spending in total health care spending does not exceed 20%, the health care system can be considered sustainable. The risk of a decrease in the purchasing power of the population increases in cases where this indicator is exceeded, which in turn leads to negative consequences for the population itself. Therefore, the Government of Kazakhstan needs to take decisive measures to reduce the out-of-pocket expense of the population for health care, especially the cost of purchasing medicines. Effective government policy, timely reforms and mutually beneficial cooperation with pharmaceutical market actors can reduce the level of out-of-pocket expenses of the population for health care to generally accepted world indicators. Based on this, the study of different views on solving problems related to public and private spending in health care, price regulation and building an effective drug pricing system is an important condition for building an effective health care system.</t>
  </si>
  <si>
    <t>[Bukatov, Yerik] Karaganda Univ Kazpotrebsoyuz, Dept Econ Theory &amp; State &amp; Local Govt, Karaganda, Kazakhstan; [Gimranova, Galiya] Karaganda Univ Kazpotrebsoyuz, Fac Econ Management &amp; Entrepreneurship, Karaganda, Kazakhstan</t>
  </si>
  <si>
    <t>Bukatov, Y (corresponding author), Karaganda Univ Kazpotrebsoyuz, Dept Econ Theory &amp; State &amp; Local Govt, Karaganda, Kazakhstan.</t>
  </si>
  <si>
    <t>bukatov.erik@gmail.com</t>
  </si>
  <si>
    <t>10.1080/23322039.2022.2164409</t>
  </si>
  <si>
    <t>7N3GE</t>
  </si>
  <si>
    <t>WOS:000907230600001</t>
  </si>
  <si>
    <t>Burch, SJ; Shepard, E; Lipira, AB</t>
  </si>
  <si>
    <t>Burch, Samantha J.; Shepard, Elizabeth; Lipira, Angelo B.</t>
  </si>
  <si>
    <t>An unusual case of lower trunk brachial plexus zoster reactivation</t>
  </si>
  <si>
    <t>Herpes zoster; lower trunk; zoster reactivation; &gt;</t>
  </si>
  <si>
    <t>HERPES-ZOSTER</t>
  </si>
  <si>
    <t>We discuss the case of a 42-year-old woman who presented with severe left cubital tunnel neuropathic pain and subsequently developed a vesicular rash spanning the C8-T1 dermatomal distribution. These symptoms resolved after initiation of acyclovir, highlighting VZV brachial plexopathy as a potentially treatable etiology of acute onset severe neuropathic pain.</t>
  </si>
  <si>
    <t>[Burch, Samantha J.; Shepard, Elizabeth; Lipira, Angelo B.] Oregon Hlth &amp; Sci Univ, Div Plast &amp; Reconstruct Surg, Portland, OR USA; [Lipira, Angelo B.] OR Hlth &amp; Sci Univ, Div Plast &amp; Reconstruct Surg, Portland, OR 97201 USA</t>
  </si>
  <si>
    <t>Oregon Health &amp; Science University; Oregon Health &amp; Science University</t>
  </si>
  <si>
    <t>Lipira, AB (corresponding author), OR Hlth &amp; Sci Univ, Div Plast &amp; Reconstruct Surg, Portland, OR 97201 USA.</t>
  </si>
  <si>
    <t>lipira@ohsu.edu</t>
  </si>
  <si>
    <t>10.1080/23320885.2023.2242497</t>
  </si>
  <si>
    <t>O1EG5</t>
  </si>
  <si>
    <t>WOS:001041314300001</t>
  </si>
  <si>
    <t>Buthelezi, EM</t>
  </si>
  <si>
    <t>Buthelezi, Eugene Msizi</t>
  </si>
  <si>
    <t>Impact of government expenditure on economic growth in different states in South Africa</t>
  </si>
  <si>
    <t>government expenditure; economic growth; vector-error correction (VEC) and Markov-switching dynamic regression</t>
  </si>
  <si>
    <t>This paper investigates the impact of long-run government expenditure and economic growth in different states in South Africa. Economic growth has been below the policy target of 5% stipulated in the National Development Plan Vision 2030, while government expenditure growth has been volatile but increasing at a decreasing rate. The paper uses the Vector-error correction (VEC) and Markov-switching dynamic regression with the data from 1994 to 2021. The significance of the paper is that it assesses the short and long-run impacts of government expenditure on different states of economic growth in South Africa. It is found that more government expenditure in South Africa hasn't resulted in the nation's economy growing, which is at odds with the Keynesian viewpoint. In both lower economic states, government expenditure reduces economic growth by 0.009% and 0.30%. The economy is expected to stay for 1 year in state 1, while it is expected to stay for 13 years in state 2. Government expenditure shocks were found to be detrimental to economic growth. It is recommended that fiscal authorities increase government expenditure in the short run rather than in the long run and monitor government expenditure.</t>
  </si>
  <si>
    <t>[Buthelezi, Eugene Msizi] Univ Free State, Dept Econ, Bloemfontein, South Africa</t>
  </si>
  <si>
    <t>University of the Free State</t>
  </si>
  <si>
    <t>Buthelezi, EM (corresponding author), Univ Free State, Dept Econ, Bloemfontein, South Africa.</t>
  </si>
  <si>
    <t>msizi1106@gmail.com</t>
  </si>
  <si>
    <t>Buthelezi, Eugene Msizi/0000-0002-2233-7347</t>
  </si>
  <si>
    <t>10.1080/23322039.2023.2209959</t>
  </si>
  <si>
    <t>F5RC0</t>
  </si>
  <si>
    <t>WOS:000982906500001</t>
  </si>
  <si>
    <t>Cai, L; Wang, GG</t>
  </si>
  <si>
    <t>Cai, Ling; Wang, Gang Greg</t>
  </si>
  <si>
    <t>Through the lens of phase separation: intrinsically unstructured protein and chromatin looping</t>
  </si>
  <si>
    <t>NUCLEUS</t>
  </si>
  <si>
    <t>Phase separation; three-dimensional chromatin structure; intrinsically disordered proteins (IDPs); intrinsically disordered regions (IDRs); DNA looping; CTCF; cohesin; enhancer-promoter interaction; loop extrusion; cancer</t>
  </si>
  <si>
    <t>3D GENOME; TRANSCRIPTION FACTOR; FOLDING PRINCIPLES; COHESIN; ORGANIZATION; CTCF; DOMAINS; REGULATOR; LONG; WAPL</t>
  </si>
  <si>
    <t>The establishment, maintenance and dynamic regulation of three-dimensional (3D) chromatin structures provide an important means for partitioning of genome into functionally distinctive domains, which helps to define specialized gene expression programs associated with developmental stages and cell types. Increasing evidence supports critical roles for intrinsically disordered regions (IDRs) harbored within transcription factors (TFs) and chromatin-modulatory proteins in inducing phase separation, a phenomenon of forming membrane-less condensates through partitioning of biomolecules. Such a process is also critically involved in the establishment of high-order chromatin structures and looping. IDR- and phase separation-driven 3D genome (re)organization often goes wrong in disease such as cancer. This review discusses about recent advances in understanding how phase separation of intrinsically disordered proteins (IDPs) modulates chromatin looping and gene expression.</t>
  </si>
  <si>
    <t>[Cai, Ling; Wang, Gang Greg] Univ North Carolina Chapel Hill, Lineberger Comprehens Canc Ctr, Sch Med, Chapel Hill, NC USA; [Cai, Ling] Univ North Carolina Chapel Hill, Dept Genet, Sch Med, Chapel Hill, NC USA; [Wang, Gang Greg] Univ North Carolina Chapel Hill, Dept Biochem &amp; Biophys, Sch Med, Chapel Hill, NC USA; [Wang, Gang Greg] Univ North Carolina Chapel Hill, Dept Pharmacol, Sch Med, Chapel Hill, NC USA; [Wang, Gang Greg] Univ North Carolina Chapel Hill, Lineberger Comprehens Canc Ctr, Sch Med, Chapel Hill, NC 27599 USA; [Cai, Ling] Univ North Carolina Chapel Hill, Dept Biochem &amp; Biophys, Sch Med, Chapel Hill, NC 27599 USA</t>
  </si>
  <si>
    <t>University of North Carolina; University of North Carolina Chapel Hill; University of North Carolina School of Medicine; University of North Carolina; University of North Carolina Chapel Hill; University of North Carolina School of Medicine; University of North Carolina; University of North Carolina Chapel Hill; University of North Carolina School of Medicine; University of North Carolina School of Medicine; University of North Carolina; University of North Carolina Chapel Hill; University of North Carolina School of Medicine; University of North Carolina; University of North Carolina Chapel Hill; University of North Carolina; University of North Carolina Chapel Hill; University of North Carolina School of Medicine</t>
  </si>
  <si>
    <t>Wang, GG (corresponding author), Univ North Carolina Chapel Hill, Lineberger Comprehens Canc Ctr, Sch Med, Chapel Hill, NC 27599 USA.;Cai, L (corresponding author), Univ North Carolina Chapel Hill, Dept Biochem &amp; Biophys, Sch Med, Chapel Hill, NC 27599 USA.</t>
  </si>
  <si>
    <t>ling_cai@med.unc.edu; greg_wang@med.unc.edu</t>
  </si>
  <si>
    <t>Wang, G Greg/L-6666-2014</t>
  </si>
  <si>
    <t>Wang, G Greg/0000-0002-7210-9940</t>
  </si>
  <si>
    <t>UNC Lineberger Cancer Center UCRF Stimulus Initiative Grants [R01CA262903, R01CA271603]; Leukemia and Lymphoma Society (LLS) Scholar</t>
  </si>
  <si>
    <t>UNC Lineberger Cancer Center UCRF Stimulus Initiative Grants; Leukemia and Lymphoma Society (LLS) Scholar</t>
  </si>
  <si>
    <t>This work was supported in part by R01CA262903 (to L.C.) and R01CA271603 (to G.G.W.) and UNC Lineberger Cancer Center UCRF Stimulus Initiative Grants (to L.C.). G.G.W. is a Leukemia and Lymphoma Society (LLS) Scholar.</t>
  </si>
  <si>
    <t>1949-1034</t>
  </si>
  <si>
    <t>1949-1042</t>
  </si>
  <si>
    <t>NUCLEUS-PHILA</t>
  </si>
  <si>
    <t>Nucleus</t>
  </si>
  <si>
    <t>10.1080/19491034.2023.2179766</t>
  </si>
  <si>
    <t>Cell Biology</t>
  </si>
  <si>
    <t>9G3PT</t>
  </si>
  <si>
    <t>WOS:000938069300001</t>
  </si>
  <si>
    <t>Carbone, L; Raffone, A; Travaglino, A; Saccone, G; Di Girolamo, R; Neola, D; Castaldo, E; Iorio, GG; Pontillo, M; Arduino, B; D'Alessandro, P; Guida, M; Mollo, A; Maruotti, GM</t>
  </si>
  <si>
    <t>Carbone, Luigi; Raffone, Antonio; Travaglino, Antonio; Saccone, Gabriele; Di Girolamo, Raffaella; Neola, Daniele; Castaldo, Emanuele; Iorio, Giuseppe Gabriele; Pontillo, Martina; Arduino, Bruno; D'Alessandro, Pietro; Guida, Maurizio; Mollo, Antonio; Maruotti, Giuseppe Maria</t>
  </si>
  <si>
    <t>The impact of COVID-19 pandemic on obstetrics and gynecology hospitalization rate and on reasons for seeking emergency care: a systematic review and meta-analysis</t>
  </si>
  <si>
    <t>JOURNAL OF MATERNAL-FETAL &amp; NEONATAL MEDICINE</t>
  </si>
  <si>
    <t>Emergency unit; obstetric emergency; hospitalization; systematic review; COVID-19; SARS-CoV-2; pregnancy</t>
  </si>
  <si>
    <t>Background: During the lockdown due to COVID-19 pandemic, utilization of emergency care units has been reported to be reduced for obstetrical and gynaecological reasons. The aim of this systematic review is to assess if this phenomenon reduced the rate of hospitalizations for any reason and to evaluate the main reasons for seeking care in this subset of the population.Methods: The search was conducted using the main electronic databases from January 2020 to May 2021. The studies were identified with the use of a combination of: emergency department  OR A &amp; E  OR emergency service  OR emergency unit  OR maternity service  AND COVID-19  OR COVID-19 pandemic  OR SARS-COV-2  and admission  OR hospitalization . All the studies that evaluated women going to obstetrics &amp; gynecology emergency department (ED) during the COVID-19 pandemic for any reason were included.Results: The pooled proportion (PP) of hospitalizations increased from 22.7 to 30.6% during the lockdown periods, in particular from 48.0 to 53.9% for delivery. The PP of pregnant women suffering from hypertensive disorders increased (2.6 vs 1.2%), as well as women having contractions (52 vs 43%) and rupture of membranes (12.0 vs 9.1%). Oppositely, the PP of women having pelvic pain (12.4 vs 14.4%), suspected ectopic pregnancy (1.8 vs 2.0), reduced fetal movements (3.0 vs 3.3%), vaginal bleeding both for obstetrical (11.7 vs 12.8%) and gynecological issues (7.4 vs 9.2%) slightly reduced.Conclusion: During the lockdown, an increase in the proportion of hospitalizations for obstetrical and gynecological reasons has been registered, especially for labor symptoms and hypertensive disorders.</t>
  </si>
  <si>
    <t>[Carbone, Luigi; Saccone, Gabriele; Guida, Maurizio] Univ Naples Federico II, Sch Med, Dept Neurosci Reprod Sci &amp; Dent, Gynecol &amp; Obstet Unit, Naples, Italy; [Raffone, Antonio] Univ Bologna, IRCCS Azienda Ospedaliero Univ Bologna, Dept Med &amp; Surg Sci DIMEC, Div Gynaecol &amp; Human Reprod Physiopathol,S Orsola, Bologna, Italy; [Travaglino, Antonio] Univ Naples Federico II, Sch Med, Dept Adv Biomed Sci, Pathol Unit, Naples, Italy; [Di Girolamo, Raffaella; Neola, Daniele; Castaldo, Emanuele; Iorio, Giuseppe Gabriele; Maruotti, Giuseppe Maria] Univ Naples Federico II, Sch Med, Dept Publ Hlth, Naples, Italy; [Pontillo, Martina] Univ Naples Federico II, Sch Med, Dept Clin Med &amp; Surg, Naples, Italy; [Arduino, Bruno; D'Alessandro, Pietro] AOU Federico II Hosp, Maternal Child Dept, Naples, Italy; [Mollo, Antonio] Univ Salerno, Dept Med Surg &amp; Dent Schola Med Salernitana, Gynecol &amp; Obstet Unit, Baronissi, Italy</t>
  </si>
  <si>
    <t>University of Naples Federico II; University of Bologna; IRCCS Azienda Ospedaliero-Universitaria di Bologna; University of Naples Federico II; University of Naples Federico II; University of Naples Federico II; University of Salerno</t>
  </si>
  <si>
    <t>Raffone, A (corresponding author), Univ Bologna, IRCCS Azienda Ospedaliero Univ Bologna, Dept Med &amp; Surg Sci DIMEC, Div Gynaecol &amp; Human Reprod Physiopathol,S Orsola, Bologna, Italy.</t>
  </si>
  <si>
    <t>anton.raffone@gmail.com</t>
  </si>
  <si>
    <t>Iorio, Giuseppe Gabriele/AAP-2913-2020; Neola, Daniele/ILV-6341-2023</t>
  </si>
  <si>
    <t>Iorio, Giuseppe Gabriele/0000-0002-1723-3420; NEOLA, DANIELE/0000-0001-6723-0415</t>
  </si>
  <si>
    <t>1476-7058</t>
  </si>
  <si>
    <t>1476-4954</t>
  </si>
  <si>
    <t>J MATERN-FETAL NEO M</t>
  </si>
  <si>
    <t>J. Matern.-Fetal Neonatal Med.</t>
  </si>
  <si>
    <t>10.1080/14767058.2023.2187254</t>
  </si>
  <si>
    <t>Obstetrics &amp; Gynecology</t>
  </si>
  <si>
    <t>9S5XY</t>
  </si>
  <si>
    <t>hybrid</t>
  </si>
  <si>
    <t>WOS:000946413600001</t>
  </si>
  <si>
    <t>Carvalho, ALG; Laspiur, A; Klaczko, J; Rivas, LR; Rodrigues, MT; de Sena, MA; Céspedes, R</t>
  </si>
  <si>
    <t>CARVALHO, A. N. D. R. E. L. G.; LASPIUR, A. L. E. J. A. N. D. R. O.; KLACZKO, J. U. L. I. A.; RIVAS, L. U. I. S. R. O. L. A. N. D. O.; RODRIGUES, M. I. G. U. E. L. T. R. E. F. A. U. T.; DE SENA, M. A. R. C. O. A. U. R. E. L. I. O.; CESPEDES, R. I. C. A. R. D. O.</t>
  </si>
  <si>
    <t>Total evidence phylogenetic analysis of Leiosauridae (Squamata) with focus on the 'para-anoles' and description of a new Urostrophus species from the Bolivian Andes</t>
  </si>
  <si>
    <t>Bolivian Andes; leiosaurid phylogeny; lizard systematics; new classification; quartet sampling; sp; nov; synonymy; Urostrophus chungarae</t>
  </si>
  <si>
    <t>GENUS ENYALIUS SQUAMATA; TAXONOMIC CONGRUENCE; MOLECULAR PHYLOGENY; SEQUENCE ALIGNMENT; COALESCENT MODEL; PARSIMONY; PRISTIDACTYLUS; CHARACTERS; CONSENSUS; LIZARDS</t>
  </si>
  <si>
    <t>Only since the late 1980s have lizard specialists begun incorporating phylogenetic information to the classification of leiosaurids. These are among the most enigmatic South American lizards, with 35 currently recognised species arranged in six genera. To evaluate their relationships, we assembled a data set based on published and novel information containing 135 morphological characters and 11,235 DNA base pairs (14 loci) for up to 52 terminals, including outgroups. We performed 13 analyses based on different optimality criteria (parsimony, maximum likelihood, and coalescent approach) and indel coding strategies (gaps coded as missing data or as a fifth state). We also evaluated the impact of phenotypic evidence on the phylogeny of leiosaurids, and investigated the level of informativeness and potential sources of topological conflict using a Quartet Sampling analysis. Phylogenetic analyses supported the monophyly of major leiosaurid clades, including subfamilies Enyaliinae and Leiosaurinae, and the 'para-anoles' clade (Urostrophus + Anisolepis). However, Urostrophus was inferred as paraphyletic, with U. vautieri forming a clade with Anisolepis. These relationships motivate the synonymization of Anisolepis Boulenger, 1885 with Urostrophus Dumeril &amp; Bibron, 1837. The monophyly of Pristidactylus and, surprisingly, of Enyalius, were also challenged, underscoring the need for additional phylogenetic work. Finally, we described Urostrophus chungarae sp. nov. from the Torotoro National Park, Potosi, Bolivia. This apparently rare leiosaurid was inferred as sister to U. gallardoi, a Chacoan species distributed in northern Argentina and southeastern Bolivia. We conclude with a revised classification of Leiosauridae and by pointing out a number of unresolved issues that require further systematic investigation.</t>
  </si>
  <si>
    <t>[CARVALHO, A. N. D. R. E. L. G.; RODRIGUES, M. I. G. U. E. L. T. R. E. F. A. U. T.; DE SENA, M. A. R. C. O. A. U. R. E. L. I. O.] Univ Sao Paulo, Dept Zool, Inst Biociencias, Rua Matao,Travessa 14,101, BR-05508090 Sao Paulo, SP, Brazil; [CARVALHO, A. N. D. R. E. L. G.] Univ Washington, Dept Biol, Box 351800, Seattle, WA 98195 USA; [LASPIUR, A. L. E. J. A. N. D. R. O.] Univ Nacl de San Juan, Escuela Univ Ciencias Salud, Albardon,5419, RA-1850 San Juan, Argentina; [KLACZKO, J. U. L. I. A.] Univ Brasilia, Dept Ciencias Fisiol, Inst Ciencias Biol, Campus Darcy Ribeiro, BR-70910900 Brasilia, DF, Brazil; [RIVAS, L. U. I. S. R. O. L. A. N. D. O.] Univ Autonoma del Beni Jose Ballivian, Ctr Invest Recursos Acuat, Campus Univ Dr Hernan Melgar Justiniano, Trinidad, Bolivia; [CESPEDES, R. I. C. A. R. D. O.] Museo Hist Nat Alcide Orbigny, Ave Potosi,1458, Cochabamba, Bolivia</t>
  </si>
  <si>
    <t>Universidade de Sao Paulo; University of Washington; University of Washington Seattle; Universidade de Brasilia</t>
  </si>
  <si>
    <t>Carvalho, ALG (corresponding author), Univ Sao Paulo, Dept Zool, Inst Biociencias, Rua Matao,Travessa 14,101, BR-05508090 Sao Paulo, SP, Brazil.</t>
  </si>
  <si>
    <t>andreluizherpeto@gmail.com</t>
  </si>
  <si>
    <t>Rodrigues, Miguel T./F-8174-2012; Carvalho, André Luiz/M-9503-2017</t>
  </si>
  <si>
    <t>Rodrigues, Miguel T./0000-0003-3958-9919; Carvalho, André Luiz/0000-0002-2528-6274</t>
  </si>
  <si>
    <t>Brazilian National Council for Scientific and Technological Development (CNPq) [200798/2010-3, 302864/2020-2]; Sao Paulo Research Foundation (FAPESP) [2016/08249-6, 2017/20235-3, 2011/50146-6]; Argentinian National Scientific and Technical Research Council (FONCyT-ANPCyT) [PICT 2017-0553]; Brazilian Research Support Foundation of the Federal District (FAPDF) [0193.001637/2017]; Rufford Foundation [2013/13081-2]; Explorers Club; Andrew Sabin Family Foundation; American Museum of Natural History (RGGS/AMNH)</t>
  </si>
  <si>
    <t>Brazilian National Council for Scientific and Technological Development (CNPq)(Conselho Nacional de Desenvolvimento Cientifico e Tecnologico (CNPQ)); Sao Paulo Research Foundation (FAPESP)(Fundacao de Amparo a Pesquisa do Estado de Sao Paulo (FAPESP)); Argentinian National Scientific and Technical Research Council (FONCyT-ANPCyT); Brazilian Research Support Foundation of the Federal District (FAPDF); Rufford Foundation; Explorers Club; Andrew Sabin Family Foundation; American Museum of Natural History (RGGS/AMNH)</t>
  </si>
  <si>
    <t>This work was supported by the Brazilian National Council for Scientific and Technological Development (CNPq) under grants #200798/2010-3 and #302864/2020-2; the Sao Paulo Research Foundation (FAPESP) under grants #2016/08249-6, #2017/20235-3, and #2011/50146-6; the Argentinian National Scientific and Technical Research Council (FONCyT-ANPCyT) under grant #PICT 2017-0553; the Brazilian Research Support Foundation of the Federal District (FAPDF) under grant #0193.001637/2017; the Rufford Foundation under grant #2013/13081-2; besides receiving additional financial aid from the Explorers Club, the Andrew Sabin Family Foundation, and the American Museum of Natural History (RGGS/AMNH). The Explorers Club, Andrew Sabin Family Foundation, the American Museum of Natural History (RGGS/AMNH), and the Sao Paulo Research Foundation (FAPESP) provided financial support to ALGC for fieldwork and/or analysis of museum specimens in Bolivia. ALGC was also supported by the Brazilian National Council for Scientific and Technological Development (CNPq) (#200798/2010-3) during his Ph.D. at the AMNH, and a postdoctoral fellowship from FAPESP (#2016/08249-6; #2017/20235-3). MTR thanks FAPESP (#2011/50146-6) and CNPq (#302864/2020-2). AL is a postdoctoral fellow of the Argentinian National Scientific and Technical Research Council (FONCyT-ANPCyT; #PICT 2017-0553). LRR thanks the Rufford Foundation for financing the project Conservation of threatened and endemic reptiles of the inter-Andean dry valleys and highlands of Bolivia' (#2013/13081-2). JK thanks the Brazilian Research Support Foundation of the Federal District (FAPDF) for financial support (#0193.001637/2017).</t>
  </si>
  <si>
    <t>10.1080/14772000.2023.2200306</t>
  </si>
  <si>
    <t>F1PV5</t>
  </si>
  <si>
    <t>WOS:000980145300001</t>
  </si>
  <si>
    <t>Chai, FY; Zhang, JF; Fu, T; Jiang, P; Huang, YC; Wang, L; Yan, S; Yan, XD; Yu, LG; Xu, Z; Wang, RH; Xu, BQ; Du, XY; Jiang, Y; Zhang, JS</t>
  </si>
  <si>
    <t>Chai, Fangyu; Zhang, Jingfang; Fu, Tao; Jiang, Peng; Huang, Yichuan; Wang, Lin; Yan, Shu; Yan, Xudong; Yu, Longgang; Xu, Zhen; Wang, Ruohuang; Xu, Bingqing; Du, Xiaoyun; Jiang, Yan; Zhang, Jisheng</t>
  </si>
  <si>
    <t>Identification of SLC2A3 as a prognostic indicator correlated with the NF-kappa B/EMT axis and immune response in head and neck squamous cell carcinoma</t>
  </si>
  <si>
    <t>CHANNELS</t>
  </si>
  <si>
    <t>head and neck squamous cell carcinoma (HNSC); epithelial-mesenchymal transition (EMT); NF-kappa B; prognosis</t>
  </si>
  <si>
    <t>EPITHELIAL-MESENCHYMAL TRANSITION; GLOBAL CANCER STATISTICS; TRANSPORTER 3 EXPRESSION; UP-REGULATION; TNF-ALPHA; HYPOXIA; SIGNATURE; PROMOTES; GLUT3; MICROENVIRONMENT</t>
  </si>
  <si>
    <t>SLC2A3 is an important member of the glucose transporter superfamily. It has been recently suggested that upregulation of SLC2A3 is associated with poor survival and acts as a prognostic marker in a variety of tumors. Unfortunately, the prognostic role of SLC2A3 in head and neck squamous cell carcinoma (HNSC) is less known. In the present study, we analyzed SLC2A3 expression in HNSC and its correlation with prognosis using TCGA and GEO databases. The results showed that SLC2A3 mRNA expression was higher in HNSC compared with adjacent normal tissues, which was validated with our 9 pairs of HNSC specimens. Moreover, high SLC2A3 expression predicted poor prognosis in HNSC patients. Mechanistically, GSEA revealed that high expression of SLC2A3 was enriched in epithelial-mesenchymal transition (EMT) and NF-?B signaling. In HNSC cell lines, SLC2A3 knockdown inhibited cell proliferation and migration. In addition, NF-?B P65 and EMT-related gene expression was suppressed upon SLC2A3 knockdown, indicating that SLC2A3 may play a preeminent role in the progression of HNSC through the NF-?B/EMT axis. Meanwhile, the expression of SLC2A3 was negatively correlated with immune cells, suggesting that SLC2A3 may be involved in the immune response in HNSC. The correlation between SLC2A3 expression and drug sensitivity was further assessed. In conclusion, our study demonstrated that SLC2A3 could predict the prognosis of HNSC patients and mediate the progression of HNSC via the NF-?B/EMT axis and immune responses.</t>
  </si>
  <si>
    <t>[Chai, Fangyu; Fu, Tao; Huang, Yichuan; Wang, Lin; Yan, Shu; Yan, Xudong; Yu, Longgang; Xu, Zhen; Wang, Ruohuang; Xu, Bingqing; Du, Xiaoyun; Jiang, Yan; Zhang, Jisheng] Qingdao Univ, Affiliated Hosp, Dept Otolaryngol Head &amp; Neck Surg, Qingdao, Peoples R China; [Zhang, Jingfang] Shandong First Med Univ, Dept Pathol, Jinan, Shandong, Peoples R China; [Jiang, Peng] Qingdao Univ, Affiliated Hosp, Organ Transplantat Ctr, Qingdao, Peoples R China; [Jiang, Yan; Zhang, Jisheng] Qingdao Univ, Affiliated Hosp, Med Res Ctr, Key Lab Otolaryngol Head &amp; Neck Surg, Qingdao, Peoples R China</t>
  </si>
  <si>
    <t>Qingdao University; Shandong First Medical University &amp; Shandong Academy of Medical Sciences; Qingdao University; Qingdao University</t>
  </si>
  <si>
    <t>Jiang, Y; Zhang, JS (corresponding author), Qingdao Univ, Affiliated Hosp, Dept Otolaryngol Head &amp; Neck Surg, Qingdao, Peoples R China.;Jiang, Y; Zhang, JS (corresponding author), Qingdao Univ, Affiliated Hosp, Med Res Ctr, Key Lab Otolaryngol Head &amp; Neck Surg, Qingdao, Peoples R China.</t>
  </si>
  <si>
    <t>jiangyanoto@qdu.edu.cn; zhangjs@qdu.edu.cn</t>
  </si>
  <si>
    <t>National Natural Science Foundation of China [81672662]; Natural Science Foundation of Shandong Province [ZR2022MH073]; Qingdao Medical and Health Science and Technology Program [2021-WJZD184]; Clinical Medicine +X Scientific Research Project of Affiliated Hospital of Qingdao University [QDFY+X202101012]</t>
  </si>
  <si>
    <t>National Natural Science Foundation of China(National Natural Science Foundation of China (NSFC)); Natural Science Foundation of Shandong Province(Natural Science Foundation of Shandong Province); Qingdao Medical and Health Science and Technology Program; Clinical Medicine +X Scientific Research Project of Affiliated Hospital of Qingdao University</t>
  </si>
  <si>
    <t>This study was supported by the National Natural Science Foundation of China (81672662), Natural Science Foundation of Shandong Province (ZR2022MH073), Qingdao Medical and Health Science and Technology Program (2021-WJZD184) and Clinical Medicine +X Scientific Research Project of Affiliated Hospital of Qingdao University (QDFY+X202101012).</t>
  </si>
  <si>
    <t>1933-6950</t>
  </si>
  <si>
    <t>1933-6969</t>
  </si>
  <si>
    <t>Channels</t>
  </si>
  <si>
    <t>10.1080/19336950.2023.2208928</t>
  </si>
  <si>
    <t>Biochemistry &amp; Molecular Biology</t>
  </si>
  <si>
    <t>F2UW5</t>
  </si>
  <si>
    <t>WOS:000980959800001</t>
  </si>
  <si>
    <t>Chala, DG; Haro, JD</t>
  </si>
  <si>
    <t>Chala, Dejene Gemechu; Haro, Jatani Didaa</t>
  </si>
  <si>
    <t>Virginity as a sign of Masculinity: The case of the Borana Oromo, Ethiopia</t>
  </si>
  <si>
    <t>Borana; Gadaa rule; masculinity; Gumii Gaayoo; premarital virginity; premarital loss of virginity</t>
  </si>
  <si>
    <t>This article discusses the socially constructed masculinity of unmarried girls among the Borana in southern Ethiopia. The Borana practice the longstanding Gadaa political system, which was inscribed by UNESCO as an intangible cultural heritage of humanity in 2016. Data for this article was gathered through qualitative approaches, including interviews, focus group discussions (FGDs), and direct observation of the 2012 Gadaa general assembly. Such an assembly is held once every eight years to enact new Gadaa rules and amend the existing ones. The findings indicated that the Gadaa system provides rules regulating Borana marriage lives, including premarital virginity for girls. The Borana refers to an unmarried girl as dubra gammee, which means a virgin girl, who has a masculine identity and is a male person. Unmarried girls have certain physical markers, particularly a hairstyle that they share with boys. Any sexual act with unmarried girls is therefore homosexual and punishable. Gadaa and all related institutions care for the premarital virginity of girls. The Gadaa rules impose punishment unconditionally on men who have sex with unmarried girls. On the other hand, the Borana tolerate extramarital sexual relations, which has partly contributed to maintaining the premarital sexual innocence of Borana girls.</t>
  </si>
  <si>
    <t>[Chala, Dejene Gemechu] Jimma Univ, Coll Social Sci &amp; Humanities, Dept Social Anthropol, POB 378, Jimma, Ethiopia; [Haro, Jatani Didaa] Off Culture &amp; Tourism, Yaabelloo, Oromia Natl Reg, Ethiopia</t>
  </si>
  <si>
    <t>Jimma University</t>
  </si>
  <si>
    <t>Chala, DG (corresponding author), Jimma Univ, Coll Social Sci &amp; Humanities, Dept Social Anthropol, POB 378, Jimma, Ethiopia.</t>
  </si>
  <si>
    <t>sachekebo@gmail.com</t>
  </si>
  <si>
    <t>Chala, Dejene Gemechu/0000-0003-1378-4345</t>
  </si>
  <si>
    <t>10.1080/23311886.2023.2194739</t>
  </si>
  <si>
    <t>C4BX3</t>
  </si>
  <si>
    <t>WOS:000961398500001</t>
  </si>
  <si>
    <t>Chen, CJ; Chen, BC; Yang, J; Li, XY; Peng, XR; Feng, YW; Guo, RC; Zou, FY; Zhou, SL; Hei, ZQ</t>
  </si>
  <si>
    <t>Chen, Chaojin; Chen, Bingcheng; Yang, Jing; Li, Xiaoyue; Peng, Xiaorong; Feng, Yawei; Guo, Rongchang; Zou, Fengyuan; Zhou, Shaoli; Hei, Ziqing</t>
  </si>
  <si>
    <t>Development and validation of a practical machine learning model to predict sepsis after liver transplantation</t>
  </si>
  <si>
    <t>ANNALS OF MEDICINE</t>
  </si>
  <si>
    <t>Postoperative sepsis; liver transplantation; machine learning; early intervention; decision-making</t>
  </si>
  <si>
    <t>MORTALITY; SURVIVAL; MELD; ALLOCATION</t>
  </si>
  <si>
    <t>Key Messages Postoperative sepsis is one of the main causes of mortality after liver transplantation (LT). Our results revealed that a larger volume of red blood cell infusion, ascitic removal, blood loss and gastric drainage, less volume of crystalloid infusion and urine, longer anesthesia time, higher level of preoperative TBIL were the top 8 important variables contributing to the prediction of post-LT sepsis. The Random Forest Classifier (RF) model showed the best overall performance to predict sepsis after LT in our study, which could assist in the clinical decision-making procedure. Background Postoperative sepsis is one of the main causes of mortality after liver transplantation (LT). Our study aimed to develop and validate a predictive model for postoperative sepsis within 7 d in LT recipients using machine learning (ML) technology. Methods Data of 786 patients received LT from January 2015 to January 2020 was retrospectively extracted from the big data platform of Third Affiliated Hospital of Sun Yat-sen University. Seven ML models were developed to predict postoperative sepsis. The area under the receiver-operating curve (AUC), sensitivity, specificity, accuracy, and f1-score were evaluated as the model performances. The model with the best performance was validated in an independent dataset involving 118 adult LT cases from February 2020 to April 2021. The postoperative sepsis-associated outcomes were also explored in the study. Results After excluding 109 patients according to the exclusion criteria, 677 patients underwent LT were finally included in the analysis. Among them, 216 (31.9%) were diagnosed with sepsis after LT, which were related to more perioperative complications, increased postoperative hospital stay and mortality after LT (all p &lt; .05). Our results revealed that a larger volume of red blood cell infusion, ascitic removal, blood loss and gastric drainage, less volume of crystalloid infusion and urine, longer anesthesia time, higher level of preoperative TBIL were the top 8 important variables contributing to the prediction of post-LT sepsis. The Random Forest Classifier (RF) model showed the best overall performance to predict sepsis after LT among the seven ML models developed in the study, with an AUC of 0.731, an accuracy of 71.6%, the sensitivity of 62.1%, and specificity of 76.1% in the internal validation set, and a comparable AUC of 0.755 in the external validation set. Conclusions Our study enrolled eight pre- and intra-operative variables to develop an RF-based predictive model of post-LT sepsis to assist clinical decision-making procedure.</t>
  </si>
  <si>
    <t>[Chen, Chaojin; Chen, Bingcheng; Yang, Jing; Li, Xiaoyue; Peng, Xiaorong; Feng, Yawei; Zhou, Shaoli; Hei, Ziqing] Sun Yat Sen Univ, Affiliated Hosp 3, Dept Anesthesiol, Guangzhou, Peoples R China; [Guo, Rongchang; Zou, Fengyuan] Guangzhou AID Cloud Technol Co LTD, Guangzhou, Peoples R China; [Zhou, Shaoli; Hei, Ziqing] Sun Yat Sen Univ, Affiliated Hosp 3, Dept Anesthesiol, 600 Tianhe Rd, Guangzhou 510630, Guangdong, Peoples R China</t>
  </si>
  <si>
    <t>Sun Yat Sen University; Sun Yat Sen University</t>
  </si>
  <si>
    <t>Zhou, SL; Hei, ZQ (corresponding author), Sun Yat Sen Univ, Affiliated Hosp 3, Dept Anesthesiol, 600 Tianhe Rd, Guangzhou 510630, Guangdong, Peoples R China.</t>
  </si>
  <si>
    <t>13610272308@139.com; heiziqing@sina.com</t>
  </si>
  <si>
    <t>CHEN, Chaojin/AAG-4528-2019; guo, rongchang/GZK-7256-2022; peng, xiaorong/F-5442-2015</t>
  </si>
  <si>
    <t>CHEN, Chaojin/0000-0001-5101-4101; peng, xiaorong/0000-0001-7833-4885</t>
  </si>
  <si>
    <t>0785-3890</t>
  </si>
  <si>
    <t>1365-2060</t>
  </si>
  <si>
    <t>ANN MED</t>
  </si>
  <si>
    <t>Ann. Med.</t>
  </si>
  <si>
    <t>10.1080/07853890.2023.2179104</t>
  </si>
  <si>
    <t>9C6YO</t>
  </si>
  <si>
    <t>WOS:000935560800001</t>
  </si>
  <si>
    <t>Chen, CM; Bagan, H; Yoshida, T</t>
  </si>
  <si>
    <t>Chen, Chaomin; Bagan, Hasi; Yoshida, Takahiro</t>
  </si>
  <si>
    <t>Multiscale mapping of local climate zones in Tokyo using airborne LiDAR data, GIS vectors, and Sentinel-2 imagery</t>
  </si>
  <si>
    <t>GISCIENCE &amp; REMOTE SENSING</t>
  </si>
  <si>
    <t>Local climate zones; Urban form; Multisource data fusion; Fuzzy logic; Threshold optimization; Land surface temperature</t>
  </si>
  <si>
    <t>URBAN HEAT-ISLAND; SKY-VIEW FACTOR; CLASSIFICATION; AREAS; CITIES; SCHEME; VARIABILITY; NETWORK; MAPS; CITY</t>
  </si>
  <si>
    <t>Multisource remote sensing and geographic information system (GIS) data have contributed powerfully to the large-scale automated mapping of local climate zones (LCZs). However, the accessibility of high-resolution height data, the applicability of standard thresholds to local contexts, and the dependence of mapping scales have limited LCZ classification studies. In this study, we combined airborne LiDAR data, Sentinel-2 imagery, and GIS vector (buildings and roads) data to develop a multiscale automated LCZ classification scheme in the 23 special wards of Tokyo. Based on the optimized thresholds of seven LCZ properties, GIS-based LCZ mapping was implemented using fuzzy logic classifiers at the block scale and at different grid-cell scales (100 m-1000 m). In addition to assessing accuracy using reference samples, multidate thermal infrared data (Landsat-8 and ASTER data) were used to understand the LCZ-LST (land surface temperature) relationship at multiple scales. The results showed that the overall accuracies of LCZs could be significantly increased by threshold optimization at all scales. Significant differences in LCZs and LSTs among different mapping units were observed. The highest overall accuracy was greater than 80% at the 100-m grid-cell scale. As the size of grid cells increased, the overall accuracy of LCZ classification decreased. For each LCZ, the mean daytime/nighttime LST exhibited more variation by date than by scale. This study provides a promising picture of GIS-based LCZ mapping and LCZ-LST relationships at multiple scales.</t>
  </si>
  <si>
    <t>[Chen, Chaomin; Bagan, Hasi] Shanghai Normal Univ, Sch Environm &amp; Geog Sci, Shanghai, Peoples R China; [Bagan, Hasi] Natl Inst Environm Studies, Reg Environm Conservat Div, Tsukuba, Ibaraki, Japan; [Yoshida, Takahiro] Univ Tokyo, Ctr Spatial Informat Sci, Kashiwa, Chiba, Japan; [Bagan, Hasi] Shanghai Normal Univ, Sch Environm &amp; Geog Sci, Shanghai 200234, Peoples R China; [Bagan, Hasi] Natl Inst Environm Studies, Reg Environm Conservat Div, Tsukuba, Ibaraki 3058506, Japan</t>
  </si>
  <si>
    <t>Shanghai Normal University; National Institute for Environmental Studies - Japan; University of Tokyo; Shanghai Normal University; National Institute for Environmental Studies - Japan</t>
  </si>
  <si>
    <t>Bagan, H (corresponding author), Shanghai Normal Univ, Sch Environm &amp; Geog Sci, Shanghai 200234, Peoples R China.;Bagan, H (corresponding author), Natl Inst Environm Studies, Reg Environm Conservat Div, Tsukuba, Ibaraki 3058506, Japan.</t>
  </si>
  <si>
    <t>hasibagan@staff.shnu.edu.cn</t>
  </si>
  <si>
    <t>Yoshida, Takahiro/I-6792-2016; Bagan, Hasi/A-3975-2015</t>
  </si>
  <si>
    <t>Yoshida, Takahiro/0000-0001-8741-5345; Bagan, Hasi/0000-0002-0471-7135; Chen, Chaomin/0000-0002-8933-9259</t>
  </si>
  <si>
    <t>National Key R&amp;D Program of China [2022YFE0119500]; Science and Technology Commission of Shanghai Municipality, China [22010503600]</t>
  </si>
  <si>
    <t>National Key R&amp;D Program of China; Science and Technology Commission of Shanghai Municipality, China(Science &amp; Technology Commission of Shanghai Municipality (STCSM))</t>
  </si>
  <si>
    <t>The work was supported by the~ National Key R&amp;D Program of China [2022YFE0119500] and by the Science and Technology Commission of Shanghai Municipality, China [22010503600].</t>
  </si>
  <si>
    <t>1548-1603</t>
  </si>
  <si>
    <t>1943-7226</t>
  </si>
  <si>
    <t>GISCI REMOTE SENS</t>
  </si>
  <si>
    <t>GISci. Remote Sens.</t>
  </si>
  <si>
    <t>10.1080/15481603.2023.2209970</t>
  </si>
  <si>
    <t>G4ZV8</t>
  </si>
  <si>
    <t>WOS:000989264000001</t>
  </si>
  <si>
    <t>Chen, GY; Sun, TS; Yang, SQ; Miao, ZZ; Tan, H</t>
  </si>
  <si>
    <t>Chen, Guangyao; Sun, Tongshuai; Yang, Shaoqiong; Miao, Zhanzhan; Tan, Hua</t>
  </si>
  <si>
    <t>A study on the cavitating flow around an elliptical disk-shaped cavitator for non-body-of-revolution underwater vehicles</t>
  </si>
  <si>
    <t>supercavitation; cavitating flow; elliptical disk-shaped cavitator; non-body-of-revolution; computational fluid dynamics</t>
  </si>
  <si>
    <t>TURBULENCE</t>
  </si>
  <si>
    <t>Supercavitation has been recently presented as an effective method for the drag reduction of underwater vehicles. However, maintaining the supercavitating state requires a lot of energy, making vehicles difficult to control. Therefore, it is necessary to design an underwater vehicle with low drag in the fully wetted state while being able to move at ultra-high speed in the supercavitating state. In this study, a detachable fairing design for underwater vehicles is proposed, which has the advantage of increasing the total voyage and avoiding the problem of difficult steering in the supercavitating state. On the other hand, the study of non-body-of-revolution (non-BOR) has become a prevalent area of interest in the shape design of underwater vehicles. The cavity generated by an elliptical disk-shaped cavitator is studied numerically. It is found that the cavity profile on the cross-section near the cavitator is approximately elliptical. The cavity length of an elliptical disk-shaped cavitator is almost the same as that of a disk-shaped cavitator when they have the same inflow area. Based on these two characteristics, the parameters of the internal elliptical disk-shaped cavitator are optimized, which provides a promising strategy for the issue of cavitators increasing drag in a fully wetted state.</t>
  </si>
  <si>
    <t>[Chen, Guangyao; Sun, Tongshuai; Yang, Shaoqiong] Tianjin Univ, Sch Mech Engn, Key Lab Mech Theory &amp; Equipment Design, Minist Educ, Tianjin, Peoples R China; [Sun, Tongshuai; Yang, Shaoqiong; Miao, Zhanzhan; Tan, Hua] Laoshan Lab, Joint Lab Ocean Observing &amp; Detect, Qingdao, Peoples R China</t>
  </si>
  <si>
    <t>Tianjin University; Laoshan Laboratory</t>
  </si>
  <si>
    <t>Yang, SQ (corresponding author), Tianjin Univ, Sch Mech Engn, Key Lab Mech Theory &amp; Equipment Design, Minist Educ, Tianjin, Peoples R China.;Yang, SQ (corresponding author), Laoshan Lab, Joint Lab Ocean Observing &amp; Detect, Qingdao, Peoples R China.</t>
  </si>
  <si>
    <t>shaoqiongy@tju.edu.cn</t>
  </si>
  <si>
    <t>YANG, SHAOQIONG/0000-0002-0587-540X</t>
  </si>
  <si>
    <t>National Key R&amp;D Program of China; National Natural Science Foundation of China [11902219]; Laoshan Laboratory Science and Technology Innovation Project [LSKJ202200200]</t>
  </si>
  <si>
    <t>National Key R&amp;D Program of China; National Natural Science Foundation of China(National Natural Science Foundation of China (NSFC)); Laoshan Laboratory Science and Technology Innovation Project</t>
  </si>
  <si>
    <t>This work was jointly supported by the National Key R&amp;D Program of China, The National Natural Science Foundation of China (11902219), and Laoshan Laboratory Science and Technology Innovation Project (LSKJ202200200).</t>
  </si>
  <si>
    <t>10.1080/19942060.2022.2159882</t>
  </si>
  <si>
    <t>7O7OC</t>
  </si>
  <si>
    <t>WOS:000908207500001</t>
  </si>
  <si>
    <t>Chen, HM; Chen, HQ; Zhou, Y; Xu, WW; Yu, JJ; Xu, Y; Zhou, F</t>
  </si>
  <si>
    <t>Chen, Haimin; Chen, Haiqi; Zhou, Yan; Xu, Weiwei; Yu, Jingjing; Xu, Yao; Zhou, Fan</t>
  </si>
  <si>
    <t>Comparative efficacy of novel-drugs combined therapeutic regimens on relapsed/refractory multiple myeloma: a network meta-analysis</t>
  </si>
  <si>
    <t>Relapsed and or refractory multiple myeloma; network meta-analysis; overall response rate</t>
  </si>
  <si>
    <t>LENALIDOMIDE PLUS DEXAMETHASONE; OPEN-LABEL; DOUBLE-BLIND; BORTEZOMIB; MULTICENTER; CARFILZOMIB; POMALIDOMIDE; DARATUMUMAB; PLACEBO; COMBINATION</t>
  </si>
  <si>
    <t>Background: Although multiple myeloma is still incurable, an abundance of novel treatments have become available for relapsed and or refractory multiple myeloma (RRMM). Direct head-to-head comparisons between the novel treatments are lacking. We performed a network meta-analysis to evaluate immediate effects such as response quality of current novel-drugs combined therapeutic regimens, with the aim to identify treatments that could be more effective than others in RRMM. Methods: We searched Cochrane Library, PubMed, Embase, and Web of Science for randomized controlled clinical trials receiving novel-drugs combined treatments as means of interventions. The primary endpoint was objective response rates (ORRs). We used the surface under the cumulative ranking curve (SUCRA) to sequence treatments. Totally, 22 randomized controlled trials were identified for final evaluation. With the aim to include all regimens within one network analysis, we divided the treatment schemes into 13 categories according to the use of novel drugs. Results: Carfilzomib-, daratumumab-, and isatuximab-based treatments had better ORRs than bortezomib combined dexamethasone and lenalidomide combined dexamethasone. Daratumumab- and isatuximab-based treatments had better ORRs than pomalidomide combined dexamethasone. According to the SUCRA, daratumumab- and isatuximab-based triple-drug regimens had higher probabilities of achieving better ORRs, followed by carfilzomib, elotuzumab, venetoclax, selinexor, ixazomib, vorinostat, pomalidomide, panobinostat, lenalidomide. Conclusions: Our network meta-analysis performed a complete review of the ORRs of all current available novel-drugs based regimens for RRMM. By using the clinical data all from randomized controlled studies, daratumumab- and isatuximab-based treatments were identified to be the best treatments receiving better response quality.</t>
  </si>
  <si>
    <t>[Chen, Haimin; Zhou, Yan; Xu, Weiwei; Yu, Jingjing; Xu, Yao; Zhou, Fan] Zhabei Cent Hosp, Dept Hematol &amp; Oncol, Shanghai, Peoples R China; [Chen, Haiqi] Zhoushan Hosp Tradit Chinese Med, Dept Plast Surg, Zhoushan, Peoples R China</t>
  </si>
  <si>
    <t>Chen, HM (corresponding author), Zhabei Cent Hosp, Dept Hematol &amp; Oncol, Shanghai, Peoples R China.</t>
  </si>
  <si>
    <t>haimin1633@163.com</t>
  </si>
  <si>
    <t>10.1080/16078454.2023.2225342</t>
  </si>
  <si>
    <t>J5PY3</t>
  </si>
  <si>
    <t>WOS:001010148000001</t>
  </si>
  <si>
    <t>Chen, H; Jiang, F; Chen, WL; Feng, Y; Chen, SL; Miao, JJ; Jiao, CC; Chen, XZ</t>
  </si>
  <si>
    <t>Chen, Hang; Jiang, Feng; Chen, Wanlin; Feng, Ying; Chen, Shali; Miao, Jiajun; Jiao, Cuicui; Chen, Xinzhong</t>
  </si>
  <si>
    <t>Distinguishing preeclampsia using the falling scaled slope (FSS) -- a novel photoplethysmographic morphological parameter</t>
  </si>
  <si>
    <t>HYPERTENSION IN PREGNANCY</t>
  </si>
  <si>
    <t>characteristics extraction; machine learning; morphology; preeclampsia; photoplethysmographic pulse wave</t>
  </si>
  <si>
    <t>MEAN ARTERIAL-PRESSURE; PULSE-WAVE VELOCITY; NORMAL-PREGNANCY; PREDICTION; RISK; BIOMARKERS; WOMEN; INDEX</t>
  </si>
  <si>
    <t>Background: Preeclampsia (PE) presence could lead to hemodynamic changes. Previous research suggested that morphological parameters based on photoplethysmographic pulse waves (PPGW) could help diagnose PE.Aim: To investigate the performance of a novel PPGPW-based parameter, falling scaled slope (FSS), in distinguishing PE. To investigate the advantages of the machine learning algorithm over the conventional statistical methods in the analysis.Methods: Eighty-one pieces of PPGPW data were acquired for the study (PE, n = 44; normotensive, n = 37). The FSS values were calculated and used to construct a PE classifier using the K-nearest neighbors (KNN) algorithm. A predicted PE state varying from 0 to 1 was also calculated. The classifier's performance in distinguishing PE was evaluated using the ROC and AUC. A comparison was conducted with previously published PPGPW-based models.Result: Compared to the previous PPGPW-based parameters, FSS showed a better performance in distinguishing PE with an AUC value of 0.924, the best threshold of 0.498 could predict PE with a sensitivity of 84.1% and a specificity of 89.2%. As for the analysis method, training a classifier using the KNN algorithm had an advantage over the conventional statistical methods with the AUC values of 0.878 and 0.749, respectively.Conclusion: The result indicated that FSS might be an effective tool for identifying PE. Moreover, the machine learning algorithm could further help the data analysis and improve performance.</t>
  </si>
  <si>
    <t>[Chen, Hang; Jiang, Feng; Chen, Wanlin; Chen, Shali; Miao, Jiajun] Zhejiang Univ, Coll Biomed Engn &amp; Instrument Sci, Hangzhou, Peoples R China; [Chen, Hang; Jiang, Feng; Chen, Wanlin; Chen, Shali; Miao, Jiajun] Zhejiang Univ, Minist Educ, Key Lab Biomed Engn, Hangzhou, Peoples R China; [Chen, Hang; Jiang, Feng; Chen, Wanlin; Chen, Shali; Miao, Jiajun; Chen, Xinzhong] Zhejiang Univ, Zhejiang Prov Key Lab Cardiocerebral Vasc Detect T, Hangzhou, Peoples R China; [Chen, Hang] Zhejiang Lab, Connected Healthcare Big Data Res Ctr, Hangzhou, Peoples R China; [Feng, Ying; Jiao, Cuicui; Chen, Xinzhong] Zhejiang Univ, Womens Hosp, Sch Med, Dept Anesthesia, Hangzhou, Peoples R China; [Chen, Xinzhong] Zhejiang Univ, Womens Hosp, Sch Med, Hangzhou 310006, Peoples R China</t>
  </si>
  <si>
    <t>Zhejiang University; Zhejiang University; Zhejiang University; Zhejiang Laboratory; Zhejiang University; Zhejiang University</t>
  </si>
  <si>
    <t>Chen, XZ (corresponding author), Zhejiang Univ, Womens Hosp, Sch Med, Hangzhou 310006, Peoples R China.</t>
  </si>
  <si>
    <t>chenxinz@zju.edu.cn</t>
  </si>
  <si>
    <t>National Natural Science Foundation of China [81870868]; Major Scientific Project of Zhejiang Lab [2020ND8AD01]</t>
  </si>
  <si>
    <t>National Natural Science Foundation of China(National Natural Science Foundation of China (NSFC)); Major Scientific Project of Zhejiang Lab</t>
  </si>
  <si>
    <t>This work was supported by the [National Natural Science Foundation of China] under Grant [number 81870868]; [Major Scientific Project of Zhejiang Lab] under Grant [number 2020ND8AD01].</t>
  </si>
  <si>
    <t>1064-1955</t>
  </si>
  <si>
    <t>1525-6065</t>
  </si>
  <si>
    <t>HYPERTENS PREGNANCY</t>
  </si>
  <si>
    <t>Hypertens. Pregnancy</t>
  </si>
  <si>
    <t>10.1080/10641955.2023.2225617</t>
  </si>
  <si>
    <t>Obstetrics &amp; Gynecology; Physiology; Peripheral Vascular Disease</t>
  </si>
  <si>
    <t>Obstetrics &amp; Gynecology; Physiology; Cardiovascular System &amp; Cardiology</t>
  </si>
  <si>
    <t>K3LT6</t>
  </si>
  <si>
    <t>WOS:001015495400001</t>
  </si>
  <si>
    <t>Chen, JW; Liew, FF; Tan, HW; Misran, M; Chung, I</t>
  </si>
  <si>
    <t>Chen, Jzit Weii; Liew, Fong Fong; Tan, Hsiao Wei; Misran, Misni; Chung, Ivy</t>
  </si>
  <si>
    <t>Cholesterol-linoleic acid liposomes induced extracellular vesicles secretion from immortalized adipose-derived mesenchymal stem cells for in vitro cell migration</t>
  </si>
  <si>
    <t>Cholesterol; extracellular vesicles; immortalized AD-MSCs; liposomes; regenerative medicine; &gt;</t>
  </si>
  <si>
    <t>DRUG-DELIVERY; CATIONIC LIPOSOMES; EXOSOMES; MEMBRANE; CHARGE; COMMUNICATION; GENERATION; MEDICINE; SYSTEM</t>
  </si>
  <si>
    <t>Extracellular vesicles (EVs) are small vesicles that are naturally released by cells and play a crucial role in cell-to-cell communication, tissue repair and regeneration. As naturally secreted EVs are limited, liposomes with different physicochemical properties, such as 1,2-dioleoyl-3-trimethylammonium propane (DOTAP) and linoleic acid (LA) with modifications have been formulated to improve EVs secretion for in vitro wound healing. Various analyses, including dynamic light scattering (DLS) and transmission electron microscopy (TEM) were performed to monitor the successful preparation of different types of liposomes. The results showed that cholesterol-LA liposomes significantly improved the secretion of EVs from immortalized adipose-derived mesenchymal stem cells (AD-MSCs) by 1.5-fold. Based on the cell migration effects obtained from scratch assay, both LA liposomal-induced EVs and cholesterol-LA liposomal-induced EVs significantly enhanced the migration of human keratinocytes (HaCaT) cell line. These findings suggested that LA and cholesterol-LA liposomes that enhance EVs secretion are potentially useful and can be extended for various tissue regeneration applications.</t>
  </si>
  <si>
    <t>[Chen, Jzit Weii; Chung, Ivy] Univ Malaya, Fac Med, Dept Pharmacol, Kuala Lumpur, Malaysia; [Liew, Fong Fong] MAHSA Univ, Fac Dent, Dept Oral Biol &amp; Biomed Sci, Jenjarom, Selangor, Malaysia; [Tan, Hsiao Wei] Univ Malaya, Inst Res Management &amp; Serv, Res &amp; Innovat Management Complex, Kuala Lumpur, Malaysia; [Misran, Misni] Univ Malaya, Fac Sci, Dept Chem, Kuala Lumpur, Malaysia</t>
  </si>
  <si>
    <t>Universiti Malaya; Mahsa University; Universiti Malaya; Universiti Malaya</t>
  </si>
  <si>
    <t>Chung, I (corresponding author), Univ Malaya, Fac Med, Dept Pharmacol, Kuala Lumpur, Malaysia.;Liew, FF (corresponding author), MAHSA Univ, Fac Dent, Dept Oral Biol &amp; Biomed Sci, Jenjarom, Selangor, Malaysia.</t>
  </si>
  <si>
    <t>ffliew@mahsa.edu.my; lychung@ummc.edu.my</t>
  </si>
  <si>
    <t>Fundamental Research Grant Scheme, Ministry of Higher Education, Malaysia [FRGS/1/2019/SKK08/MAHSA/02/5]</t>
  </si>
  <si>
    <t>Fundamental Research Grant Scheme, Ministry of Higher Education, Malaysia</t>
  </si>
  <si>
    <t>This work was supported by the Fundamental Research Grant Scheme, Ministry of Higher Education, Malaysia under FRGS/1/2019/SKK08/MAHSA/02/5.</t>
  </si>
  <si>
    <t>10.1080/21691401.2023.2237534</t>
  </si>
  <si>
    <t>O0EA6</t>
  </si>
  <si>
    <t>WOS:001040626200001</t>
  </si>
  <si>
    <t>Cheng, J; Li, RQ; Wang, L; Zhang, T; Yuan, GQ; Lu, HZ</t>
  </si>
  <si>
    <t>Cheng, Jia; Li, Ruiqing; Wang, Ling; Zhang, Tao; Yuan, Guoqiang; Lu, Hongzhao</t>
  </si>
  <si>
    <t>Methyltransferase like 21C interaction with Hsc70 affects chicken myoblast differentiation</t>
  </si>
  <si>
    <t>ITALIAN JOURNAL OF ANIMAL SCIENCE</t>
  </si>
  <si>
    <t>Chicken; METTL21C; Hsc70; myoblast; differentiation</t>
  </si>
  <si>
    <t>SKELETAL-MUSCLE; MESSENGER-RNA; FIBER TYPES; METTL21C; EXPRESSION; EXERCISE; HSP70</t>
  </si>
  <si>
    <t>Skeletal muscle has an essential role in boiler production, which depends on the muscle fibre development during the embryonic stage. Whereas the posttranslational modifications of both histone and non-histone proteins are known to regulate postnatal muscle development, the biological significance of non-histone methylation is poorly understood. Recently, the methyltransferase like 21 C (METTL21C) is identified as a non-histone lysine methyltransferase whose role in chicken muscle function remains elusive. In this study, METTL21C was found by comparing free-range and caged modes in Lueyang black-boned chicken aged 60 and 120 days. Quantitative real-time PCR (qPCR) analysis demonstrated that METTL21C was mainly enriched in chicken soleus (SOL) and gastrocnemius muscle (GA) (p &lt; .05). Meanwhile, METTL21C had a rapid increase during chicken myoblast differentiation. After METTL21C overexpression, myogenic differentiation (MyoD) and myogenin (MyoG) expression were significantly increased, indicating that METTL21C promotes chicken myoblast differentiation. Using co-immunoprecipitation (Co-IP) and liquid chromatography-mass spectrometry (LC-MS/MS) analysis, heat shock cognate 71 kDa protein (Hsc70) was confirmed to interact with METTL21C, while the effects of Hsc70 Lys-561 (Hsc70 K561) mutation suggested that Hsc70 was a METTL21C target protein. These results identify the molecular mechanism of METTL21C interaction with Hsc70 associated with chicken myoblast differentiation in the postnatal period.</t>
  </si>
  <si>
    <t>[Cheng, Jia; Li, Ruiqing; Wang, Ling; Zhang, Tao; Lu, Hongzhao] Shaanxi Univ Technol, Coll Biol Sci &amp; Engn, Hanzhong, Peoples R China; [Cheng, Jia; Wang, Ling; Zhang, Tao; Lu, Hongzhao] Qinba State Key Lab Biol Resources &amp; Ecol Environm, QinLing Bashan Mt Bioresources Comprehens Dev CIC, Hanzhong, Peoples R China; [Zhang, Tao; Lu, Hongzhao] Univ Shaanxi Prov, Engn Res Ctr Qual Improvement &amp; Safety Control Qin, Hanzhong, Peoples R China; [Yuan, Guoqiang] Shaanxi Baiweiyuan Network Technol Co LTD, Hanzhong, Peoples R China</t>
  </si>
  <si>
    <t>Shaanxi University of Technology</t>
  </si>
  <si>
    <t>Lu, HZ (corresponding author), Shaanxi Univ Technol, Coll Biol Sci &amp; Engn, Hanzhong, Peoples R China.;Lu, HZ (corresponding author), Qinba State Key Lab Biol Resources &amp; Ecol Environm, QinLing Bashan Mt Bioresources Comprehens Dev CIC, Hanzhong, Peoples R China.;Lu, HZ (corresponding author), Univ Shaanxi Prov, Engn Res Ctr Qual Improvement &amp; Safety Control Qin, Hanzhong, Peoples R China.</t>
  </si>
  <si>
    <t>zl780823@126.com</t>
  </si>
  <si>
    <t>Shaanxi University of Technology [SXC-2101]; Shaanxi Union Research Centre of University; Enterprise for Zhenba Bacon</t>
  </si>
  <si>
    <t>Shaanxi University of Technology; Shaanxi Union Research Centre of University; Enterprise for Zhenba Bacon</t>
  </si>
  <si>
    <t>This study was supported by Scientific Research Project of Shaanxi University of Technology (SXC-2101). Shaanxi Union Research Centre of University and Enterprise for Zhenba Bacon.</t>
  </si>
  <si>
    <t>1594-4077</t>
  </si>
  <si>
    <t>1828-051X</t>
  </si>
  <si>
    <t>ITAL J ANIM SCI</t>
  </si>
  <si>
    <t>Ital. J. Anim. Sci.</t>
  </si>
  <si>
    <t>10.1080/1828051X.2023.2222754</t>
  </si>
  <si>
    <t>Agriculture, Dairy &amp; Animal Science; Agriculture, Multidisciplinary; Veterinary Sciences</t>
  </si>
  <si>
    <t>Agriculture; Veterinary Sciences</t>
  </si>
  <si>
    <t>J9ZV4</t>
  </si>
  <si>
    <t>WOS:001013143800001</t>
  </si>
  <si>
    <t>Chiadighikaobi, PC; Kharun, M; Hematibahar, M</t>
  </si>
  <si>
    <t>Chiadighikaobi, Paschal Chimeremeze; Kharun, Makhmud; Hematibahar, Mohammad</t>
  </si>
  <si>
    <t>Historical structure design method through data analysis and soft programming</t>
  </si>
  <si>
    <t>COGENT ENGINEERING</t>
  </si>
  <si>
    <t>Data analysis; data mining; historical design; dome; soft programming; designing method; structural design</t>
  </si>
  <si>
    <t>PERFORMANCE; PREDICTION</t>
  </si>
  <si>
    <t>The present study is focused on the method of designing historical structures through data analysis and soft programming. The current research aimed to find the design method of the old columns of the structure and compare it with modern design methods. The case study was Goharshad Mosque (1400 AC) located in Iran, Mashhad. A correlation matrix was created to find the relationship between structure parameters by data mining in Python. The results indicate that the modern design method was more reliable than the old method due to the safety factor, but some parameters such as loading calculation in the historical method and the modern method were the same with more than 70% similarity. But the results of the coefficient of determination show that the loading of the R-2 results was more than 0.44 and the area of the columns was more than -0.5. The modern and old design has a big engineering gap. Finally, the current study shows the old structure design method and compares it with the new design method.</t>
  </si>
  <si>
    <t>[Chiadighikaobi, Paschal Chimeremeze] Afe Babalola Univ, Dept Civil Engn, Ado Ekiti, Ekiti, Nigeria; [Kharun, Makhmud; Hematibahar, Mohammad] Moscow State Univ Civil Engn, Dept Reinforced Concrete &amp; Stone Struct, Moscow, Russia</t>
  </si>
  <si>
    <t>Moscow State University of Civil Engineering</t>
  </si>
  <si>
    <t>Chiadighikaobi, PC (corresponding author), Afe Babalola Univ, Dept Civil Engn, Ado Ekiti, Ekiti, Nigeria.</t>
  </si>
  <si>
    <t>chiadighikaobi.paschalc@abuad.edu.ng</t>
  </si>
  <si>
    <t>Chiadighikaobi, Paschal Chimeremeze/AAH-7993-2019</t>
  </si>
  <si>
    <t>Chiadighikaobi, Paschal Chimeremeze/0000-0002-4699-8166</t>
  </si>
  <si>
    <t>Afe Babalola University, Ado-Ekiti (ABUAD), Ekiti State, Nigeria</t>
  </si>
  <si>
    <t>This study was financially supported by Afe Babalola University, Ado-Ekiti (ABUAD), Ekiti State, Nigeria.</t>
  </si>
  <si>
    <t>2331-1916</t>
  </si>
  <si>
    <t>COGENT ENG</t>
  </si>
  <si>
    <t>Cogent Eng.</t>
  </si>
  <si>
    <t>10.1080/23311916.2023.2220499</t>
  </si>
  <si>
    <t>Engineering, Multidisciplinary</t>
  </si>
  <si>
    <t>Engineering</t>
  </si>
  <si>
    <t>I1RS7</t>
  </si>
  <si>
    <t>WOS:001000631600001</t>
  </si>
  <si>
    <t>Chiu, KHY; Yip, CCY; Poon, RWS; Leung, KH; Li, X; Hung, IFN; To, KKW; Cheng, VCC; Yuen, KY</t>
  </si>
  <si>
    <t>Chiu, Kelvin Hei-Yeung; Yip, Cyril Chik-Yan; Poon, Rosana Wing-Shan; Leung, Kit-Hang; Li, Xin; Hung, Ivan Fan-Ngai; To, Kelvin Kai-Wang; Cheng, Vincent Chi-Chung; Yuen, Kwok-Yung</t>
  </si>
  <si>
    <t>Correlations of Myeloperoxidase (MPO), Adenosine deaminase (ADA), C-C motif chemokine 22 (CCL22), Tumour necrosis factor alpha (TNFα) and Interleukin-6 (IL-6) mRNA expression in the nasopharyngeal specimens with the diagnosis and severity of SARS-CoV-2 infections</t>
  </si>
  <si>
    <t>Nasopharyngeal specimen; COVID-19 severity; myeloperoxidase; adenosine deaminase; CCL22</t>
  </si>
  <si>
    <t>Cytokine dynamics in patients with coronavirus disease 2019 (COVID-19) have been studied in blood but seldomly in respiratory specimens. We studied different cell markers and cytokines in fresh nasopharyngeal swab specimens for the diagnosis and for stratifying the severity of COVID-19. This was a retrospective case-control study comparing Myeloperoxidase (MPO), Adenosine deaminase (ADA), C-C motif chemokine ligand 22 (CCL22), Tumour necrosis factor alpha (TNF alpha) and Interleukin-6 (IL-6) mRNA expression in 490 (327 patients and 163 control) nasopharyngeal specimens from 317 (154 COVID-19 and 163 control) hospitalized patients. Of the 154 COVID-19 cases, 46 died. Both total and normalized MPO, ADA, CCL22, TNF alpha, and IL-6 mRNA expression levels were significantly higher in the nasopharyngeal specimens of infected patients when compared with controls, with ADA showing better performance (OR 5.703, 95% CI 3.424-9.500, p &lt; 0.001). Receiver operating characteristics (ROC) curve showed that the cut-off value of normalized ADA mRNA level at 2.37 x 10(-3) had a sensitivity of 81.8% and specificity of 83.4%. While patients with severe COVID-19 had more respiratory symptoms, and elevated lactate dehydrogenase, multivariate analysis showed that severe COVID-19 patients had lower CCL22 mRNA (OR 0.211, 95% CI 0.060-0.746, p = 0.016) in nasopharyngeal specimens, while lymphocyte count, C-reactive protein, and viral load in nasopharyngeal specimens did not correlate with disease severity. In summary, ADA appears to be a better biomarker to differentiate between infected and uninfected patients, while CCL22 has the potential in stratifying the severity of COVID-19.</t>
  </si>
  <si>
    <t>[Chiu, Kelvin Hei-Yeung; Yip, Cyril Chik-Yan; Poon, Rosana Wing-Shan; Cheng, Vincent Chi-Chung] Queen Mary Hosp, Dept Microbiol, Pokfulam, Hong Kong, Hong Kong Speci, Peoples R China; [Yip, Cyril Chik-Yan; Poon, Rosana Wing-Shan; Leung, Kit-Hang; Li, Xin; To, Kelvin Kai-Wang; Yuen, Kwok-Yung] Univ Hong Kong, Li Ka Shing Fac Med, Carol Yu Ctr Infect, Dept Microbiol, Hong Kong, Hong Kong Speci, Peoples R China; [Leung, Kit-Hang; Li, Xin; To, Kelvin Kai-Wang; Yuen, Kwok-Yung] Univ Hong Kong, Li Ka Shing Fac Med, Sch Clin Med, Dept Microbiol,Pokfulam, Hong Kong, Hong Kong Speci, Peoples R China; [Hung, Ivan Fan-Ngai] Univ Hong Kong, Li Ka Shing Fac Med, Sch Clin Med, Dept Med,Pokfulam, Hong Kong, Hong Kong Speci, Peoples R China; [Hung, Ivan Fan-Ngai; To, Kelvin Kai-Wang; Yuen, Kwok-Yung] Univ Hong Kong, Shenzhen Hosp, Dept Infect Dis &amp; Microbiol, Shenzhen, Peoples R China; [To, Kelvin Kai-Wang; Yuen, Kwok-Yung] Hong Kong Sci &amp; Technol Pk, Ctr Virol Vaccinol &amp; Therapeut, Pak Shek Kok, Hong Kong, Hong Kong Speci, Peoples R China</t>
  </si>
  <si>
    <t>University of Hong Kong; University of Hong Kong; University of Hong Kong; University of Hong Kong; University of Hong Kong</t>
  </si>
  <si>
    <t>Yuen, KY (corresponding author), Univ Hong Kong, Li Ka Shing Fac Med, Carol Yu Ctr Infect, Dept Microbiol, Hong Kong, Hong Kong Speci, Peoples R China.;Yuen, KY (corresponding author), Univ Hong Kong, Li Ka Shing Fac Med, Sch Clin Med, Dept Microbiol,Pokfulam, Hong Kong, Hong Kong Speci, Peoples R China.;Yuen, KY (corresponding author), Univ Hong Kong, Shenzhen Hosp, Dept Infect Dis &amp; Microbiol, Shenzhen, Peoples R China.;Yuen, KY (corresponding author), Hong Kong Sci &amp; Technol Pk, Ctr Virol Vaccinol &amp; Therapeut, Pak Shek Kok, Hong Kong, Hong Kong Speci, Peoples R China.</t>
  </si>
  <si>
    <t>kyyuen@hku.hk</t>
  </si>
  <si>
    <t>CHENG, Vincent Chi-Chung/AAK-6630-2021; Chiu, Hei Yeung Kelvin/AAF-8780-2020; Hung, Ivan FN/ABD-5916-2021; Yip, Chik Yan/B-7078-2013</t>
  </si>
  <si>
    <t>Chiu, Hei Yeung Kelvin/0000-0003-2456-3943; Hung, Ivan FN/0000-0002-1556-2538; WONG, Shuk-Ching/0000-0001-6101-1932</t>
  </si>
  <si>
    <t>Health and Medical Research Fund, the Food and Health Bureau, The Government of the Hong Kong Special Administrative Region [CID-HKU1-2]; Health@InnoHK, Innovation and Technology Commission, the Government of the Hong Kong Special Administrative Region; Theme-Based Research Scheme of the Research Grants Council, the Research Grants Council of the Hong Kong Special Administrative Region [T11-709/21-N]; Consultancy Service for Enhancing Laboratory Surveillance of Emerging Infectious Diseases and Research Capability on Antimicrobial Resistance for Department of Health of the Hong Kong Special Administrative Region Government; Sanming Project of Medicine in Shenzhen, China [SZSM201911014]; High Level-Hospital Program, Health Commission of Guangdong Province, China; Guangzhou Laboratory [EKPG22-01]; Emergency COVID-19 Project, Major Projects on Public Security, National Key Research and Development Program [2021YFC0866100]</t>
  </si>
  <si>
    <t>Health and Medical Research Fund, the Food and Health Bureau, The Government of the Hong Kong Special Administrative Region; Health@InnoHK, Innovation and Technology Commission, the Government of the Hong Kong Special Administrative Region; Theme-Based Research Scheme of the Research Grants Council, the Research Grants Council of the Hong Kong Special Administrative Region; Consultancy Service for Enhancing Laboratory Surveillance of Emerging Infectious Diseases and Research Capability on Antimicrobial Resistance for Department of Health of the Hong Kong Special Administrative Region Government; Sanming Project of Medicine in Shenzhen, China; High Level-Hospital Program, Health Commission of Guangdong Province, China; Guangzhou Laboratory; Emergency COVID-19 Project, Major Projects on Public Security, National Key Research and Development Program</t>
  </si>
  <si>
    <t>This study was partly supported by funding to The University of Hong Kong: from the Health and Medical Research Fund (CID-HKU1-2), the Food and Health Bureau, The Government of the Hong Kong Special Administrative Region; Health@InnoHK, Innovation and Technology Commission, the Government of the Hong Kong Special Administrative Region; the Theme-Based Research Scheme of the Research Grants Council (T11-709/21-N), the Research Grants Council of the Hong Kong Special Administrative Region; the Consultancy Service for Enhancing Laboratory Surveillance of Emerging Infectious Diseases and Research Capability on Antimicrobial Resistance for Department of Health of the Hong Kong Special Administrative Region Government; Sanming Project of Medicine in Shenzhen, China (SZSM201911014); the High Level-Hospital Program, Health Commission of Guangdong Province, China; Emergency Collaborative Project (EKPG22-01) of Guangzhou Laboratory; and Emergency COVID-19 Project (2021YFC0866100), Major Projects on Public Security, National Key Research and Development Program; and donations from Richard Yu and Carol Yu, May Tam Mak Mei Yin, Michael Seak-Kan Tong, the Shaw Foundation Hong Kong, Lee Wan Keung Charity Foundation Limited, Providence Foundation Limited (in memory of the late Lui Hac Minh), Hong Kong Sanatorium &amp; Hospital, Hui Ming, Hui Hoy and Chow Sin Lan Charity Fund Limited, The Chen Wai Wai Vivien Foundation Limited, Chan Yin Chuen Memorial Charitable Foundation, Marina Man-Wai Lee, the Jessie &amp; George Ho Charitable Foundation, Perfect Shape Medical Limited, Kai Chong Tong, Tse Kam Ming Laurence, Foo Oi Foundation Limited, Betty Hing-Chu Lee, and Ping Cham So. The funding sources had no role in the study design, data collection, analysis, interpretation, or writing of the report.</t>
  </si>
  <si>
    <t>10.1080/22221751.2022.2157338</t>
  </si>
  <si>
    <t>7L7WZ</t>
  </si>
  <si>
    <t>WOS:000906172300001</t>
  </si>
  <si>
    <t>Cochachin-Carrera, B; Moreno-Cuevas, J; Carvajal-Mena, N</t>
  </si>
  <si>
    <t>Cochachin-Carrera, Belissa; Moreno-Cuevas, Jorge; Carvajal-Mena, Nailin</t>
  </si>
  <si>
    <t>Effects of concentration by block freezing and vacuum evaporation on the physicochemical properties and digestibility of whey</t>
  </si>
  <si>
    <t>CYTA-JOURNAL OF FOOD</t>
  </si>
  <si>
    <t>Cryoconcentration; whey; physicochemical properties; digestibility</t>
  </si>
  <si>
    <t>AMINO-ACIDS; PROTEIN; CRYOCONCENTRATION</t>
  </si>
  <si>
    <t>Whey is a source of protein of high nutritional value. In this work, the effects of block cryoconcentration assisted by centrifugation and vacuum evaporation on the physicochemical properties and in vitro digestibility of whey were determined. In vitro digestibility analysis was performed by evaluating the degrees of protein hydrolysis of the fresh, evaporated and cryoconcentrated whey protein samples from the third cycle. The results showed that the samples after the second and third cryoconcentration cycles had no significant differences in protein or lactose content. The in vitro digestibility analysis indicated that the protein obtained by cryoconcentration showed better gastrointestinal digestibility than that obtained by evaporation, with values of 68.2% and 55.4%, respectively. This study demonstrates that block cryoconcentration assisted by centrifugation is an efficient and novel technique that enables the preparation of concentrated protein solutions of high nutritional and biological value.</t>
  </si>
  <si>
    <t>[Cochachin-Carrera, Belissa; Moreno-Cuevas, Jorge; Carvajal-Mena, Nailin] Univ Bio Bio, Food Engn Dept, Chillan, Chile; [Moreno-Cuevas, Jorge] Univ Bio Bio, Food Engn Dept, Avda Andres Bello 720, Chillan 3780000, Chile</t>
  </si>
  <si>
    <t>Universidad del Bio-Bio; Universidad del Bio-Bio</t>
  </si>
  <si>
    <t>Moreno-Cuevas, J (corresponding author), Univ Bio Bio, Food Engn Dept, Avda Andres Bello 720, Chillan 3780000, Chile.</t>
  </si>
  <si>
    <t>jomoreno@ubiobio.cl</t>
  </si>
  <si>
    <t>Moreno, Jorge/AGU-7371-2022</t>
  </si>
  <si>
    <t>Moreno, Jorge/0000-0003-2994-0920</t>
  </si>
  <si>
    <t>Graduate School of the Universidad del Bio-Bio</t>
  </si>
  <si>
    <t>Belissa Cochachin-Carrera gratefully acknowledges the financial support provided by the PhD scholarship (2018) and scholarship for participation in national and international events (2022) through the Graduate School of the Universidad del Bio-Bio.</t>
  </si>
  <si>
    <t>1947-6337</t>
  </si>
  <si>
    <t>1947-6345</t>
  </si>
  <si>
    <t>CYTA-J FOOD</t>
  </si>
  <si>
    <t>CyTA-J. Food</t>
  </si>
  <si>
    <t>10.1080/19476337.2023.2196321</t>
  </si>
  <si>
    <t>E1SC8</t>
  </si>
  <si>
    <t>WOS:000973408200001</t>
  </si>
  <si>
    <t>Collet, E; Azzolina, G; Jeftic, J; Lemée-Cailleau, MH</t>
  </si>
  <si>
    <t>Collet, Eric; Azzolina, Giovanni; Jeftic, Jelena; Lemee-Cailleau, Marie-Helene</t>
  </si>
  <si>
    <t>Coupled spin cross-over and ferroelasticity: revisiting the prototype [Fe(ptz)6](BF4)2 material</t>
  </si>
  <si>
    <t>ADVANCES IN PHYSICS-X</t>
  </si>
  <si>
    <t>Spin-crossover; symmetry breaking; phase diagram; ferroelasticity; molecular magnetism</t>
  </si>
  <si>
    <t>CRYSTALLOGRAPHIC PHASE-TRANSITION; MULTISTEP TRANSITIONS; ELASTIC FRUSTRATION; SINGLE-CRYSTALS; STRUCTURAL DYNAMICS; MOLECULAR MATERIAL; COMPLEX; PRESSURE; TEMPERATURE; LIGHT</t>
  </si>
  <si>
    <t>Spin-crossover (SCO) materials exhibit thermal conversion from low to high-spin states. We review different models developed to describe this entropy-driven process and the occurrence of cooperative conversions resulting from elastic interactions. There is a growing number of SCO materials exhibiting unusual thermal conversions when symmetry breaking occurs. To illustrate the importance of considering both phenomena, we review studies of the prototype [Fe(ptz)(6)](BF4)(2) system, exhibiting at atmospheric pressure a single step thermal transition with hysteresis, where a ferroelastic distortion occurs from the high-spin high-symmetry (HShs) phase, towards the low-spin low-symmetry (LSls) phase. Under pressure, sequential conversions occur on cooling from the HShs phase towards a high-spin low-symmetry (HSls) phase, followed by a spin crossover towards the LSls phase. In addition, a metastable low-spin high-symmetry (LShs) state forms upon fast cooling. We revisit this coupling and decoupling of spin crossover and ferroelastic phase transition through the Landau theory model adapted by Collet, which provides qualitative agreement with the experimental data, such as the phase diagram and the evolution of spin transition curves or lattice deformations under pressure. This Ferroelastic Instability coupled to Spin Crossover (FISCO) approach should be generalized to many materials undergoing coupled spin transition and symmetry breaking.</t>
  </si>
  <si>
    <t>[Collet, Eric; Azzolina, Giovanni] Univ Rennes, CNRS, IPR Inst Phys Rennes, Rennes, France; [Collet, Eric] Univ Tokyo, Dept Chem, DYNACOM IRL2015, CNRS,UR1, Tokyo, Japan; [Jeftic, Jelena] Univ Rennes, CNRS, ENSCR, ISCR Inst Sci Chim Rennes, Rennes, France; [Lemee-Cailleau, Marie-Helene] Inst Laue Langevin, Grenoble, France</t>
  </si>
  <si>
    <t>Centre National de la Recherche Scientifique (CNRS); Universite de Rennes; University of Tokyo; Universite de Rennes; Centre National de la Recherche Scientifique (CNRS); Ecole Nationale Superieure de Chimie de Rennes (ENSCR); Institut Laue-Langevin (ILL)</t>
  </si>
  <si>
    <t>Collet, E (corresponding author), Univ Rennes, CNRS, IPR Inst Phys Rennes, UMR 6251, F-35000 Rennes, France.</t>
  </si>
  <si>
    <t>eric.collet@univ-rennes1.fr</t>
  </si>
  <si>
    <t>Collet, Eric/N-8816-2013</t>
  </si>
  <si>
    <t>Collet, Eric/0000-0003-0810-7411; Azzolina, Giovanni/0000-0002-6318-9360</t>
  </si>
  <si>
    <t>Agence Nationale de la Recherche [ANR-19-CE30-0004]; Fondation Rennes1; Agence Nationale de la Recherche (ANR) [ANR-19-CE30-0004] Funding Source: Agence Nationale de la Recherche (ANR)</t>
  </si>
  <si>
    <t>Agence Nationale de la Recherche(Agence Nationale de la Recherche (ANR)); Fondation Rennes1; Agence Nationale de la Recherche (ANR)(Agence Nationale de la Recherche (ANR))</t>
  </si>
  <si>
    <t>This work was supported by the Agence Nationale de la Recherche [ANR-19-CE30-0004 ELECTROPHONE]; Fondation Rennes 1 [Semestre innovation].</t>
  </si>
  <si>
    <t>2374-6149</t>
  </si>
  <si>
    <t>ADV PHYS-X</t>
  </si>
  <si>
    <t>Adv. Phys.-X</t>
  </si>
  <si>
    <t>10.1080/23746149.2022.2161936</t>
  </si>
  <si>
    <t>Physics, Multidisciplinary</t>
  </si>
  <si>
    <t>Physics</t>
  </si>
  <si>
    <t>7M2WF</t>
  </si>
  <si>
    <t>WOS:000906515100001</t>
  </si>
  <si>
    <t>Constant, O; Maarifi, G; Barthelemy, J; Martin, MF; Tinto, B; Savini, G; Van de Perre, P; Nisole, S; Simonin, Y; Salinas, S</t>
  </si>
  <si>
    <t>Constant, Orianne; Maarifi, Ghizlane; Barthelemy, Jonathan; Martin, Marie-France; Tinto, Bachirou; Savini, Giovanni; Van de Perre, Philippe; Nisole, Sebastien; Simonin, Yannick; Salinas, Sara</t>
  </si>
  <si>
    <t>Differential effects of Usutu and West Nile viruses on neuroinflammation, immune cell recruitment and blood-brain barrier integrity</t>
  </si>
  <si>
    <t>Usutu virus; West-Nile virus; blood-brain barrier; innate immunity; neuro-inflammation; leukocytes; immune cell binding</t>
  </si>
  <si>
    <t>TIGHT JUNCTION PROTEINS; ENDOTHELIAL-CELLS; DENDRITIC CELLS; INFECTION; TRANSMIGRATION; MONOCYTES</t>
  </si>
  <si>
    <t>Usutu (USUV) and West Nile (WNV) viruses are two closely related Flavivirus belonging to Japanese encephalitis virus serogroup. Evidence of increased circulation of these two arboviruses now exist in Europe. Neurological disorders are reported in humans mainly for WNV, despite the fact that the interaction and effects of viral infections on the neurovasculature are poorly described, notably for USUV. Using a human in vitro blood-brain barrier (BBB) and a mouse model, this study characterizes and compares the cerebral endothelial cell permissiveness, innate immunity and inflammatory responses and immune cell recruitment during infection by USUV and WNV. Both viruses are able to infect and cross the human BBB but with different consequences. We observed that WNV infects BBB cells resulting in significant endothelium impairment, potent neuroinflammation and immune cell recruitment, in agreement with previous studies. USUV, despite being able to infect BBB cells with higher replication rate than WNV, does not strongly affect endothelium integrity. Importantly, USUV also induces neuroinflammation, immune cell recruitment such as T lymphocytes, monocytes and dendritic cells (DCs) and was able to infect dendritic cells (DCs) more efficiently compared to WNV, with greater propensity for BBB recruitment. DCs may have differential roles for neuroinvasion of the two related viruses.</t>
  </si>
  <si>
    <t>[Constant, Orianne; Barthelemy, Jonathan; Tinto, Bachirou; Van de Perre, Philippe; Simonin, Yannick; Salinas, Sara] Univ Montpellier, Pathogenesis &amp; Control Chron &amp; Emerging Infect, INSERM, Etab Francais Sang, Montpellier, France; [Maarifi, Ghizlane; Martin, Marie-France; Nisole, Sebastien] Univ Montpellier, Inst Rech Infectiol Montpellier, CNRS, Montpellier, France; [Savini, Giovanni] Ist Zooprofilatt Sperimentale Abruzzo &amp; Molise IZS, Teramo, Italy; [Van de Perre, Philippe] Univ Montpellier, INSERM, Pathogenesis &amp; Control Chron &amp; Emerging Infect, Etab Francais Sang, Montpellier, France</t>
  </si>
  <si>
    <t>Universite de Montpellier; Institut National de la Sante et de la Recherche Medicale (Inserm); Centre National de la Recherche Scientifique (CNRS); Universite de Montpellier; Universite de Montpellier; Institut National de la Sante et de la Recherche Medicale (Inserm)</t>
  </si>
  <si>
    <t>Salinas, S (corresponding author), Univ Montpellier, Pathogenesis &amp; Control Chron &amp; Emerging Infect, INSERM, Etab Francais Sang, Montpellier, France.</t>
  </si>
  <si>
    <t>sara.salinas@inserm.fr</t>
  </si>
  <si>
    <t>Nisole, Sébastien/ABA-2367-2021; Van de Perre, Philippe/B-9692-2008; Salinas, Sara/O-1856-2013</t>
  </si>
  <si>
    <t>Nisole, Sébastien/0000-0001-9793-419X; Van de Perre, Philippe/0000-0002-3912-0427; MAARIFI, GHIZLANE/0000-0002-7974-3821; Constant, Orianne/0000-0003-4141-5563; Salinas, Sara/0000-0003-4492-2093</t>
  </si>
  <si>
    <t>10.1080/22221751.2022.2156815</t>
  </si>
  <si>
    <t>7L1RD</t>
  </si>
  <si>
    <t>WOS:000905750500001</t>
  </si>
  <si>
    <t>D'Ingiullo, D; Odoardi, I; Quaglione, D</t>
  </si>
  <si>
    <t>D'Ingiullo, Dario; Odoardi, Iacopo; Quaglione, Davide</t>
  </si>
  <si>
    <t>Stay or emigrate? How social capital influences selective migration in Italy</t>
  </si>
  <si>
    <t>REGIONAL STUDIES REGIONAL SCIENCE</t>
  </si>
  <si>
    <t>Interprovincial migration; social capital; selective migration; human capital; Italian provinces</t>
  </si>
  <si>
    <t>INTERREGIONAL MIGRATION; PANEL-DATA; PROSPECT-THEORY; DYNAMIC-MODELS; LABOR-MARKET; MOBILITY; DETERMINANTS; UNEMPLOYMENT; DECISION; GROWTH</t>
  </si>
  <si>
    <t>Internal migration in Italy has been characterised by deep changes in its composition, because of the growing share of high-skilled migrants (the emigration of which contributes to widening the internal brain drain) and the decreasing proportion of low-skilled migrants. Furthermore, recent interest in the literature in the role played by noneconomic elements in affecting migration decisions has highlighted the importance of a nonpecuniary factor, namely social capital (SC). For these reasons, this paper empirically investigates the role played by SC in interprovincial selective migration, considering migrants according to two education levels using data on 103 Italian provinces (2004-2012). The main findings reveal that provincial SC mainly contributes to reducing the migration flows of low-skilled individuals, albeit while also deterring the emigration of high-skilled individuals. Control variables confirm that better income conditions represent an important determinant of high-skilled migrants most likely because they seek to earn more, while better socioeconomic conditions such as labour market efficiency mostly influence those with a lower level of education.</t>
  </si>
  <si>
    <t>[D'Ingiullo, Dario; Odoardi, Iacopo; Quaglione, Davide] Univ G Annunzio Chieti Pescara, Dept Philosoph Pedag &amp; Econ Quantitat Sci, Pescara, PE, Italy</t>
  </si>
  <si>
    <t>G d'Annunzio University of Chieti-Pescara</t>
  </si>
  <si>
    <t>D'Ingiullo, D (corresponding author), Univ G Annunzio Chieti Pescara, Dept Philosoph Pedag &amp; Econ Quantitat Sci, Pescara, PE, Italy.</t>
  </si>
  <si>
    <t>dario.dingiullo@unich.it</t>
  </si>
  <si>
    <t>D'Ingiullo, Dario/0000-0002-4820-8746</t>
  </si>
  <si>
    <t>ROUTLEDGE JOURNALS, TAYLOR &amp; FRANCIS LTD</t>
  </si>
  <si>
    <t>2-4 PARK SQUARE, MILTON PARK, ABINGDON OX14 4RN, OXON, ENGLAND</t>
  </si>
  <si>
    <t>2168-1376</t>
  </si>
  <si>
    <t>REG STUD REG SCI</t>
  </si>
  <si>
    <t>Reg. Stud. Reg. Sci.</t>
  </si>
  <si>
    <t>10.1080/21681376.2023.2205501</t>
  </si>
  <si>
    <t>Geography</t>
  </si>
  <si>
    <t>G0SI4</t>
  </si>
  <si>
    <t>gold, Green Submitted</t>
  </si>
  <si>
    <t>WOS:000986354300001</t>
  </si>
  <si>
    <t>Danilov, MO; Dovbeshko, GI; Rusetskyi, IA; Bykov, VN; Gnatyuk, OP; Fomanyuk, SS; Kolbasov, GY</t>
  </si>
  <si>
    <t>Danilov, M. O.; Dovbeshko, G. I.; Rusetskyi, I. A.; Bykov, V. N.; Gnatyuk, O. P.; Fomanyuk, S. S.; Kolbasov, G. Ya.</t>
  </si>
  <si>
    <t>Synthesis, properties and electrocatalytic application of g-C3N4 for oxygen electrodes of fuel cells</t>
  </si>
  <si>
    <t>NANOCOMPOSITES</t>
  </si>
  <si>
    <t>g-C3N4; synthesis; electrode materials; electrocatalytic properties; oxygen electrodes; fuel cell; alkaline; electrocatalysis</t>
  </si>
  <si>
    <t>GRAPHITIC CARBON NITRIDE; BAND-GAP; NANOTUBES; GRAPHENE; GROWTH</t>
  </si>
  <si>
    <t>A new type of metal-free oxygen electrode has been proposed. Its distinguishing feature is applying as an active layer nanodispersed graphitic carbon nitride with electrocatalytic properties controlled by synthesis conditions. Optimal conditions of thermochemical synthesis of g-C3N4 by a heat treatment of a solid mixture of melamine precursor and nitrogen-rich urea additive have been defined. The obtained layered g-C3N4 has been characterized by XRD, selected area electron diffraction, TEM and FTIR. An investigation of the electrocatalytic characteristics of oxygen electrodes has been carried out in a fuel half-cell with alkaline electrolyte. The electrochemical characteristics of the obtained g-C3N4 material with melamine-to-urea ratio 1:2 have been shown to be close to those of platinum electrodes. Electrochemical studies have shown that the obtained carbon nitride is a promising material as metal-free catalyst for oxygen electrodes of fuel cells The long-term testing of produced materials confirmed that they were stable over six months.</t>
  </si>
  <si>
    <t>[Danilov, M. O.; Rusetskyi, I. A.; Fomanyuk, S. S.; Kolbasov, G. Ya.] NAS Ukraine, Inst Gen &amp; Inorgan Chem, Kiev, Ukraine; [Dovbeshko, G. I.; Bykov, V. N.; Gnatyuk, O. P.] NAS Ukraine, Inst Phys, Kiev, Ukraine; [Danilov, M. O.] NAS Ukraine, Inst Gen &amp; Inorgan Chem, 32-34 Acad Palladin Ave, UA-03142 Kiev, Ukraine</t>
  </si>
  <si>
    <t>National Academy of Sciences Ukraine; V. I. Vernadsky Institute of General &amp; Inorganic Chemistry, National Academy of Sciences of Ukraine; National Academy of Sciences Ukraine; Institute of Physics of the National Academy of Sciences of Ukraine; National Academy of Sciences Ukraine; V. I. Vernadsky Institute of General &amp; Inorganic Chemistry, National Academy of Sciences of Ukraine</t>
  </si>
  <si>
    <t>Danilov, MO (corresponding author), NAS Ukraine, Inst Gen &amp; Inorgan Chem, 32-34 Acad Palladin Ave, UA-03142 Kiev, Ukraine.</t>
  </si>
  <si>
    <t>danilovmickle@rambler.ru</t>
  </si>
  <si>
    <t>Danilov, Michail O/C-6847-2018</t>
  </si>
  <si>
    <t>Danilov, Michail O/0000-0002-3765-9250</t>
  </si>
  <si>
    <t>Target Program of Basic Research of the NAS of Ukraine Prospective Basic Research and Innovative Development of Nanomaterials and Nanotechnologies for the Needs of Industry, Health Care and Agriculture for 2021' under the project Creation and Properties of; National Research Foundation of Ukraine [2020.01/0027]</t>
  </si>
  <si>
    <t>Target Program of Basic Research of the NAS of Ukraine Prospective Basic Research and Innovative Development of Nanomaterials and Nanotechnologies for the Needs of Industry, Health Care and Agriculture for 2021' under the project Creation and Properties of; National Research Foundation of Ukraine</t>
  </si>
  <si>
    <t>M.O. Danilov, I.A. Rusetskiy, S.S. Fomanyuk, G.Ya. Kolbasov are thankful for funding from Target Program of Basic Research of the NAS of Ukraine Prospective Basic Research and Innovative Development of Nanomaterials and Nanotechnologies for the Needs of Industry, Health Care and Agriculture for 2021' under the project Creation and Properties of Composite Nanomaterials and Heterostructures Based on Clusters of Polyoxometalates, Oxides, Metal Chalcogenides and Carbon Structures for Alternative Energy, Electrochromic and Sensory Systems.' G.I. Dovbeshko is thankful for funding from the National Research Foundation of Ukraine (Grant application No. 2020.01/0027).</t>
  </si>
  <si>
    <t>2055-0324</t>
  </si>
  <si>
    <t>2055-0332</t>
  </si>
  <si>
    <t>Nanocomposites</t>
  </si>
  <si>
    <t>10.1080/20550324.2023.2169985</t>
  </si>
  <si>
    <t>Nanoscience &amp; Nanotechnology; Materials Science, Composites</t>
  </si>
  <si>
    <t>Science &amp; Technology - Other Topics; Materials Science</t>
  </si>
  <si>
    <t>8M3LZ</t>
  </si>
  <si>
    <t>WOS:000924372300001</t>
  </si>
  <si>
    <t>Daniyan, I; Adeodu, A; Mpofu, K; Maladhzi, R; Kanakana-Katumba, GM</t>
  </si>
  <si>
    <t>Daniyan, Ilesanmi; Adeodu, Adefemi; Mpofu, Khumbulani; Maladhzi, Rendani; Kanakana-Katumba, Grace Mukondeleli</t>
  </si>
  <si>
    <t>Improvement of production process variations of bolster spring of a bogie train manufacturing industry: a six-sigma approach</t>
  </si>
  <si>
    <t>DMAIC; process capability index; process variation; six-sigma</t>
  </si>
  <si>
    <t>LEAN 6 SIGMA; IMPLEMENTATION; QUALITY; OPTIMIZATION; FRAMEWORK; TOOLS</t>
  </si>
  <si>
    <t>The need for improved productivity without sacrificing quality, which is in line the prime target of many manufacturing industries. The aim of this study is to investigate the causes of production variation: a case study of the rail manufacturing industry, South Africa. In this study, the six-sigma Define, Measure, Analyse, Improve and Control (DMAIC) phases were applied to enhance the process capability (long term) in the production of bolster compression springs in the main line of bogie secondary suspension system. In every phase of DMAIC method, a combination of both qualitative and quantitative techniques was utilized. First, process capability index Cpk of the current process was computed which was found less than 1. The results obtained indicated that the process capability index values were found to be 1 after the improvement phase. Hence, significant improvement was achieved in the area of reduction in process variation and product quality after taking corrective actions. From outcomes of the study, it can be concluded that process performance of a train manufacturing plant can be improved significantly by implementing six-sigma DMAIC methodology. The novelty of this study lies in the fact that the implementation of the six-sigma DMAIC phases to enhance the process capability (long term) and minimise variations in the production of bolster compression springs has not be sufficiently highlighted by the existing literature.</t>
  </si>
  <si>
    <t>afolabiilesanmi@yahoo.com</t>
  </si>
  <si>
    <t>10.1080/23311916.2022.2154004</t>
  </si>
  <si>
    <t>8M6XH</t>
  </si>
  <si>
    <t>WOS:000924604500001</t>
  </si>
  <si>
    <t>Danun, AN; Elmiger, R; Leuenberger, F; Niederhauser, L; Szlauzys, J; Fasel, L; Meboldt, M</t>
  </si>
  <si>
    <t>Danun, Aschraf N.; Elmiger, Remo; Leuenberger, Fabio; Niederhauser, Luca; Szlauzys, Jan; Fasel, Lorin; Meboldt, Mirko</t>
  </si>
  <si>
    <t>Additive manufactured continuum mechanisms based on shape-programmable and micro-sized building blocks</t>
  </si>
  <si>
    <t>Miniaturisation; compliant mechanisms; customization; design automation; design synthesis</t>
  </si>
  <si>
    <t>OF-THE-ART; DESIGN; OPTIMIZATION; SURGERY; JOINT</t>
  </si>
  <si>
    <t>Micro-additive manufacturing techniques have the potential to meet the demand for miniaturised functional components for minimally invasive surgical instruments. These techniques create monolithic, compliant mechanisms with micro-sized free-form structures that can be tailored to patient-specific surgical procedures. The automated design synthesis of the mechanisms using building blocks results in structures that are shape-programmable. This is achieved through an algorithmic-based computational workflow, which automatically converts user-specified 2D and 3D curves into discrete curve segments. The actuated motion of the mechanisms can be designed to move in a specific way, both forwardly and inversely. The mechanisms are manufactured using micro-laser powder bed fusion and hardenable stainless steel 17-4 PH. By carefully selecting the process parameters, it is possible to 3D-print micro-sized features such as a compliant beam thickness of 80 mu m and an actuation hole of 100 mu m. Both 2D planar curved mechanisms and 3D spatial curved mechanisms have been implemented and experimentally validated.</t>
  </si>
  <si>
    <t>[Danun, Aschraf N.; Elmiger, Remo; Leuenberger, Fabio; Niederhauser, Luca; Meboldt, Mirko] Swiss Fed Inst Technol, Prod Dev Grp Zurich pdz, Leonhardstr 21, CH-8092 Zurich, Switzerland; [Szlauzys, Jan] LaserJob Rapid 3D GmbH, Furstenfeldbruck, Germany; [Fasel, Lorin] Univ Basel, Dept Biomed Engn, BIROMED Lab, Allschwil, Switzerland</t>
  </si>
  <si>
    <t>Swiss Federal Institutes of Technology Domain; ETH Zurich; University of Basel</t>
  </si>
  <si>
    <t>Danun, AN (corresponding author), Swiss Fed Inst Technol, Prod Dev Grp Zurich pdz, Leonhardstr 21, CH-8092 Zurich, Switzerland.</t>
  </si>
  <si>
    <t>aschrafdanun@ethz.ch</t>
  </si>
  <si>
    <t>Meboldt, Mirko/0000-0001-5828-5406</t>
  </si>
  <si>
    <t>e2174146</t>
  </si>
  <si>
    <t>10.1080/17452759.2023.2174146</t>
  </si>
  <si>
    <t>9J4DR</t>
  </si>
  <si>
    <t>WOS:000940140000001</t>
  </si>
  <si>
    <t>Deng, W; Li, GA; Li, WY; Yang, M; Cui, WW</t>
  </si>
  <si>
    <t>Deng, Wei; Li, Guoan; Li, Wanyu; Yang, Meng; Cui, Weiwei</t>
  </si>
  <si>
    <t>Facile fabrication of polystyrene particles/graphene composites for improved dielectric and thermal properties</t>
  </si>
  <si>
    <t>DESIGNED MONOMERS AND POLYMERS</t>
  </si>
  <si>
    <t>Graphene; polystyrene particles; dielectric properties; breakdown strength; thermal stability</t>
  </si>
  <si>
    <t>FUNCTIONALIZED GRAPHENE; POLYMER COMPOSITES; OXIDE; CONSTANT; PERFORMANCE</t>
  </si>
  <si>
    <t>In this paper, polystyrene (PS)-based reduced graphene oxide (rGO) composites were prepared by mixing PS latex particles with graphene oxide (GO) and the following in-situ reduction. The structure and morphology of PS/rGO composites were characterized, and the effects of rGO content on the dielectric properties as well as thermal stability of PS/rGO composites were investigated. Results showed that rGO sheets armoured on the surface of PS particles and exhibited well dispersion in the PS matrix after hot compression. The introduction of rGO improved the dielectric properties of the composites remarkably. When rGO content was 0.12 vol%, the dielectric permittivity and breakdown strength of PS/rGO arrived at 6.3 at10(2) Hz and 107 kV/mm, with 50% and 35.4% enhancement compared to the pristine PS. Furthermore, PS/rGO presented better thermal stability than the pristine PS, but the overlapping of rGO sheets in PS matrix induced the instability of dielectric loss with frequency.</t>
  </si>
  <si>
    <t>[Deng, Wei; Li, Guoan; Li, Wanyu; Yang, Meng; Cui, Weiwei] Harbin Univ Sci &amp; Technol, Sch Mat Sci &amp; Chem Engn, Harbin 150040, Heilongjiang, Peoples R China; [Deng, Wei] Harbin Univ Sci &amp; Technol, Key Lab Engn Dielect &amp; Its Applicat, Minist Educ, Harbin 150080, Heilongjiang, Peoples R China</t>
  </si>
  <si>
    <t>Harbin University of Science &amp; Technology; Harbin University of Science &amp; Technology</t>
  </si>
  <si>
    <t>Deng, W (corresponding author), Harbin Univ Sci &amp; Technol, Sch Mat Sci &amp; Chem Engn, Harbin 150040, Heilongjiang, Peoples R China.;Deng, W (corresponding author), Harbin Univ Sci &amp; Technol, Key Lab Engn Dielect &amp; Its Applicat, Minist Educ, Harbin 150080, Heilongjiang, Peoples R China.</t>
  </si>
  <si>
    <t>weideng@hrbust.edu.cn</t>
  </si>
  <si>
    <t>Deng, Wei/0000-0001-6814-6071</t>
  </si>
  <si>
    <t>Heilongjiang Provincial Natural Science Foundation of China; Fundamental Research Foundation for University of Heilongjiang Province; [LH2019E059]; [LGYC2018JC031]</t>
  </si>
  <si>
    <t>Heilongjiang Provincial Natural Science Foundation of China(Natural Science Foundation of Heilongjiang Province); Fundamental Research Foundation for University of Heilongjiang Province; ;</t>
  </si>
  <si>
    <t>This work was financially supported by Heilongjiang Provincial Natural Science Foundation of China (LH2019E059) and the Fundamental Research Foundation for University of Heilongjiang Province (LGYC2018JC031).</t>
  </si>
  <si>
    <t>1385-772X</t>
  </si>
  <si>
    <t>1568-5551</t>
  </si>
  <si>
    <t>DES MONOMERS POLYM</t>
  </si>
  <si>
    <t>Des. Monomers Polym.</t>
  </si>
  <si>
    <t>10.1080/15685551.2022.2162282</t>
  </si>
  <si>
    <t>Polymer Science</t>
  </si>
  <si>
    <t>7J6QS</t>
  </si>
  <si>
    <t>WOS:000904706700001</t>
  </si>
  <si>
    <t>Devi, A; Bajar, S; Sihag, P; Sheikh, ZUD; Singh, A; Kaur, J; Bishnoi, NR; Pant, D</t>
  </si>
  <si>
    <t>Devi, Arti; Bajar, Somvir; Sihag, Priyanka; Sheikh, Zaheer Ud Din; Singh, Anita; Kaur, Japleen; Bishnoi, Narsi R.; Pant, Deepak</t>
  </si>
  <si>
    <t>A panoramic view of technological landscape for bioethanol production from various generations of feedstocks</t>
  </si>
  <si>
    <t>BIOENGINEERED</t>
  </si>
  <si>
    <t>Feedstock; generations; biomass; conversion; bioethanol</t>
  </si>
  <si>
    <t>LIFE-CYCLE ASSESSMENT; ENHANCED ETHANOL-PRODUCTION; GREENHOUSE-GAS EMISSIONS; SACCHAROMYCES-CEREVISIAE; SIMULTANEOUS SACCHARIFICATION; ZYMOMONAS-MOBILIS; ADAPTIVE EVOLUTION; RICE STRAW; ENZYMATIC SACCHARIFICATION; GENETIC-MODIFICATION</t>
  </si>
  <si>
    <t>Bioethanol is an appropriate alternate energy option due to its renewable, nontoxic, environmentally friendly, and carbon-neutral nature. Depending upon various feedstocks, bioethanol is classified in different various generations. First-generation ethanol created a food vs fuel problem, which was overcome by second-generation, third-generation and fourth-generation ethanol. The considerable availability of lignocellulosic biomass makes it a suitable feedstock, however, its recalcitrant nature is the main hurdle in converting it to bioethanol. The present study gives a comprehensive assessment of global biofuel policies and the current status of ethanol production. Feedstocks for first-generation (sugar and starch-based), second-generation (lignocellulosic biomass and energy crops), third-generation (algal-based) and fourth-generation (genetically modified algal biomass or crops) are discussed in detail. The study also assessed the process for ethanol production from various feedstocks, besides giving a holestic background knowledge on the bioconversion process, factors affecting bioethanol production, and various microorganisms involved in the fermentation process. Biotechnological tools also play a pivotal role in enhancing process efficiency and product yield. In adddition, most significant development in the field of genetic engineering and adaptive evolution are also highlighted.</t>
  </si>
  <si>
    <t>[Devi, Arti; Sheikh, Zaheer Ud Din; Singh, Anita; Kaur, Japleen] Cent Univ Jammu, Dept Environm Sci, Jammu, Jammu &amp; Kashmir, India; [Bajar, Somvir] JC Bose Univ Sci &amp; Technol, Dept Environm Sci, YMCA, Faridabad, Haryana, India; [Sihag, Priyanka; Bishnoi, Narsi R.] Guru Jambheshwar Univ Sci &amp; Technol, Dept Environm Sci &amp; Engn, Hisar, Haryana, India; [Pant, Deepak] Flemish Inst Technol Res VITO, Separat &amp; Convers Technol, Mol, Belgium; [Singh, Anita] Cent Univ Haryana, Dept Environm Studies, Mahendergarh, Haryana, India; [Singh, Anita] Cent Univ Jammu, Dept Environm Sci, Jammu 181143, Jammu &amp; Kashmir, India</t>
  </si>
  <si>
    <t>Central University of Jammu; J.C. Bose University of Science &amp; Technology, YMCA; Guru Jambheshwar University of Science &amp; Technology; VITO; Central University of Haryana; Central University of Jammu</t>
  </si>
  <si>
    <t>Singh, A (corresponding author), Cent Univ Jammu, Dept Environm Sci, Jammu 181143, Jammu &amp; Kashmir, India.</t>
  </si>
  <si>
    <t>anita.evs@cujammu.ac.in</t>
  </si>
  <si>
    <t>SERB [ECR/2018/000672]</t>
  </si>
  <si>
    <t>SERB(Department of Science &amp; Technology (India)Science Engineering Research Board (SERB), India)</t>
  </si>
  <si>
    <t>The author (Anita Singh) would like to acknowledge SERB grant (ECR/2018/000672) for providing financial support to carry out this work.</t>
  </si>
  <si>
    <t>2165-5979</t>
  </si>
  <si>
    <t>2165-5987</t>
  </si>
  <si>
    <t>Bioengineered</t>
  </si>
  <si>
    <t>10.1080/21655979.2022.2095702</t>
  </si>
  <si>
    <t>Biotechnology &amp; Applied Microbiology</t>
  </si>
  <si>
    <t>L4LM9</t>
  </si>
  <si>
    <t>WOS:001022992000001</t>
  </si>
  <si>
    <t>Ding, J; Lu, BW; Liu, LM; Zhong, ZX; Wang, N; Li, BA; Sheng, W; He, QH</t>
  </si>
  <si>
    <t>Ding, Jin; Lu, Baowei; Liu, Lumei; Zhong, Zixuan; Wang, Neng; Li, Bonan; Sheng, Wen; He, Qinghu</t>
  </si>
  <si>
    <t>Guilu-Erxian-Glue alleviates Tripterygium wilfordii polyglycoside-induced oligoasthenospermia in rats by resisting ferroptosis via the Keap1/Nrf2/GPX4 signaling pathway</t>
  </si>
  <si>
    <t>PHARMACEUTICAL BIOLOGY</t>
  </si>
  <si>
    <t>Guilu-Erxian-Glue; oligoasthenospermia; Keap1; Nrf2; GPX4 signaling pathway; ferroptosis; Tripterygium wilfordii polyglycoside</t>
  </si>
  <si>
    <t>OXIDATIVE STRESS; GLUTATHIONE-PEROXIDASE; MALE-INFERTILITY; SEMEN QUALITY; SPERM QUALITY; DNA-DAMAGE; CELL-DEATH; SPERMATOZOA; EXPRESSION; FERROPORTIN1</t>
  </si>
  <si>
    <t>Context Guilu-Erxian-Glue (GLEXG) is a traditional Chinese formula used to improve male reproductive dysfunction. Objective To investigate the ferroptosis resistance of GLEXG in the improvement of semen quality in the oligoasthenospermia (OAS) rat model. Materials and methods Male Sprague-Dawley (SD) rats were administered Tripterygium wilfordii polyglycoside, a compound extracted from Tripterygium wilfordii Hook F. (Celastraceae), at a dose of 40 mg/kg/day, to establish an OAS model. Fifty-four SD rats were randomly divided into six groups: sham, model, low-dose GLEXG (GLEXGL, 0.25 g/kg/day), moderate-dose GLEXG (GLEXGM, 0.50 g/kg/day), high-dose GLEXG (GLEXGH, 1.00 g/kg/day) and vitamin E (0.01 g/kg/day) group. The semen quality, structure and function of sperm mitochondria, histopathology, levels of oxidative stress and iron, and mRNA levels and protein expression in the Keap1/Nrf2/GPX4 pathway, were analyzed. Results Compared with the model group, GLEXGH significantly improved sperm concentration (35.73 +/- 15.42 vs. 17.40 +/- 4.12, p &lt; 0.05) and motility (58.59 +/- 11.06 vs. 28.59 +/- 9.42, p &lt; 0.001), and mitigated testicular histopathology. Moreover, GLEXGH markedly reduced the ROS level (5684.28 +/- 1345.47 vs. 15500.44 +/- 2307.39, p &lt; 0.001) and increased the GPX4 level (48.53 +/- 10.78 vs. 23.14 +/- 11.04, p &lt; 0.01), decreased the ferrous iron level (36.31 +/- 3.66 vs. 48.64 +/- 7.74, p &lt; 0.05), and rescued sperm mitochondrial morphology and potential via activating the Keap1/Nrf2/GPX4 pathway. Discussion and conclusions Ferroptosis resistance from GLEXG might be driven by activation of the Keap1/Nrf2/GPX4 pathway. Targeting ferroptosis is a novel approach for OAS therapy.</t>
  </si>
  <si>
    <t>[Ding, Jin; Lu, Baowei; Liu, Lumei; Zhong, Zixuan; Wang, Neng; Li, Bonan; Sheng, Wen; He, Qinghu] Hunan Univ Chinese Med, Coll Integrated Tradit Chinese &amp; Western Med, Changsha, Peoples R China; [Ding, Jin] Guangzhou Univ Tradit Chinese Med, Affiliated Baoan Hosp Tradit Chinese Med, Clin Med Coll 7, Dept Androl Clin, Shenzhen, Peoples R China; [Ding, Jin; Lu, Baowei; Liu, Lumei; Zhong, Zixuan; Wang, Neng; Li, Bonan; Sheng, Wen; He, Qinghu] Hunan Univ Chinese Med, Androl Lab, Changsha, Peoples R China; [He, Qinghu] Hunan Univ Med, Huaihua, Peoples R China</t>
  </si>
  <si>
    <t>Hunan University of Chinese Medicine; Guangzhou University of Chinese Medicine; Hunan University of Chinese Medicine</t>
  </si>
  <si>
    <t>Sheng, W; He, QH (corresponding author), Hunan Univ Chinese Med, Coll Integrated Tradit Chinese &amp; Western Med, Changsha, Peoples R China.;Sheng, W; He, QH (corresponding author), Hunan Univ Chinese Med, Androl Lab, Changsha, Peoples R China.;He, QH (corresponding author), Hunan Univ Med, Huaihua, Peoples R China.</t>
  </si>
  <si>
    <t>Shengwendoctor@stu.hnucm.edu.cn; qinghu_he3418@hnucm.edu.cn</t>
  </si>
  <si>
    <t>盛, 文/IUN-8373-2023; Liu, Lumei/AAV-1337-2021; Li, bonan/HDN-9745-2022</t>
  </si>
  <si>
    <t>盛, 文/0000-0001-8053-2434; He, Qinghu/0000-0003-0838-2720; Liu, Lumei/0000-0002-9014-757X; Ding, Jin/0000-0001-9166-7393</t>
  </si>
  <si>
    <t>1388-0209</t>
  </si>
  <si>
    <t>1744-5116</t>
  </si>
  <si>
    <t>PHARM BIOL</t>
  </si>
  <si>
    <t>Pharm. Biol.</t>
  </si>
  <si>
    <t>10.1080/13880209.2023.2165114</t>
  </si>
  <si>
    <t>Plant Sciences; Medical Laboratory Technology; Pharmacology &amp; Pharmacy</t>
  </si>
  <si>
    <t>8C1JK</t>
  </si>
  <si>
    <t>WOS:000917372700001</t>
  </si>
  <si>
    <t>Draelos, ZD; Tanghetti, EA; Kircik, LH; Bhatia, N; Zeichner, JA; Sugarman, JL; Gold, LS</t>
  </si>
  <si>
    <t>Draelos, Zoe D.; Tanghetti, Emil A.; Kircik, Leon H.; Bhatia, Neal; Zeichner, Joshua A.; Sugarman, Jeffrey L.; Gold, Linda Stein</t>
  </si>
  <si>
    <t>Dermal sensitization, safety, and tolerability of triple-combination clindamycin phosphate 1.2%/benzoyl peroxide 3.1%/adapalene 0.15% gel from three clinical trials</t>
  </si>
  <si>
    <t>JOURNAL OF DERMATOLOGICAL TREATMENT</t>
  </si>
  <si>
    <t>Irritation; benzoyl peroxide; adapalene; clindamycin</t>
  </si>
  <si>
    <t>BENZOYL PEROXIDE; CONTACT-DERMATITIS; TOPICAL RETINOIDS; DOUBLE-BLIND; ACNE; PRODUCTS; CARE</t>
  </si>
  <si>
    <t>Background Using a three-pronged acne treatment approach-combining an antibiotic, antimicrobial agent, and retinoid-may provide greater efficacy than monad or dyad treatments. Herein are the dermal sensitization, irritation, safety, and tolerability results from phase 1 and 2 studies of fixed-dose clindamycin phosphate 1.2%/benzoyl peroxide (BPO) 3.1%/adapalene 0.15% (IDP-126) polymeric mesh gel. Methods Two phases 1, single-blind, vehicle-controlled dermal safety studies were conducted in healthy participants aged &amp; GE;18 years. One phase 2 (NCT03170388) double-blind, randomized, parallel-group, and vehicle-controlled study was conducted over 12 weeks in participants aged &amp; GE;9 years with moderate-to-severe acne. Results A total of 1,020 participants (IDP-126 gel, vehicle, or 1 of the 3 dyad gels [phase 2 only]) were included across the 3 studies (safety populations: n = 1,004). In the phase 1 studies, IDP-126 had no confirmed sensitization or contact dermatitis. IDP-126 (deemed moderately irritating) was significantly less irritating than commercially available BPO 2.5%/adapalene 0.3% gel. Conclusions The results from these three studies show that the triple-combination IDP-126 had a positive safety profile and was well tolerated in healthy participants and those with moderate-to-severe acne</t>
  </si>
  <si>
    <t>[Draelos, Zoe D.] Dermatol Consulting Serv PLLC, High Point, NC 27262 USA; [Tanghetti, Emil A.] Ctr Dermatol &amp; Laser Surg, Sacramento, CA USA; [Kircik, Leon H.; Zeichner, Joshua A.] Icahn Sch Med Mt Sinai, New York, NY USA; [Kircik, Leon H.] Indiana Univ, Med Ctr, Indianapolis, IN USA; [Kircik, Leon H.] DermResearch PLLC, Phys Skin Care PLLC, Louisville, KY USA; [Kircik, Leon H.] Skin Sci PLLC, Louisville, KY USA; [Bhatia, Neal] Therapeut Clin Res, San Diego, CA USA; [Sugarman, Jeffrey L.] Univ Calif San Francisco, San Francisco, CA USA; [Gold, Linda Stein] Henry Ford Hosp, Detroit, MI USA</t>
  </si>
  <si>
    <t>Icahn School of Medicine at Mount Sinai; Indiana University System; Indiana University-Purdue University Indianapolis; DermResearch Inc; Physicians Skin Care Pllc; University of California System; University of California San Francisco; Henry Ford Health System; Henry Ford Hospital</t>
  </si>
  <si>
    <t>Draelos, ZD (corresponding author), Dermatol Consulting Serv PLLC, High Point, NC 27262 USA.</t>
  </si>
  <si>
    <t>zdraelos@northstate.net</t>
  </si>
  <si>
    <t>Draelos, Zoe/0000-0001-9803-7415</t>
  </si>
  <si>
    <t>Ortho Dermatologics</t>
  </si>
  <si>
    <t>The studies were funded by Ortho Dermatologics. Medical writing support for this article was also funded by Ortho Dermatologics.</t>
  </si>
  <si>
    <t>0954-6634</t>
  </si>
  <si>
    <t>1471-1753</t>
  </si>
  <si>
    <t>J DERMATOL TREAT</t>
  </si>
  <si>
    <t>J. Dermatol. Treat.</t>
  </si>
  <si>
    <t>10.1080/09546634.2023.2220446</t>
  </si>
  <si>
    <t>Dermatology</t>
  </si>
  <si>
    <t>J8UR2</t>
  </si>
  <si>
    <t>WOS:001012325700001</t>
  </si>
  <si>
    <t>Dryer, Y; Berghausen, J; Creswell, K; Glasgow, E; Brelidze, TI</t>
  </si>
  <si>
    <t>Dryer, Yaal; Berghausen, Joos; Creswell, Karen; Glasgow, Eric; Brelidze, Tinatin I.</t>
  </si>
  <si>
    <t>Comparison of tumor growth assessment using GFP fluorescence and DiI labeling in a zebrafish xenograft model</t>
  </si>
  <si>
    <t>CANCER BIOLOGY &amp; THERAPY</t>
  </si>
  <si>
    <t>Breast cancer; MDA-MB-231; xenograft; zebrafish; DiI; GFP; lipophilic dye; &gt;</t>
  </si>
  <si>
    <t>IN-VITRO; TRACKING; DYES; EXTRAVASATION; LIMITATIONS; METASTASIS; EXPRESSION; INVASION; TISSUE; MOUSE</t>
  </si>
  <si>
    <t>DiI is a lipophilic fluorescent dye frequently used to label and trace cells in cell cultures and xenograft models. However, DiI can also transfer from labeled to unlabeled cells, including host organism cells, and label dead cells obscuring interpretation of the results. These limitations of DiI labeling in xenograft models have not been thoroughly investigated. Here we labeled green fluorescent protein (GFP)-expressing MDA-MB-231 cells with DiI to directly compare tumor growth assessment in zebrafish xenografts using the DiI labeling and GFP fluorescence. Our results indicate that the DiI based assessment significantly overestimated tumor growth in zebrafish xenograft models compared to the GFP fluorescence based assessment. The imaging of DiI labeled GFP-expressing MDA-MB-231 cell cultures indicated that the DiI labeling of the membrane is uneven. Analysis of the DiI labeled GFP-expressing MDA-MB-231 cell cultures with flow cytometry indicated that the DiI labeling varied over time while the GFP fluorescence remained unchanged, suggesting that the GFP fluorescence is a more reliable signal for monitoring tumor progression than the DiI labeling. Taken together, our results demonstrate limitations of using DiI labeling for xenograft models and emphasize the need for validating the results based on DiI labeling with other orthogonal methods, such as the ones utilizing genetically encoded fluorophores.</t>
  </si>
  <si>
    <t>[Dryer, Yaal; Berghausen, Joos; Brelidze, Tinatin I.] Georgetown Univ, Med Ctr, Dept Pharmacol &amp; Physiol, Washington, DC USA; [Creswell, Karen; Glasgow, Eric] Georgetown Univ, Med Ctr, Dept Oncol, Washington, DC USA; [Brelidze, Tinatin I.] Georgetown Univ, Dept Pharmacol &amp; Physiol, Med Ctr, Washington, DC 20057 USA</t>
  </si>
  <si>
    <t>Georgetown University; Georgetown University; Georgetown University</t>
  </si>
  <si>
    <t>Brelidze, TI (corresponding author), Georgetown Univ, Dept Pharmacol &amp; Physiol, Med Ctr, Washington, DC 20057 USA.</t>
  </si>
  <si>
    <t>tib5@georgetown.edu</t>
  </si>
  <si>
    <t>National Cancer Institute [P30-CA051008]</t>
  </si>
  <si>
    <t>National Cancer Institute(United States Department of Health &amp; Human ServicesNational Institutes of Health (NIH) - USANIH National Cancer Institute (NCI))</t>
  </si>
  <si>
    <t>This work was supported by the National Cancer Institute grant R01CA252969 (T. I. B.), National Institute of General Medical Sciences grant T32GM142520 (J. B.) and National Institutes of Health grant S10OD016213 (K.C.).</t>
  </si>
  <si>
    <t>1538-4047</t>
  </si>
  <si>
    <t>1555-8576</t>
  </si>
  <si>
    <t>CANCER BIOL THER</t>
  </si>
  <si>
    <t>Cancer Biol. Ther.</t>
  </si>
  <si>
    <t>10.1080/15384047.2023.2234140</t>
  </si>
  <si>
    <t>Oncology</t>
  </si>
  <si>
    <t>M0OF4</t>
  </si>
  <si>
    <t>WOS:001027192400001</t>
  </si>
  <si>
    <t>Du, Y; Liu, XY; Du, K; Zhang, WK; Li, R; Yang, LZ; Cheng, LG; He, W; Zhang, W</t>
  </si>
  <si>
    <t>Du, Yue; Liu, Xinyao; Du, Kai; Zhang, Wenkai; Li, Rui; Yang, Lizhi; Cheng, Linggang; He, Wen; Zhang, Wei</t>
  </si>
  <si>
    <t>Decorin inhibits the formation of hard nodules after microwave ablation by inhibiting the TGF-β1/SMAD and MAPK signaling pathways: in a Bama miniature pig model of mammary gland hyperplasia</t>
  </si>
  <si>
    <t>INTERNATIONAL JOURNAL OF HYPERTHERMIA</t>
  </si>
  <si>
    <t>Microwave ablation; hard nodule; benign breast lesions; decorin; TGF-beta 1</t>
  </si>
  <si>
    <t>IN-VITRO; PROLIFERATION; FIBROBLASTS; FIBROSIS; CELLS</t>
  </si>
  <si>
    <t>Background: Benign breast lesions are often associated with hard nodule formation after microwave ablation (MWA), which persists for a long time and causes problems in patients. The aim of this study was to evaluate the efficacy of decorin in the treatment of hard nodule formation and its potential mechanism of action.Methods: Using a Bama miniature pig model of mammary gland hyperplasia, immunohistochemistry, Masson's trichrome and western blotting were firstly applied to compare the extent of fibrosis and activation of key members of the TGF-beta 1/SMAD and MAPK signaling pathways of hard nodule in the control and MWA groups, and then the extent of fibrosis and expression of signaling pathways in hard nodule were examined after application of decorin.Results: The results showed that the MWA group had increased levels of TGF-beta 1, p-SMAD2/3, p-ERK1/2, and collagen I proteins and increased fibrosis at 2 weeks, 4 weeks, and 3 months after MWA. After decorin treatment, the expression levels of each protein were significantly downregulated, and the degree of fibrosis was reduced at 2 weeks, 4 weeks, and 3 months after MWA compared with the MWA group.Conclusion: In conclusion, these results suggest that activation of TGF-beta 1 may play an important role in hard nodule formation and that decorin may reduce hard nodule formation after MWA in a model of mammary gland hyperplasia by inhibiting the TGF-beta 1/SMAD and MAPK signaling pathways.</t>
  </si>
  <si>
    <t>[Du, Yue; Liu, Xinyao; Du, Kai; Zhang, Wenkai; Li, Rui; Yang, Lizhi; Cheng, Linggang; He, Wen; Zhang, Wei] Capital Med Univ, Beijing Tiantan Hosp, Dept Ultrasound, China 119,South Fourth Ring West Rd, Beijing 100070, Peoples R China</t>
  </si>
  <si>
    <t>Capital Medical University</t>
  </si>
  <si>
    <t>He, W; Zhang, W (corresponding author), Capital Med Univ, Beijing Tiantan Hosp, Dept Ultrasound, China 119,South Fourth Ring West Rd, Beijing 100070, Peoples R China.</t>
  </si>
  <si>
    <t>hewen@bjtth.org; ultrazhangwei@126.com</t>
  </si>
  <si>
    <t>National Natural Science Foundation of China [82001840]</t>
  </si>
  <si>
    <t>National Natural Science Foundation of China(National Natural Science Foundation of China (NSFC))</t>
  </si>
  <si>
    <t>This work was supported by National Natural Science Foundation of China [No. 82001840].</t>
  </si>
  <si>
    <t>0265-6736</t>
  </si>
  <si>
    <t>1464-5157</t>
  </si>
  <si>
    <t>INT J HYPERTHER</t>
  </si>
  <si>
    <t>Int. J. Hyperthermia</t>
  </si>
  <si>
    <t>10.1080/02656736.2023.2188151</t>
  </si>
  <si>
    <t>Oncology; Radiology, Nuclear Medicine &amp; Medical Imaging</t>
  </si>
  <si>
    <t>A0WN5</t>
  </si>
  <si>
    <t>WOS:000952422900001</t>
  </si>
  <si>
    <t>Duong, KD; Tran, PMD; Pham, H</t>
  </si>
  <si>
    <t>Duong, Khoa Dang; Tran, Phuong Mai Duong; Pham, Ha</t>
  </si>
  <si>
    <t>CEO overpower and corporate social responsibility of commercial banks: The moderating role of state ownership</t>
  </si>
  <si>
    <t>Corporate social responsibility; CEO overpower; state ownership; GMM; commercial banks; Vietnam</t>
  </si>
  <si>
    <t>RISK-TAKING; POWER; GOVERNANCE; FIRM; BOARD; PERFORMANCE; DISCLOSURES; DIMENSIONS; CHINA; VIEW</t>
  </si>
  <si>
    <t>This study examines the impacts of powerful CEOs and state ownership on commercial banks' corporate social responsibility (CSR) in Vietnam, a transitional market in Asia. Given the differences between emerging and developed markets in terms of their institutions and governance, it is essential to explore the impact of CEO power on CSR disclosure in emerging markets. This study collects data from 37 Vietnamese commercial banks from 2010 to 2020. We employ a dynamic system Generalized Method of Moments to overcome endogeneity and heterogeneity issues. The findings show that powerful CEOs negatively reduce CSR programs. CEO power tends to focus less on CSR investments because CSR expenses reduce the operating free cash flow. Meanwhile, our findings indicate a positive relationship between state ownership and CSR developments. This study reports a moderating role of state ownership in empowering powerful CEOs to develop CSR programs in commercial banks. We also perform a robustness test to confirm the persistence of our main findings across subsamples by CEO ages. Our robustness test results indicate that CEOs have the lowest motivation to improve CSR when their ages are from 40 to 60. Our findings align with agency theory, stakeholder theory and prior literature. Finally, our study contributes practical implications for management and policymakers to develop CSR programs sustainably.</t>
  </si>
  <si>
    <t>[Duong, Khoa Dang; Tran, Phuong Mai Duong] Ton Duc Thang Univ, Ho Chi Minh, Vietnam; [Pham, Ha] Ho Chi Minh Open Univ, Ho Chi Minh, Vietnam; [Pham, Ha] Ho Chi Minh Open Univ, Fac Finance &amp; Banking, 37 Ho Hao Hon St, Ho Chi Minh, Vietnam</t>
  </si>
  <si>
    <t>Ton Duc Thang University</t>
  </si>
  <si>
    <t>Pham, H (corresponding author), Ho Chi Minh Open Univ, Fac Finance &amp; Banking, 37 Ho Hao Hon St, Ho Chi Minh, Vietnam.</t>
  </si>
  <si>
    <t>ha.p@ou.edu.vn</t>
  </si>
  <si>
    <t>Duong, Khoa Dang/ADK-5250-2022; PHAM, Ha/H-8273-2018</t>
  </si>
  <si>
    <t>Duong, Khoa Dang/0000-0001-9855-3751; PHAM, Ha/0000-0003-2810-7646</t>
  </si>
  <si>
    <t>10.1080/23322039.2023.2171609</t>
  </si>
  <si>
    <t>9I7FA</t>
  </si>
  <si>
    <t>WOS:000939670300001</t>
  </si>
  <si>
    <t>Dzandu, B; Kumi, S; Asirifi-Addo, T</t>
  </si>
  <si>
    <t>Dzandu, Bennett; Kumi, Sandra; Asirifi-Addo, Tracy</t>
  </si>
  <si>
    <t>Quality assessment of gluten-free cookies from rice and Bambara groundnut flour</t>
  </si>
  <si>
    <t>Gluten-free; cookies; Bambara groundnut; rice; sensory; flour</t>
  </si>
  <si>
    <t>FUNCTIONAL-PROPERTIES; VARIETIES; PROTEINS; BLENDS; COWPEA; BROWN</t>
  </si>
  <si>
    <t>Cookies are bakery products with relatively long shelf life and high acceptability. The objectives of the study were to evaluate the physicochemical and functional properties of rice and Bambara groundnut composite flour, explore its use for making cookies, and evaluate its acceptability. Functional properties were influenced by the amount of Bambara groundnut in the composite flour. Moisture, ash, protein, fat, and carbohydrate content of the flours were significantly different (p &gt; .05). Results of the sensory evaluation showed cookies from rice flour only (score of 7.23 +/- 1.35) and composite (75% rice and 25% Bambara groundnut) with a score of 7.71 +/- 1.44 were most liked by the panelists. Thus, the composite of Bambara groundnut and rice can be used for baked food products as well as an ingredient for other food formulations. Ultimately, this will expand the consumption of underutilized legumes such as Bambara groundnut and enhance food security.</t>
  </si>
  <si>
    <t>[Dzandu, Bennett; Kumi, Sandra; Asirifi-Addo, Tracy] Univ Ghana, Dept Nutr &amp; Food Sci, Accra POB LG 134, Legon, Ghana</t>
  </si>
  <si>
    <t>University of Ghana</t>
  </si>
  <si>
    <t>Dzandu, B (corresponding author), Univ Ghana, Dept Nutr &amp; Food Sci, Accra POB LG 134, Legon, Ghana.</t>
  </si>
  <si>
    <t>badzandu@ug.edu.gh</t>
  </si>
  <si>
    <t>10.1080/19476337.2023.2190792</t>
  </si>
  <si>
    <t>A7UU0</t>
  </si>
  <si>
    <t>WOS:000957140400001</t>
  </si>
  <si>
    <t>Eiden, AL; DiFranzo, A; Bhatti, A; Wang, HE; Bencina, G; Yao, LX; Saxena, K; Chen, YT; Kujawski, SA</t>
  </si>
  <si>
    <t>Eiden, Amanda L.; DiFranzo, Anthony; Bhatti, Alexandra; Wang, H. Echo; Bencina, Goran; Yao, Lixia; Saxena, Kunal; Chen, Ya-Ting; Kujawski, Stephanie A.</t>
  </si>
  <si>
    <t>Changes in vaccine administration trends across the life-course during the COVID-19 pandemic in the United States: a claims database study</t>
  </si>
  <si>
    <t>EXPERT REVIEW OF VACCINES</t>
  </si>
  <si>
    <t>Vaccination; immunization; COVID-19; adults; pediatrics; adolescents; policy</t>
  </si>
  <si>
    <t>HUMAN-PAPILLOMAVIRUS VACCINATION; CARE IMPROVEMENT REGISTRY; AGED 13-17 YEARS; UPDATED RECOMMENDATIONS; ADVISORY-COMMITTEE; COVERAGE; CHILDREN; DECLINE; IMPACT; RATES</t>
  </si>
  <si>
    <t>Background: This study provides an updated and expanded analysis of the impact of the COVID-19 pandemic on routine vaccinations across the life-course in the United States. Research design and methods: Routine wellness visits and vaccination rates were calculated using structured claims data for each month during the impact period (January 2020 to August 2022) and compared to the respective baseline period (January 2018 to December 2019). Monthly rates were aggregated as annual accumulated and cumulative percent changes. Results: The complete monthly rate interactive dataset can be viewed at https://vaccinationtrends.com. The greatest decrease in annual accumulated administration rates in the 0-2 and 4-6 years age groups was for the measles, mumps, and rubella vaccine; for adolescents and older adults, it was for human papillomavirus and pneumococcal vaccines, respectively. Routine in-person wellness visit rates recovered faster and more completely than vaccination rates in all age groups, indicating potential missed opportunities to administer vaccines during visits. Conclusions: This updated analysis reveals that the negative impact of the COVID-19 pandemic on routine vaccination continued through 2021 and into 2022. Proactive efforts to reverse this decline are needed to increase individual- and population-level vaccination coverage and avoid the associated preventable morbidity, mortality, and health care costs.</t>
  </si>
  <si>
    <t>[Eiden, Amanda L.; Wang, H. Echo; Yao, Lixia; Saxena, Kunal; Chen, Ya-Ting; Kujawski, Stephanie A.] Merck &amp; Co Inc, Ctr Observat &amp; Real World Evidence CORE, Rahway, NJ USA; [DiFranzo, Anthony] Merck &amp; Co Inc, Med Analyt Ctr, Rahway, NJ USA; [Bhatti, Alexandra] Merck &amp; Co Inc, Global Vaccines Publ Policy &amp; Partnerships, Rahway, NJ USA; [Bencina, Goran] MSD, Ctr Observat &amp; Real World Evidence CORE, Madrid, Spain; [Eiden, Amanda L.] 351 North Sumneytown Pike, North Wales, PA 19454 USA</t>
  </si>
  <si>
    <t>Merck &amp; Company; Merck &amp; Company; Merck &amp; Company; Merck &amp; Company</t>
  </si>
  <si>
    <t>Eiden, AL (corresponding author), 351 North Sumneytown Pike, North Wales, PA 19454 USA.</t>
  </si>
  <si>
    <t>amanda.eiden@merck.com</t>
  </si>
  <si>
    <t>Bhatti, Alexandra/0000-0002-5783-2911; DiFranzo, Anthony/0000-0002-3151-9150</t>
  </si>
  <si>
    <t>Merck Sharp Dohme LLC</t>
  </si>
  <si>
    <t>The manuscript was funded by Merck Sharp &amp; Dohme LLC, a subsidiary of Merck &amp; Co., Inc., Rahway, NJ, USA.</t>
  </si>
  <si>
    <t>1476-0584</t>
  </si>
  <si>
    <t>1744-8395</t>
  </si>
  <si>
    <t>EXPERT REV VACCINES</t>
  </si>
  <si>
    <t>Expert Rev. Vaccines</t>
  </si>
  <si>
    <t>10.1080/14760584.2023.2217257</t>
  </si>
  <si>
    <t>Immunology</t>
  </si>
  <si>
    <t>H9XV1</t>
  </si>
  <si>
    <t>WOS:000999417200001</t>
  </si>
  <si>
    <t>El-Khattab, SO; Abdelhamid, AEE; Ibrahim, WA; Elsherif, AIY; Khalil, GM</t>
  </si>
  <si>
    <t>El-Khattab, Salwa Omar; Abdelhamid, Amr Essam Eldin; Ibrahim, Waleed Abdalla; Elsherif, Ahmed Ibrahim Yousef; Khalil, George Mekhael</t>
  </si>
  <si>
    <t>C-reactive protein as an early marker of severity and outcome in patients with SARS-CoV-2 infection</t>
  </si>
  <si>
    <t>C-reactive protein; SARS-CoV-2; COVID-19; mortality; severity</t>
  </si>
  <si>
    <t>Background Infection with SARS-CoV-2 is a leading source of illness and death in the world. Millions of people contract SARS-CoV-2 every day as the incidence of infection rises. The mortality rate is mostly attributed to respiratory failure. Many studies have been carried out to identify biomarkers that can be used in the early detection of at-risk patients. CRP is a sensitive inflammatory biomarker; however, it can be measured by simple, inexpensive methods that are widely available in hospitals. Therefore, it was selected for this clinical trial. Methods This retrospective cohort analysis included 100 patients who were accepted to El-Obour Ain Shams University Specialized Hospital for Isolation between May and October 2020. Admission CRP was investigated, and data were analyzed in relation to severity and mortality. Results Regarding history, older patients or those who had been diagnosed with hypertension, diabetes mellitus, chronic hepatic diseases, or active cancer have been statistically more prone to mortality. Concerning the laboratory investigations, those who did not survive had significantly lower haemoglobin levels and a higher TLC count. In addition, serum ferritin and D-dimer levels were significantly higher in the non-survivors. As regards CRP, the non-survivor group had significantly higher levels, with a cutoff value of &gt;129 mg/l to predict mortality. It has also been correlated with severity in terms of need for ICU admission and need for respiratory support, with a cutoff value of &gt;55.3 mg/L. Conclusion CRP can be used as a prognostic biomarker in patients with SARS-CoV-2 infection as it is a simple and effective predictor.</t>
  </si>
  <si>
    <t>[El-Khattab, Salwa Omar; Abdelhamid, Amr Essam Eldin; Ibrahim, Waleed Abdalla; Elsherif, Ahmed Ibrahim Yousef; Khalil, George Mekhael] Ain Shams Univ, Fac Med, Intens Care &amp; Pain Management, Cairo, Egypt</t>
  </si>
  <si>
    <t>Egyptian Knowledge Bank (EKB); Ain Shams University</t>
  </si>
  <si>
    <t>Elsherif, AIY (corresponding author), Ain Shams Univ, Fac Med, Intens Care &amp; Pain Management, Cairo, Egypt.</t>
  </si>
  <si>
    <t>Ahmedelsherif@hotmail.co.uk</t>
  </si>
  <si>
    <t>10.1080/11101849.2023.2171545</t>
  </si>
  <si>
    <t>8I5CG</t>
  </si>
  <si>
    <t>WOS:000921751100001</t>
  </si>
  <si>
    <t>Elewa, MAF; Eldehna, WM; Hamdan, AME; El-kawi, SHA; El-Kalaawy, AM; Majrashi, T; Barghash, RF; Abdel-Azizb, HA; Hashem, KS; Al-Gayyar, MM</t>
  </si>
  <si>
    <t>Elewa, Mohammed A. F.; Eldehna, Wagdy M.; Hamdan, Ahmed M. E.; El-kawi, Samraa H. Abd; El-Kalaawy, Asmaa M.; Majrashi, Taghreed; Barghash, Reham F.; Abdel-Azizb, Hatem A.; Hashem, Khalid S.; Al-Gayyar, Mohammed M.</t>
  </si>
  <si>
    <t>WRH-2412 alleviates the progression of hepatocellular carcinoma through regulation of TGF-β/β-catenin/α-SMA pathway (vol 38, 2185761, 2023)</t>
  </si>
  <si>
    <t>JOURNAL OF ENZYME INHIBITION AND MEDICINAL CHEMISTRY</t>
  </si>
  <si>
    <t>Correction</t>
  </si>
  <si>
    <t>Eldehna, Wagdy/AAK-6871-2020; Al-Gayyar, Mohammed M H/E-8250-2014</t>
  </si>
  <si>
    <t>Eldehna, Wagdy/0000-0001-6996-4017; Al-Gayyar, Mohammed M H/0000-0003-4777-3919</t>
  </si>
  <si>
    <t>1475-6366</t>
  </si>
  <si>
    <t>1475-6374</t>
  </si>
  <si>
    <t>J ENZYM INHIB MED CH</t>
  </si>
  <si>
    <t>J. Enzym. Inhib. Med. Chem.</t>
  </si>
  <si>
    <t>10.1080/14756366.2023.2218746</t>
  </si>
  <si>
    <t>Biochemistry &amp; Molecular Biology; Chemistry, Medicinal</t>
  </si>
  <si>
    <t>Biochemistry &amp; Molecular Biology; Pharmacology &amp; Pharmacy</t>
  </si>
  <si>
    <t>I2AI5</t>
  </si>
  <si>
    <t>WOS:001000858900001</t>
  </si>
  <si>
    <t>Elnaggar, MH; Elgazar, AA; Gamal, G; Hamed, SM; Elsayed, ZM; El-ashrey, MK; Abood, A; El Hassab, MA; Soliman, AM; El-domany, RA; Badria, FA; Supuran, CT; Eldehna, WM</t>
  </si>
  <si>
    <t>Elnaggar, Mai H. H.; Elgazar, Abdullah A. A.; Gamal, Ghada; Hamed, Shimaa M. M.; Elsayed, Zainab M. M.; El-ashrey, Mohamed K. K.; Abood, Amira; El Hassab, Mahmoud A. A.; Soliman, Ahmed M. M.; El-domany, Ramadan A. A.; Badria, Farid A. A.; Supuran, Claudiu T. T.; Eldehna, Wagdy M. M.</t>
  </si>
  <si>
    <t>Identification of sulphonamide-tethered N-((triazol-4-yl)methyl)isatin derivatives as inhibitors of SARS-CoV-2 main protease</t>
  </si>
  <si>
    <t>Isatin derivatives; click chemistry; SARS-CoV-2; main protease; FRET assay and moleuclar docking</t>
  </si>
  <si>
    <t>IN-SILICO IDENTIFICATION; ANTI-HIV ACTIVITY; ISATIN DERIVATIVES; BIOLOGICAL EVALUATION; ANTICANCER EVALUATION; ANTIVIRAL ACTIVITY; VITRO; HYBRIDS; DESIGN; OPTIMIZATION</t>
  </si>
  <si>
    <t>SARS-CoV-2 pandemic in the end of 2019 led to profound consequences on global health and economy. Till producing successful vaccination strategies, the healthcare sectors suffered from the lack of effective therapeutic agents that could control the spread of infection. Thus, academia and the pharmaceutical sector prioritise SARS-CoV-2 antiviral drug discovery. Here, we exploited previous reports highlighting the anti-SARS-CoV-2 activities of isatin-based molecules to develop novel triazolo-isatins for inhibiting main protease (Mpro) of the virus, a crucial enzyme for its replication in the host cells. Particularly, sulphonamide 6b showed promising inhibitory activity with an IC50= 0.249 &amp; mu;M. Additionally, 6b inhibited viral cell proliferation with an IC50 of 4.33 &amp; mu;g/ml, and was non-toxic to VERO-E6 cells (CC50 = 564.74 &amp; mu;g/ml) displaying a selectivity index of 130.4. In silico analysis of 6b disclosed its ability to interact with key residues in the enzyme active site, supporting the obtained in vitro findings.</t>
  </si>
  <si>
    <t>[Elnaggar, Mai H. H.; Elgazar, Abdullah A. A.; Gamal, Ghada] Kafrelsheikh Univ, Fac Pharm, Dept Pharmacognosy, Kafrelsheikh, Egypt; [Hamed, Shimaa M. M.; Elsayed, Zainab M. M.] Kafrelsheikh Univ, Fac Pharm, Sci Res &amp; Innovat Support Unit, Kafrelsheikh, Egypt; Cairo Univ, Fac Pharm, Pharmaceut Chem Dept, Cairo, Egypt; [Abood, Amira] Natl Res Ctr, Chem Nat &amp; microbial Prod, Cairo, Egypt; [Abood, Amira] Univ Kent, Dept Biosci, Canterbury, England; [El Hassab, Mahmoud A. A.] King Salman Int Univ KSIU, Fac Pharm, Dept Med Chem, El Tor, Egypt; [Soliman, Ahmed M. M.; El-domany, Ramadan A. A.] Kafrelsheikh Univ, Fac Pharm, Dept Microbiol &amp; Immunol, Kafrelsheikh, Egypt; [Badria, Farid A. A.] Mansoura Univ, Fac Pharm, Dept Pharmacognosy, Mansoura, Egypt; [Supuran, Claudiu T. T.] Univ Florence, Dept NEUROFARBA, Sect Pharmaceut &amp; Nutraceut Sci, Florence, Italy; [Eldehna, Wagdy M. M.] Kafrelsheikh Univ, Fac Pharm, Dept Pharmaceut Chem, Kafrelsheikh, Egypt; Badr Univ Cairo, Sch Biotechnol, Badr City, Egypt; [Elnaggar, Mai H. H.; Eldehna, Wagdy M. M.] Kafrelsheikh Univ, Fac Pharm, Kafrelsheikh, Egypt</t>
  </si>
  <si>
    <t>Egyptian Knowledge Bank (EKB); Kafrelsheikh University; Egyptian Knowledge Bank (EKB); Kafrelsheikh University; Egyptian Knowledge Bank (EKB); Cairo University; Egyptian Knowledge Bank (EKB); National Research Centre (NRC); University of Kent; King Salman International University; Egyptian Knowledge Bank (EKB); Kafrelsheikh University; Egyptian Knowledge Bank (EKB); Mansoura University; University of Florence; Egyptian Knowledge Bank (EKB); Kafrelsheikh University; Badr University in Cairo; Egyptian Knowledge Bank (EKB); Kafrelsheikh University</t>
  </si>
  <si>
    <t>Elnaggar, MH; Eldehna, WM (corresponding author), Kafrelsheikh Univ, Fac Pharm, Kafrelsheikh, Egypt.</t>
  </si>
  <si>
    <t>mai_elnaggar@pharm.kfs.edu.eg; wagdy2000@gmail.com</t>
  </si>
  <si>
    <t>Elgazar, Abdullah A./D-9904-2018; Soliman, Ahmed/AAE-2996-2021</t>
  </si>
  <si>
    <t>Elgazar, Abdullah A./0000-0002-5851-3306; Soliman, Ahmed/0000-0003-4465-5028</t>
  </si>
  <si>
    <t>Science, Technology amp; Innovation Funding Authority (STDF) [44025]</t>
  </si>
  <si>
    <t>Science, Technology amp; Innovation Funding Authority (STDF)(Science and Technology Development Fund (STDF))</t>
  </si>
  <si>
    <t>This paper is based upon work supported by Science, Technology &amp; Innovation Funding Authority (STDF) under grant number [44025].</t>
  </si>
  <si>
    <t>10.1080/14756366.2023.2234665</t>
  </si>
  <si>
    <t>Science Citation Index Expanded (SCI-EXPANDED); Index Chemicus (IC)</t>
  </si>
  <si>
    <t>L5XO1</t>
  </si>
  <si>
    <t>Green Submitted, Green Published, gold</t>
  </si>
  <si>
    <t>WOS:001023995200001</t>
  </si>
  <si>
    <t>Espinosa, VF; González, JL</t>
  </si>
  <si>
    <t>Espinosa, Veronica Fernandez; Gonzalez, Jorge Lopez</t>
  </si>
  <si>
    <t>The effect of teacher leadership on students' purposeful learning</t>
  </si>
  <si>
    <t>Character education; flourishing; high school students; teacher leadership; vulnerability</t>
  </si>
  <si>
    <t>Teaching leadership is a key factor for students' learning and flourishing, and it occurs in an asymmetrical and interpersonal relationship. This research seeks to characterize the teaching leadership of high school teachers through the influence they exert on their students. It is not based on the teacher's self-perception but on the experience that the students have had. For this purpose, a qualitative study was carried out in Spain with 200 first-year university students in which they answered four questions about the teacher who most influenced them during their high school. The results point to five leadership traits or styles that are not mutually exclusive: empathetic leadership, comforting leadership, motivating leadership, exemplary leadership, and wise leadership. In addition, moments of weakness and vulnerability in students are those that most favour the influence of the teacher in their lives, encouraging vital learning in them. This study highlights the importance of teacher leadership for student character education.</t>
  </si>
  <si>
    <t>[Espinosa, Veronica Fernandez; Gonzalez, Jorge Lopez] Univ Francisco Vitoria, Fac Educ &amp; Psychol, Madrid, Spain</t>
  </si>
  <si>
    <t>Universidad Francisco de Vitoria</t>
  </si>
  <si>
    <t>Espinosa, VF (corresponding author), Ctra Pozuelo Majadahonda KM 1-800, Pozuelo De Alarcon 28223, Madrid, Spain.</t>
  </si>
  <si>
    <t>veronica.fernandez@ufv.es</t>
  </si>
  <si>
    <t>Lopez Gonzalez, Jorge/0000-0003-2118-9386</t>
  </si>
  <si>
    <t>This work was supported by the Universidad Francisco de Vitoria as part of a research project of the Virtue and Values Education Centre (VEC).</t>
  </si>
  <si>
    <t>10.1080/23311886.2023.2197282</t>
  </si>
  <si>
    <t>C7KZ4</t>
  </si>
  <si>
    <t>WOS:000963676600001</t>
  </si>
  <si>
    <t>Evans, DP; Schnabel, L; Wyckoff, K; Narasimhan, S</t>
  </si>
  <si>
    <t>Evans, Dabney P.; Schnabel, Liesl; Wyckoff, Kathryn; Narasimhan, Subasri</t>
  </si>
  <si>
    <t>A daily reminder of an ugly incident horizontal ellipsis : analysis of debate on rape and incest exceptions in early abortion ban legislation in six states in the southern US</t>
  </si>
  <si>
    <t>SEXUAL AND REPRODUCTIVE HEALTH MATTERS</t>
  </si>
  <si>
    <t>abortion; reproductive justice; rape; incest; sexual violence; gender-based violence</t>
  </si>
  <si>
    <t>SEXUAL ASSAULT; METAANALYSIS</t>
  </si>
  <si>
    <t>Abortion bans in the United States often include provisions for abortion in the circumstances of rape or incest experience. Such exceptions have been included in important legislation like the Hyde Amendment, 2003 Partial-Birth Abortion Ban Act, 2010 Affordable Care Act, and state and federal legislation banning abortion in early gestation. Thus, examination of these laws is critical given the 2022 Supreme Court decision to devolve legal access to the state level. This study examines arguments made by proponents and opponents of rape and incest exceptions within early abortion ban legislation using publicly available video archives from legislative sessions in six Southern states. A narrative analysis was conducted on the legislative debate of rape and incest exceptions during the 2018-2019 legislative sessions. We found three core themes when examining legislative debate: belief in people's claims underpinned opposition or support for exceptions; opinions about trauma were related to views on exceptions; and exception supporters called for empathy and non-partisanship in consideration of rape and incest. Additionally, support and opposition for the inclusion of rape and incest exceptions in draft law did not follow party lines. This study seeks to deepen understanding of the strategies used by legislators to promote and rebuff rape and incest exceptions in early abortion legislation while providing greater opportunity for tailored reproductive health, rights, and justice advocacy and policy, especially in the context of the US South where abortion access is now extremely restricted.</t>
  </si>
  <si>
    <t>[Evans, Dabney P.; Schnabel, Liesl; Wyckoff, Kathryn; Narasimhan, Subasri] Emory Univ, Rollins Sch Publ Hlth, Hubert Dept Global Hlth, Atlanta, GA 30322 USA; [Evans, Dabney P.] Emory Univ, Ctr Reprod Hlth Res Southeast RISE, Rollins Sch Publ Hlth, Atlanta, GA USA</t>
  </si>
  <si>
    <t>Emory University; Rollins School Public Health; Emory University; Rollins School Public Health</t>
  </si>
  <si>
    <t>Evans, DP (corresponding author), Emory Univ, Rollins Sch Publ Hlth, Hubert Dept Global Hlth, Atlanta, GA 30322 USA.</t>
  </si>
  <si>
    <t>dabney.evans@emory.edu</t>
  </si>
  <si>
    <t>Evans, Dabney/H-8910-2016</t>
  </si>
  <si>
    <t>Evans, Dabney/0000-0002-2201-5655</t>
  </si>
  <si>
    <t>2641-0397</t>
  </si>
  <si>
    <t>SEX REPROD HLTH MATT</t>
  </si>
  <si>
    <t>Sex. Reprod. Hlth. Matters</t>
  </si>
  <si>
    <t>10.1080/26410397.2023.2198283</t>
  </si>
  <si>
    <t>F1CH6</t>
  </si>
  <si>
    <t>WOS:000979791000001</t>
  </si>
  <si>
    <t>Ezez, D; Mekonnen, N; Tefera, M</t>
  </si>
  <si>
    <t>Ezez, Dessie; Mekonnen, Natinael; Tefera, Molla</t>
  </si>
  <si>
    <t>Phytochemical analysis of Withania somnifera leaf extracts by GC-MS and evaluating antioxidants and antibacterial activities</t>
  </si>
  <si>
    <t>Antibacterial; Antioxidant; Flavonoid; polyphenol; Withania somnifera</t>
  </si>
  <si>
    <t>IN-VITRO ANTIOXIDANT; DIFFERENT SOLVENTS; POLYPHENOL; CAPACITY</t>
  </si>
  <si>
    <t>Many people in developing countries mainly depend on medicinal plants like Withania somnifera and their products for healthcare. In this study, reflux and maceration extraction methods were applied to investigate total phenolic (TPC) and flavonoid contents (TFC); and antioxidant properties of Withania somnifera extracts toward DPPH and hydrogen peroxide (H2O2) were studied. Highest TPC was detected with methanol extracts with value of 198.24 +/- 1.16 mg GAE/g and TFC of 31.52 +/- 0.91 mg QE/g. The minimum amount of TPC was observed in aqueous extract (101.41 +/- 1.07 mg GAE/g) and the TFC in ethyl acetate extract 9.72 +/- 1.32 mg QE/g. The maximum value of DPPH radical scavenging was estimated in maceration methanol extract 81.98 +/- 0.49% and value of H2O2 was obtained in maceration acetone extract 76.18 +/- 1.06%. The major identified molecules were Heptasiloxane,1,1,3,3,5,5,7,7,9,9,11,11,13,13-tetradecamethyl-(50.04%), and trans-2,4 Dimethylthiane, S, S- dioxide (4.09%) The broad spectrum of antibacterial activity was observed in Escherichia coli reflux methanol extract. In both extraction techniques methanol was the best extracting solvent for phenolic and flavonoid contents as antioxidants as well as antibacterial activities.</t>
  </si>
  <si>
    <t>[Ezez, Dessie; Mekonnen, Natinael; Tefera, Molla] Arba Minch Univ, Coll Nat Sci, Dept Chem, Arba Minch, Ethiopia; [Tefera, Molla] Univ Gondar, Coll Nat Sci, Dept Chem, Gondar, Ethiopia</t>
  </si>
  <si>
    <t>Arba Minch University; University of Gondar</t>
  </si>
  <si>
    <t>Tefera, M (corresponding author), Arba Minch Univ, Coll Nat Sci, Dept Chem, Arba Minch, Ethiopia.</t>
  </si>
  <si>
    <t>mollatef2001@gmail.com</t>
  </si>
  <si>
    <t>10.1080/10942912.2023.2173229</t>
  </si>
  <si>
    <t>8O7YV</t>
  </si>
  <si>
    <t>WOS:000926050200001</t>
  </si>
  <si>
    <t>Frazzini, S; Cremonesi, P; Scaglia, E; Castiglioni, B; Biscarini, F; Besana, V; Rossi, L</t>
  </si>
  <si>
    <t>Frazzini, Sara; Cremonesi, Paola; Scaglia, Elena; Castiglioni, Bianca; Biscarini, Filippo; Besana, Valeria; Rossi, Luciana</t>
  </si>
  <si>
    <t>Effect of hulled Cannabis sativa L. seeds in a home-made diet for adult dogs</t>
  </si>
  <si>
    <t>Hemp seeds; Cannabis sativa L; microbiota; dog; homemade diet; &gt;</t>
  </si>
  <si>
    <t>FUNCTIONAL FOODS; GUT MICROBIOME; DIGESTIBILITY; NUTRIENT; PROTEIN; SILVA</t>
  </si>
  <si>
    <t>Homemade diets integrated with functional ingredients may help to ensure that companion animals have a good life quality given the rise in their average lifespan. This study investigates the effects of a complete and well-balanced homemade diet supplemented with hulled hemp seeds. Twelve adult dogs divided into two groups: CTRL, fed the basal diet and HEMP, fed the diet integrated hulled Cannabis sativa L. seeds (4 g/100g of ration) were enrolled in the trial. The following samples were collected: (a) individual faecal samples to assess the diet digestibility through an indirect method of acid-insoluble ash; b) blood samples to evaluate the oxidative state through an OXI adsorbent test; and c) rectal swabs for intestinal microbiota analysis (alpha- and beta-diversity and taxonomy). The results reveal that with respect to the commercial diet used in this study, our homemade diet increased the total and protein digestibility (total: 53.97 &amp; PLUSMN; 2.54% and 58.20 &amp; PLUSMN; 2.58%; p &lt; .030; protein: 70.54 &amp; PLUSMN; 2.01% and 82.78 &amp; PLUSMN; 5.35%; p &lt; .001). The change in diet positively altered the microbiota structure and increased beta-diversity index significantly (p &lt; .010). The hemp seeds significantly (p &lt; .001) reduced the oxidative stress in the serum. This study highlights how hemp increases the body's defences and that a homemade diet promotes diversity in the gut microbial population.</t>
  </si>
  <si>
    <t>[Frazzini, Sara; Scaglia, Elena; Rossi, Luciana] Univ Milan, Dipartimento Med Vet &amp; Sci Anim, Lodi, Italy; [Cremonesi, Paola; Castiglioni, Bianca; Biscarini, Filippo] Consiglio Nazl Ric CNR, Ist Biol &amp; Biotecnol Agr IBBA, Lodi, Italy; [Besana, Valeria] Med Vet Libero Profess, Cavenago Brianza, Italy; [Castiglioni, Bianca] Ist Biol &amp; Biotecnol Agr IBBA, Consiglio Nazl Ric CNR, UOS Lodi, Via Einstein, I-26900 Lodi, Italy</t>
  </si>
  <si>
    <t>University of Milan; Consiglio Nazionale delle Ricerche (CNR); Istituto di Biologia e Biotecnologia Agraria (IBBA-CNR); Consiglio Nazionale delle Ricerche (CNR); Istituto di Biologia e Biotecnologia Agraria (IBBA-CNR)</t>
  </si>
  <si>
    <t>Castiglioni, B (corresponding author), Ist Biol &amp; Biotecnol Agr IBBA, Consiglio Nazl Ric CNR, UOS Lodi, Via Einstein, I-26900 Lodi, Italy.</t>
  </si>
  <si>
    <t>bianca.castiglioni@ibba.cnr.it</t>
  </si>
  <si>
    <t>Rossi, Luciana/I-5142-2012; Biscarini, Filippo/H-3334-2019; Cremonesi, Paola/AAP-8157-2020</t>
  </si>
  <si>
    <t>Rossi, Luciana/0000-0003-1178-4683; Biscarini, Filippo/0000-0002-3901-2354; Cremonesi, Paola/0000-0002-8239-5549; Frazzini, Sara/0000-0001-8810-0003; Scaglia, Elena/0000-0002-4225-5234</t>
  </si>
  <si>
    <t>10.1080/1828051X.2023.2241489</t>
  </si>
  <si>
    <t>P2LZ8</t>
  </si>
  <si>
    <t>WOS:001049019400001</t>
  </si>
  <si>
    <t>Fu, MY; Qiao, W</t>
  </si>
  <si>
    <t>Fu, Minyan; Qiao, Wei</t>
  </si>
  <si>
    <t>Analysis and Countermeasures of Psychological Characteristics in College Students' Psychological Education Based on Artificial Intelligence</t>
  </si>
  <si>
    <t>APPLIED ARTIFICIAL INTELLIGENCE</t>
  </si>
  <si>
    <t>MENTAL-HEALTH PROBLEMS; SOCIAL SUPPORT; HELP-SEEKING; DISTRESS; PERFORMANCE; ALCOHOL</t>
  </si>
  <si>
    <t>It is true that with society entering a new era, the pressure of competition for employment of college students is increasing, and society has higher requirements for the quality of high-tech talents, which can result in mental health issues for college students. Therefore, focusing on psychological education for college students and improving their psychological quality is essential. The analysis and countermeasure research on psychological characteristics has become crucial in this context. To address this issue, this work proposes an Improved Particle Swarm Optimization (IPSO) Deep Belief Network (DBN) method to analyze the psychological characteristics of college students. The proposed method first uses DBN to analyze the psychological characteristics of college students. Secondly, the learning factors and inertia weights in PSO are dynamically adjusted to construct IPSO to address the problem of slow overall convergence speed caused by the initial randomization of weights in the DBN training process. IPSO is then combined with DBN to adjust the initial weights for DBN training. This work also proposes a series of countermeasures from different aspects to strengthen mental health education for college students. The validity of IPSO-DBN for college students' psychological characteristics analysis is verified through comprehensive and systematic experiments, and the feasibility of college students' mental health education countermeasures is confirmed via comparison. Overall, this work provides an innovative and effective approach for analyzing college students' psychological characteristics and developing countermeasures to improve their mental health. It shows the potential of combining artificial intelligence with psychological education and highlights the importance of strengthening psychological health education for college students.</t>
  </si>
  <si>
    <t>[Fu, Minyan] Wuxi Inst Technol, Sch Continuing Educ, Wuxi, Peoples R China; [Qiao, Wei] Wuxi Inst Technol, Dept Management, Wuxi, Peoples R China; [Fu, Minyan] Wuxi Inst Technol, Sch Continuing Educ, Wuxi 214121, Peoples R China</t>
  </si>
  <si>
    <t>Wuxi Institute of Technology; Wuxi Institute of Technology; Wuxi Institute of Technology</t>
  </si>
  <si>
    <t>Fu, MY (corresponding author), Wuxi Inst Technol, Sch Continuing Educ, Wuxi 214121, Peoples R China.</t>
  </si>
  <si>
    <t>fumy@wxit.edu.cn</t>
  </si>
  <si>
    <t>2022 Wuxi Association for Science and Technology Soft Science Research Project: Analysis on the Factors and Mechanism of the Improvement of Scientific and Technological Innovation Ability of Technical and Skilled Talents in Higher Vocational Colleges under [NO:KX-22-B04]</t>
  </si>
  <si>
    <t>2022 Wuxi Association for Science and Technology Soft Science Research Project: Analysis on the Factors and Mechanism of the Improvement of Scientific and Technological Innovation Ability of Technical and Skilled Talents in Higher Vocational Colleges under</t>
  </si>
  <si>
    <t>This study was supported by the 2022 Wuxi Association for Science and Technology Soft Science Research Project: Analysis on the Factors and Mechanism of the Improvement of Scientific and Technological Innovation Ability of Technical and Skilled Talents in Higher Vocational Colleges under the Background of Intelligent Manufacturing(NO:KX-22-B04).</t>
  </si>
  <si>
    <t>0883-9514</t>
  </si>
  <si>
    <t>1087-6545</t>
  </si>
  <si>
    <t>APPL ARTIF INTELL</t>
  </si>
  <si>
    <t>Appl. Artif. Intell.</t>
  </si>
  <si>
    <t>10.1080/08839514.2023.2204262</t>
  </si>
  <si>
    <t>Computer Science, Artificial Intelligence; Engineering, Electrical &amp; Electronic</t>
  </si>
  <si>
    <t>Computer Science; Engineering</t>
  </si>
  <si>
    <t>E3PR1</t>
  </si>
  <si>
    <t>WOS:000974700200001</t>
  </si>
  <si>
    <t>Gamal, M; Rady, A; Gamal, M; Hassan, H</t>
  </si>
  <si>
    <t>Gamal, Medhat; Rady, Ashraf; Gamal, Mohamed; Hassan, Haitham</t>
  </si>
  <si>
    <t>Efficacy of virtual reality distraction technique for anxiety and pain control in orthopedic forearm surgeries performed under supraclavicular brachial plexus block: A randomized controlled study</t>
  </si>
  <si>
    <t>Anxiety; orthopedic surgeries; pain; supraclavicular nerve block; virtual reality</t>
  </si>
  <si>
    <t>SEDATION; DEXAMETHASONE; ANESTHESIA; MANAGEMENT</t>
  </si>
  <si>
    <t>Background Virtual reality (VR) distraction has been considered an alternative to medication to treat acute pain related to different procedures. This study aimed to evaluate the safety and efficacy of VR in reducing anxiety and pain in patients having orthopedic forearm operations under supraclavicular brachial plexus block. Methods This was an open-label, parallel-group, randomized trial. Thirty adult patients with American Society of Anesthesiologists physical status I or II were enrolled for orthopedic forearm operations performed under supraclavicular brachial plexus block. The patients were randomized into two equal groups. In the VR group, 15 patients performed the procedure with the use of VR and administration of midazolam according to the patient's request, while in the control group, 15 patients received 2 mg midazolam followed by a titration dose according to the patient's request. The primary outcome was the total intravenous sedation needed for the patient. Secondary outcomes included total perioperative analgesic utilization, incidence of harmful effects, patient satisfaction rating, and hemodynamic parameters. Results Virtual distraction technique significantly reduced the intraoperative midazolam consumption (2.00 +/- 0.00 vs 6.67 +/- 2.09 mg, respectively, p &lt; 0.001) compared to the control group. The total perioperative analgesic consumption, incidence of adverse effects, and hemodynamic parameters were not significantly different in both groups. Patients who performed the block with the VR distraction technique showed better satisfaction scores compared to the control group (9.60 +/- 0.51 vs 8.53 +/- 0.92, respectively, p = 0.001). Conclusion In orthopedic forearm surgeries under supraclavicular nerve block, the VR distraction technique can reduce intraoperative sedation requirements and improve patient satisfaction.</t>
  </si>
  <si>
    <t>[Gamal, Medhat; Rady, Ashraf; Gamal, Mohamed; Hassan, Haitham] Cairo Univ, Fac Med, Dept Anesthesia Surg Intens Care &amp; Pain Management, Cairo, Egypt</t>
  </si>
  <si>
    <t>Egyptian Knowledge Bank (EKB); Cairo University</t>
  </si>
  <si>
    <t>Gamal, M (corresponding author), Cairo Univ, Fac Med, Dept Anesthesia Surg Intens Care &amp; Pain Management, Cairo, Egypt.</t>
  </si>
  <si>
    <t>drmedhat08@hotmail.com</t>
  </si>
  <si>
    <t>10.1080/11101849.2023.2223829</t>
  </si>
  <si>
    <t>J5OR9</t>
  </si>
  <si>
    <t>WOS:001010115300001</t>
  </si>
  <si>
    <t>Gao, JB; Zhong, J; Liu, GC; Zhang, SJ; Zhang, JL; Liu, ZM; Song, B; Zhang, LJ</t>
  </si>
  <si>
    <t>Gao, Jianbao; Zhong, Jing; Liu, Guangchen; Zhang, Shaoji; Zhang, Jiali; Liu, Zuming; Song, Bo; Zhang, Lijun</t>
  </si>
  <si>
    <t>Accelerated discovery of high-performance Al-Si-Mg-Sc casting alloys by integrating active learning with high-throughput CALPHAD calculations</t>
  </si>
  <si>
    <t>SCIENCE AND TECHNOLOGY OF ADVANCED MATERIALS</t>
  </si>
  <si>
    <t>Alloy design; casting aluminum alloy; high-throughput calculations; CALPHAD; active learning</t>
  </si>
  <si>
    <t>PHASE-FIELD SIMULATION; HIGH-ENTROPY ALLOYS; MECHANICAL-PROPERTIES; AL-7SI-0.3MG ALLOYS; MULTIOBJECTIVE OPTIMIZATION; MICROSTRUCTURAL EVOLUTION; DESIGN; SCANDIUM; SOLIDIFICATION; PRECIPITATION</t>
  </si>
  <si>
    <t>Scandium is the best alloying element to improve the mechanical properties of industrial Al-Si-Mg casting alloys. Most literature reports devote to exploring/designing optimal Sc additions in different commercial Al-Si-Mg casting alloys with well-defined compositions. However, no attempt to optimize the contents of Si, Mg, and Sc has been made due to the great challenge of simultaneous screening in high-dimensional composition space with limited experimental data. In this paper, a novel alloy design strategy was proposed and successfully applied to accelerate the discovery of hypoeutectic Al-Si-Mg-Sc casting alloys over high-dimensional composition space. Firstly, high-throughput CALculation of PHAse Diagrams (CALPHAD) solidification simulations of ocean of hypoeutectic Al-Si-Mg-Sc casting alloys over a wide composition range were performed to establish the quantitative relation 'composition-process-microstructure'. Secondly, the relation 'microstructure-mechanical properties' of Al-Si-Mg-Sc hypoeutectic casting alloys was acquired using the active learning technique supported by key experiments designed by CALPHAD and Bayesian optimization samplings. After a benchmark in A356-xSc alloys, such a strategy was utilized to design the high-performance hypoeutectic Al-xSi-yMg alloys with optimal Sc additions that were later experimentally validated. Finally, the present strategy was successfully extended to screen the optimal contents of Si, Mg, and Sc over high-dimensional hypoeutectic Al-xSi-yMg-zSc composition space. It is anticipated that the proposed strategy integrating active learning with high-throughput CALPHAD simulations and key experiments should be generally applicable to the efficient design of high-performance multi-component materials over high-dimensional composition space.</t>
  </si>
  <si>
    <t>[Gao, Jianbao; Zhong, Jing; Zhang, Shaoji; Zhang, Jiali; Liu, Zuming; Zhang, Lijun] Cent South Univ, State Key Lab Powder Met, Changsha, Hunan, Peoples R China; [Liu, Guangchen] Worcester Polytech Inst, Mech &amp; Mat Engn Dept, Worcester, MA USA; [Song, Bo] Huazhong Univ Sci &amp; Technol, Sch Mat Sci &amp; Engn, State Key Lab Mat Proc &amp; Die &amp; Mould Technol, Wuhan, Peoples R China; [Zhang, Lijun] Cent South Univ, State Key Lab Powder Met, Changsha 410083, Hunan, Peoples R China</t>
  </si>
  <si>
    <t>Central South University; Worcester Polytechnic Institute; Huazhong University of Science &amp; Technology; Central South University</t>
  </si>
  <si>
    <t>Zhang, LJ (corresponding author), Cent South Univ, State Key Lab Powder Met, Changsha 410083, Hunan, Peoples R China.</t>
  </si>
  <si>
    <t>lijun.zhang@csu.edu.cn</t>
  </si>
  <si>
    <t>Yang, Jing/JFK-4046-2023; zhou, yang/JED-3951-2023; wang, KiKi/JFZ-3334-2023; wu, p/JDW-5015-2023; yang, peng/JEZ-8452-2023; yang, li/JGM-1009-2023; zhang, yan/JGL-8022-2023; Zhang, Lijun/JEZ-7925-2023; yuan, lin/JDW-7387-2023; li, xiang/JCN-9316-2023; Yang, Jie/JDM-6213-2023; zhang, chen/JES-0371-2023; Lv, Xianliang/JFS-9152-2023</t>
  </si>
  <si>
    <t>Yang, Jing/0009-0004-8274-9863; Yang, Jie/0000-0002-3941-0053; Zhang, Lijun/0000-0002-5969-2406</t>
  </si>
  <si>
    <t>Science and Technology Program of Guangxi province, China; National Natural Science Foundation of China [U2102212]; Natural Science Foundation of Hunan Province for Distinguished Young Scholars [2021JJ10062]; Youth Talent Project of Innovation-driven Plan at Central South University [2282020cxqd027]; Lvyangjinfeng Talent program of Yangzhou; Fundamental Research Funds for the Central Universities of Central South University [2019zzts854]; Youth Fund of the National Natural Science Foundation of China [52101028]; China Postdoctoral Science Foundation [2021M703628]</t>
  </si>
  <si>
    <t>Science and Technology Program of Guangxi province, China; National Natural Science Foundation of China(National Natural Science Foundation of China (NSFC)); Natural Science Foundation of Hunan Province for Distinguished Young Scholars; Youth Talent Project of Innovation-driven Plan at Central South University; Lvyangjinfeng Talent program of Yangzhou; Fundamental Research Funds for the Central Universities of Central South University; Youth Fund of the National Natural Science Foundation of China(National Natural Science Foundation of China (NSFC)); China Postdoctoral Science Foundation(China Postdoctoral Science Foundation)</t>
  </si>
  <si>
    <t>This work was supported by the Science and Technology Program of Guangxi province, China [Grant No. AB21220028], the National Natural Science Foundation of China [Grant No. U2102212], the Natural Science Foundation of Hunan Province for Distinguished Young Scholars [Grant No. 2021JJ10062], the Youth Talent Project of Innovation-driven Plan at Central South University [Grant No. 2282020cxqd027] and the Lvyangjinfeng Talent program of Yangzhou. Jianbao Gao acknowledges the financial support from the Fundamental Research Funds for the Central Universities of Central South University [Grant No. 2019zzts854]. Jing Zhong acknowledges the financial support from the Youth Fund of the National Natural Science Foundation of China [Grant No. 52101028], China Postdoctoral Science Foundation [Grant No. 2021M703628]. The authors would like to thank Mr. Yi Wang, Mr. Tongdi Zhang and Ms. Shenglan Yang from State Key Laboratory of Powder Metallurgy, Central South University for kindly helping and discussing.</t>
  </si>
  <si>
    <t>1468-6996</t>
  </si>
  <si>
    <t>1878-5514</t>
  </si>
  <si>
    <t>SCI TECHNOL ADV MAT</t>
  </si>
  <si>
    <t>Sci. Technol. Adv. Mater.</t>
  </si>
  <si>
    <t>10.1080/14686996.2023.2196242</t>
  </si>
  <si>
    <t>Materials Science, Multidisciplinary</t>
  </si>
  <si>
    <t>Materials Science</t>
  </si>
  <si>
    <t>D5CQ6</t>
  </si>
  <si>
    <t>WOS:000968915400001</t>
  </si>
  <si>
    <t>Gao, Y; Jiang, ZA; Xu, B; Mo, R; Li, SY; Jiang, YA; Zhao, DM; Cao, WB; Chen, B; Tian, M; Tan, Q</t>
  </si>
  <si>
    <t>Gao, Yu; Jiang, Zhounan; Xu, Bin; Mo, Ran; Li, Shiyan; Jiang, Yanan; Zhao, Demei; Cao, Wangbin; Chen, Bin; Tian, Meng; Tan, Qian</t>
  </si>
  <si>
    <t>Evaluation of topical methylene blue nanoemulsion for wound healing in diabetic mice</t>
  </si>
  <si>
    <t>Diabetic wound; Nrf2; inhibit apoptosis</t>
  </si>
  <si>
    <t>OXIDATIVE STRESS; NRF2; IMPAIRMENT; GENERATION; DRUG</t>
  </si>
  <si>
    <t>Context: Diabetic wounds (DW) are a complication of diabetes and slow wound healing is the main manifestation. Methylene blue (MB) has been shown to exhibit therapeutic effects on diabetes-related diseases.Objective: To investigate the mechanisms of action of MB-nanoemulsion (NE) in the treatment of DW.Materials and methods: The concentration of MB-NE used in the in vivo and in vitro experiments was 0.1 mg/mL. Streptozocin-induced diabetic mice were used as models. The mice were separated into nondiabetic, diabetic, MB-NE treated, and NE-treated groups. Intervention of high glucose-induced human umbilical vein endothelial cells using MB-NE. The mechanism by which MB-NE promotes DW healing is investigated by combining histological analysis, immunofluorescence analysis, TUNEL and ROS assays and western blotting.Results: In diabetic mice, the MB-NE accelerated DW healing (p &lt; 0.05), promoted the expression of endothelial cell markers (a-SMA, CD31 and VEGF) (p &lt; 0.05), and reduced TUNEL levels. In vitro, MB accelerated the migration rate of cells (p &lt; 0.05); promoted the expression of CD31, VEGF, anti-apoptotic protein Bcl2 (p &lt; 0.05) and decreased the expression of the pro-apoptotic proteins cleaved caspase-3 and Bax (p &lt; 0.05). MB upregulated the expression of Nrf2, catalase, HO-1 and SOD2 (p &lt; 0.05). In addition, MB reduced the immunofluorescence intensity of TUNEL and ROS in cells and reduced apoptosis. The therapeutic effect of MB was attenuated after treatment with an Nrf2 inhibitor (ML385).Discussion and conclusion: This study provides a foundation for the application of MB-NE in the treatment of DW.</t>
  </si>
  <si>
    <t>[Gao, Yu; Tan, Qian] Nanjing Med Univ, Nanjing Drum Tower Hosp, Clin Coll, Nanjing, Peoples R China; [Jiang, Zhounan] Zhejiang Univ, Sch Med, Affiliated Hosp 2, Hangzhou, Peoples R China; [Xu, Bin] Hubei Xiangyang Cent Hosp, Xiangyang, Peoples R China; [Mo, Ran; Li, Shiyan; Jiang, Yanan; Zhao, Demei] Nanjing Univ, Nanjing Drum Tower Hosp, Affiliated Hosp, Dept Burns &amp; Plast Surg,Med Sch, Nanjing, Peoples R China; [Cao, Wangbin] Nanjing Lishui Hosp Tradit Chinese Med, Dept Orthoped, Nanjing, Peoples R China; [Chen, Bin] Inst Plant Resources &amp; Chem, Nanjing Res Inst Comprehens Utilizat Wild Plants, Nanjing, Peoples R China; [Tian, Meng] Tongji Univ, Shanghai Peoples Hosp 4, Sch Med, Dept Plast Surg, Shanghai, Peoples R China; [Tan, Qian] Nanjing Med Univ, Nanjing Drum Tower Hosp, Clin Coll, Nanjing 210008, Peoples R China</t>
  </si>
  <si>
    <t>Nanjing Medical University; Nanjing University; Zhejiang University; Nanjing University; Tongji University; Nanjing University; Nanjing Medical University</t>
  </si>
  <si>
    <t>Chen, B (corresponding author), Inst Plant Resources &amp; Chem, Nanjing Res Inst Comprehens Utilizat Wild Plants, Nanjing, Peoples R China.;Tian, M (corresponding author), Tongji Univ, Shanghai Peoples Hosp 4, Sch Med, Dept Plast Surg, Shanghai, Peoples R China.;Tan, Q (corresponding author), Nanjing Med Univ, Nanjing Drum Tower Hosp, Clin Coll, Nanjing 210008, Peoples R China.</t>
  </si>
  <si>
    <t>chen_bin_nj@163.com; mengtian9347@163.com; 843375639@qq.com</t>
  </si>
  <si>
    <t>10.1080/13880209.2023.2254341</t>
  </si>
  <si>
    <t>R7PU6</t>
  </si>
  <si>
    <t>WOS:001066246300001</t>
  </si>
  <si>
    <t>Garcia, S; Ordonez, S; Lopez-Molina, VM; Lacruz-Pleguezuelos, B; de Santa Pau, EC; Marcos-Zambrano, LJ</t>
  </si>
  <si>
    <t>Garcia, Silvia; Ordonez, Sheyla; Lopez-Molina, Victor Manuel; Lacruz-Pleguezuelos, Blanca; de Santa Pau, Enrique Carrillo; Marcos-Zambrano, Laura Judith</t>
  </si>
  <si>
    <t>Citizen science helps to raise awareness about gut microbiome health in people at risk of developing non-communicable diseases</t>
  </si>
  <si>
    <t>GUT MICROBES</t>
  </si>
  <si>
    <t>16S rRNA gene sequencing; co-occurrence networks; keystone taxa; participatory action research; citizen science; microbiota; photovoice; &gt;</t>
  </si>
  <si>
    <t>NUTRITION</t>
  </si>
  <si>
    <t>Citizens lack knowledge about the impact of gut microbiota on health and how lifestyle and dietary choices can influence it, leading to Non-Communicable Diseases (NCDs) and affecting overall well-being. Participatory action research (PAR) is a promising approach to enhance communication and encourage individuals to adopt healthier behaviors and improve their health. In this study, we explored the feasibility of integrating the photovoice method with citizen science approaches to assess the impact of social and environmental factors on gut microbiota health. In this context, citizen science approaches entailed the involvement of participants in the collection of samples for subsequent analysis, specifically gut microbiome assessment via 16S rRNA gene sequencing. We recruited 70 volunteers and organized six photovoice groups based on age and educational background. Participants selected 64 photographs that represented the influence of daily habits on gut microbiota health and created four photovoice themes. Analysis of the gut microbiome using 16S rRNA gene sequencing identified 474 taxa, and in-depth microbial analysis revealed three clusters of people based on gut microbiome diversity and body mass index (BMI). Our findings indicate that participants enhanced their knowledge of gut microbiome health through PAR activities, and we found a correlation between lower microbial diversity, higher BMI, and better achievement of learning outcomes. Using PAR as a methodology is an effective way to increase citizens' awareness and engagement in self-care, maintain healthy gut microbiota, and prevent NCD development. These interventions are particularly beneficial for individuals at higher risk of developing NCDs.</t>
  </si>
  <si>
    <t>[Garcia, Silvia; Ordonez, Sheyla; Lopez-Molina, Victor Manuel; Lacruz-Pleguezuelos, Blanca; Marcos-Zambrano, Laura Judith] IMDEA Food Inst, Precis Nutr &amp; Canc Res Program, Computat Biol Grp, Madrid, Spain; [de Santa Pau, Enrique Carrillo; Marcos-Zambrano, Laura Judith] IMDEA Food Inst, Precis Nutr &amp; Canc Res Program, Computat Biol Grp, Madrid 28049, Spain</t>
  </si>
  <si>
    <t>IMDEA Food Institute; IMDEA Food Institute</t>
  </si>
  <si>
    <t>de Santa Pau, EC; Marcos-Zambrano, LJ (corresponding author), IMDEA Food Inst, Precis Nutr &amp; Canc Res Program, Computat Biol Grp, Madrid 28049, Spain.</t>
  </si>
  <si>
    <t>enrique.carrillo@imdea.org; judith.marcos@imdea.org</t>
  </si>
  <si>
    <t>1949-0976</t>
  </si>
  <si>
    <t>1949-0984</t>
  </si>
  <si>
    <t>Gut Microbes</t>
  </si>
  <si>
    <t>10.1080/19490976.2023.2241207</t>
  </si>
  <si>
    <t>Gastroenterology &amp; Hepatology; Microbiology</t>
  </si>
  <si>
    <t>N8LY2</t>
  </si>
  <si>
    <t>WOS:001039476600001</t>
  </si>
  <si>
    <t>Gauthier, J; Morris-Janzen, D; Poole, A</t>
  </si>
  <si>
    <t>Gauthier, Josianne; Morris-Janzen, Dunavan; Poole, Alexander</t>
  </si>
  <si>
    <t>Iloprost for the treatment of frostbite: a scoping review</t>
  </si>
  <si>
    <t>Iloprost; prostacyclin; vasodilator; frostbite; cold injury; amputation; review</t>
  </si>
  <si>
    <t>We performed a scoping review to identify the extent of the literature describing the use of iloprost in the treatment of frostbite. Iloprost is a stable synthetic analog of prostaglandin I-2. As a potent inhibitor of platelet aggregation and vasodilator, it has been used to address the post-rewarming reperfusion injury in frostbite. The search using iloprost and frostbite as key words and MeSH terms yielded 200 articles. We included in our review the literature examining iloprost for the treatment of frostbite in humans in the form of primary research, conference proceedings and abstracts. Twenty studies published from 1994 to 2022 were selected for analysis. The majority were retrospective case series consisting of a homogeneous population of mountain sport enthusiasts. A total of 254 patients and over 1000 frostbitten digits were included among the 20 studies. The larger case series demonstrated a decrease in amputation rates relative to untreated patients. Primary gaps in the literature include a paucity of randomised trials and relatively limited study populations to date. While the case evidence is promising, a multi-centre collaboration would be crucial to adequately power prospective randomised studies to definitively determine if iloprost has a role in the treatment of frostbite.</t>
  </si>
  <si>
    <t>[Gauthier, Josianne; Poole, Alexander] Yukon Hosp Corp, Whitehorse Gen Hosp, Whitehorse, YT, Canada; [Morris-Janzen, Dunavan] Univ British Columbia, Northern Med Program, Prince George, BC, Canada; [Poole, Alexander] Univ Calgary, Cumming Sch Med, Dept Surg, Calgary, AB, Canada</t>
  </si>
  <si>
    <t>University of British Columbia; University of Calgary</t>
  </si>
  <si>
    <t>Poole, A (corresponding author), Yukon Hosp Corp, Whitehorse Gen Hosp, Whitehorse, YT, Canada.</t>
  </si>
  <si>
    <t>alexjpoole@mac.com</t>
  </si>
  <si>
    <t>10.1080/22423982.2023.2189552</t>
  </si>
  <si>
    <t>A1BC0</t>
  </si>
  <si>
    <t>WOS:000952542100001</t>
  </si>
  <si>
    <t>Gerrits, T; Kroes, H; Russell, S; van Rooij, F</t>
  </si>
  <si>
    <t>Gerrits, Trudie; Kroes, Hilde; Russell, Steve; van Rooij, Floor</t>
  </si>
  <si>
    <t>Breaking the silence around infertility: a scoping review of interventions addressing infertility-related gendered stigmatisation in low- and middle-income countries</t>
  </si>
  <si>
    <t>infertility; stigma; destigmatisation; awareness raising; counselling; education interventions; gender; low- and middle-income countries</t>
  </si>
  <si>
    <t>REPRODUCTIVE TECHNOLOGIES; STIGMA; WOMEN; MEN; CHILDLESS; MASCULINITIES; AWARENESS; CARE</t>
  </si>
  <si>
    <t>Infertility is a reproductive health concern that deserves attention, as reconfirmed by the 2018 report of the Guttmacher-Lancet Commission on Sexual and Reproductive Health and Rights (SRHR). However, governments and SRHR organisations tend to neglect infertility. We conducted a scoping review of existing interventions aiming to decrease the stigmatisation of infertility in low- and middle-income countries (LMICs). The review consisted of a combination of research methods: academic database (Embase, Socological abstracts, google scholar; resulting in 15 articles), Google and social media searches, and primary data collection (18 key informant interviews and 3 focus group discussions). The results distinguish between infertility stigma interventions targeted at intrapersonal, interpersonal and structural levels of stigma. The review shows that published studies on interventions tackling infertility stigmatisation in LMICs are rare. Nevertheless, we found several interventions at intra- and interpersonal levels aiming to support women and men to cope with and mitigate infertility stigmatisation (e.g. counselling, telephone hotlines, and support groups). A limited number of interventions addressed stigmatisation at a structural level (e.g. empowering infertile women to become financially independent). The review suggests that infertility destigmatisation interventions need to be implemented across all levels. Interventions geared to individuals experiencing infertility should include women and men and also be offered beyond the clinical setting; and interventions should also aim to combat stigmatising attitudes of family or community members. At the structural level, interventions could aim to empower women, reshape masculinities and improve access to and quality of comprehensive fertility care. Interventions should be undertaken by policymakers, professionals, activists, and others working on infertility in LMICs, and accompanied with evaluation research to assess their effectiveness.</t>
  </si>
  <si>
    <t>[Gerrits, Trudie] Univ Amsterdam, Dept Anthropol, Amsterdam, Netherlands; [Kroes, Hilde] Sexual &amp; Reprod Hlth &amp; Rights, Eefde, Netherlands; [Russell, Steve] Univ East Anglia, Sch Int Dev, Norwich, England; [van Rooij, Floor] Univ Amsterdam, Res Inst Child Dev &amp; Educ, Amsterdam, Netherlands</t>
  </si>
  <si>
    <t>University of Amsterdam; University of East Anglia; University of Amsterdam</t>
  </si>
  <si>
    <t>Gerrits, T (corresponding author), Univ Amsterdam, Dept Anthropol, Amsterdam, Netherlands.</t>
  </si>
  <si>
    <t>g.j.e.gerrits@uva.nl</t>
  </si>
  <si>
    <t>Share-Net Netherlands [2100637, 10201-2404]; Share-Net International</t>
  </si>
  <si>
    <t>Share-Net Netherlands; Share-Net International</t>
  </si>
  <si>
    <t>This work was supported by Share-Net International and Share-Net Netherlands [grant number 2100637; 10201-2404].</t>
  </si>
  <si>
    <t>10.1080/26410397.2022.2134629</t>
  </si>
  <si>
    <t>9D9NQ</t>
  </si>
  <si>
    <t>WOS:000936423300001</t>
  </si>
  <si>
    <t>Alrubaiee, GG; Alsabri, M; Al-Qadasi, FA; Al-Qalah, TAH; Cole, J; Alburiahy, YAG</t>
  </si>
  <si>
    <t>Ghaleb Alrubaiee, Gamil; Alsabri, Mohammed; Abdulrahman Al-Qadasi, Farouk; Ali Hussein Al-Qalah, Talal; Cole, Jennifer; Abdullah Ghaleb Alburiahy, Yaser</t>
  </si>
  <si>
    <t>Psychosocial Effects of COVID-19 pandemic on Yemeni healthcare workers: A Web-based, Cross-sectional Survey</t>
  </si>
  <si>
    <t>SARSCoV2; COVID19; psychosocial effects; healthcare workers; Yemen</t>
  </si>
  <si>
    <t>VALIDATION; OUTBREAK; ANXIETY</t>
  </si>
  <si>
    <t>Yemeni healthcare workers (HCWs) experience high levels of psychosocial stress. The current study provides a psychosocial assessment of Yemeni HCWs during the COVID19 pandemic and the factors that influence this. Between 6 November 2020, and 3 April 2021, 1220 HCWs inside Yemen self-reported levels of stress, anxiety, insomnia, depression and quality of life using a web-based, cross-sectional survey. According to the findings, 73.0%, 57.3%, 49.8%, 53.2%, and 85.2% of all HCWs reported moderate or severe stress, insomnia, anxiety, depression, and a lower quality of life, respectively. Significant positive correlations were found between stress and anxiety, insomnia, and depression scores, as well as anxiety and insomnia and depression, and insomnia and depression (p &lt; 0.001). There was also a significant inverse relationship between wellbeing scores and stress, anxiety, insomnia, and depression scores (p &lt; 0.001). A high percentage of respondents (85.8%) were 40 years old or younger and 72.7% had fewer than 10 years' experience, suggesting that experienced medics leave Yemen for safer and more secure jobs elsewhere. Psychosocial support to assist in building resilience to the prevailing conditions may need to be embedded in medical school training and continuing professional development to help support HCWs within Yemen and prevent even more from leaving the country.</t>
  </si>
  <si>
    <t>[Ghaleb Alrubaiee, Gamil] Hail Univ, Coll Nursing, Dept Community Hlth, Hail, Saudi Arabia; [Ghaleb Alrubaiee, Gamil] Al Razi Univ, Fac Med Sci, Dept Community Hlth, Sanaa, Yemen; [Alsabri, Mohammed] Al Thawra Modern Gen Teaching Hosp, Emergency Dept, Sanaa, Yemen; [Abdulrahman Al-Qadasi, Farouk] Int Org Migrat, Epidemiol &amp; Med Stat, Sanaa, Yemen; [Cole, Jennifer] Royal Holloway Univ London, Dept Hlth Studies, Egham, Surrey, England; [Abdullah Ghaleb Alburiahy, Yaser] Modern European Hosp, Emergency Dept, Sanaa, Yemen; [Alsabri, Mohammed] Hail Univ, Coll Nursing, Dept Med Surg, Hail, Saudi Arabia</t>
  </si>
  <si>
    <t>University Ha'il; University of London; Royal Holloway University London; University Ha'il</t>
  </si>
  <si>
    <t>Alsabri, M (corresponding author), Hail Univ, Coll Nursing, Dept Med Surg, Hail, Saudi Arabia.</t>
  </si>
  <si>
    <t>alsabri5000@gmail.com</t>
  </si>
  <si>
    <t>Cole, Jennifer/0000-0001-8787-8892</t>
  </si>
  <si>
    <t>10.1080/19932820.2023.2174291</t>
  </si>
  <si>
    <t>9I5ME</t>
  </si>
  <si>
    <t>WOS:000939553600001</t>
  </si>
  <si>
    <t>Gilbert, JM; Fruhen, LS; Burton, CT; Parker, SK</t>
  </si>
  <si>
    <t>Gilbert, Jessica M.; Fruhen, Laura S.; Burton, Cindy T.; Parker, Sharon K.</t>
  </si>
  <si>
    <t>The mental health of fly-in fly-out workers before and during COVID-19: a comparison study</t>
  </si>
  <si>
    <t>AUSTRALIAN JOURNAL OF PSYCHOLOGY</t>
  </si>
  <si>
    <t>Remote work; wellbeing; burnout; psychological distress; FIFO</t>
  </si>
  <si>
    <t>PSYCHOLOGICAL DISTRESS; BEHAVIORS; STABILITY; VALIDITY</t>
  </si>
  <si>
    <t>Objectives This study gives an overview of the impact of FIFO work on workers' mental health before and during COVID-19, using three comparison samples as well as norm data. It provides a timely update on FIFO workers' mental health and how it has been impacted during COVID-19. Method Comparisons are conducted with three participant samples, namely two FIFO worker samples (one before and one during the Covid pandemic) and a purposefully sampled benchmark sample, and Australian population norm data on mental health. Constructs included in surveys were psychological distress, burnout, suicide intention, as well as social, psychological, and emotional wellbeing. Results FIFO workers were found to have worse mental health than the matched benchmark sample, and the Australian norm samples pre-COVID-19. Differences between FIFO workers and the matched benchmark sample persisted for psychological distress and burnout after controlling for demographic factors. Mental ill-health and poor well-being were higher during the COVID-19 pandemic than before. Conclusions FIFO workers need to be considered an at-risk group for adverse mental health outcomes, and this is even more so the case during COVID-19. Findings are attributable to the experience of FIFO work as well as the demographic character of the workforce.</t>
  </si>
  <si>
    <t>[Gilbert, Jessica M.; Burton, Cindy T.; Parker, Sharon K.] Curtin Univ, Future Work Inst, Ctr Transformat Work Design, Perth, Australia; [Fruhen, Laura S.] Univ Western Australia, Sch Psychol Sci, Psychol Work Lab, Perth, Australia</t>
  </si>
  <si>
    <t>Curtin University; University of Western Australia</t>
  </si>
  <si>
    <t>Gilbert, JM (corresponding author), Curtin Univ, Future Work Inst, Ctr Transformat Work Design, Perth, Australia.</t>
  </si>
  <si>
    <t>Jess.Gilbert@curtin.edu.au</t>
  </si>
  <si>
    <t>Fruhen, Laura/0000-0002-9599-3468; Parker, Sharon/0000-0002-0978-1873</t>
  </si>
  <si>
    <t>Mental Health Commission WA [MHC 17/2944]</t>
  </si>
  <si>
    <t>Mental Health Commission WA</t>
  </si>
  <si>
    <t>This work was supported by Mental Health Commission WA grant number MHC 17/2944 (2017 - 2018).</t>
  </si>
  <si>
    <t>0004-9530</t>
  </si>
  <si>
    <t>1742-9536</t>
  </si>
  <si>
    <t>AUST J PSYCHOL</t>
  </si>
  <si>
    <t>Aust. J. Psychol.</t>
  </si>
  <si>
    <t>10.1080/00049530.2023.2170280</t>
  </si>
  <si>
    <t>Psychology, Multidisciplinary</t>
  </si>
  <si>
    <t>Psychology</t>
  </si>
  <si>
    <t>9F9IV</t>
  </si>
  <si>
    <t>WOS:000937777200001</t>
  </si>
  <si>
    <t>Gonzalez, R; Merialdi, M; Viviani, P; Haye, MT; Cartes, G; Requejo, J; Gutierrez, J</t>
  </si>
  <si>
    <t>Gonzalez, Rogelio; Merialdi, Mario; Viviani, Paola; Haye, Maria Teresa; Cartes, Giorgia; Requejo, Jennifer; Gutierrez, Jorge</t>
  </si>
  <si>
    <t>Indirect effect of COVID-19 on maternal mortality in Chile</t>
  </si>
  <si>
    <t>Letter</t>
  </si>
  <si>
    <t>[Gonzalez, Rogelio; Gutierrez, Jorge] Complejo Hosp Hosp San Jose, Dept Obstet &amp; Ginecol, Santiago, Chile; [Gonzalez, Rogelio] Clin Las Condes, Santiago, Chile; [Merialdi, Mario] Maternal &amp; Newborn Hlth Innovat, PBC, Seattle, WA USA; [Viviani, Paola] Pontificia Univ Catolica Chile, Dept Salud Publ, Santiago, Chile; [Haye, Maria Teresa] Univ Desarrollo, Clin Alemana, Santiago, Chile; [Cartes, Giorgia] Minist Salud Chile, Santiago, Chile; [Requejo, Jennifer] UNICEF HQ, Div Data Analyt Planning &amp; Monitoring, New York, NY USA</t>
  </si>
  <si>
    <t>Clinica Las Condes; Pontificia Universidad Catolica de Chile; Clinica Alemana; Universidad del Desarrollo; UNICEF</t>
  </si>
  <si>
    <t>Gonzalez, R (corresponding author), Complejo Hosp Hosp San Jose, Dept Obstet &amp; Ginecol, Santiago, Chile.;Gonzalez, R (corresponding author), Clin Las Condes, Santiago, Chile.</t>
  </si>
  <si>
    <t>Gonzalez, Rogelio/0000-0003-3133-3927</t>
  </si>
  <si>
    <t>10.1080/14767058.2023.2183758</t>
  </si>
  <si>
    <t>9N0HU</t>
  </si>
  <si>
    <t>WOS:000942601900001</t>
  </si>
  <si>
    <t>Graziano, T; Ruggiero, L</t>
  </si>
  <si>
    <t>Graziano, Teresa; Ruggiero, Luca</t>
  </si>
  <si>
    <t>From periphery to growth pole (and back again?): late industrialism, smart strategies and tourism in south-eastern Sicily</t>
  </si>
  <si>
    <t>core-periphery; post-industrialization; tourism-led development; environmental impact; smart strategy</t>
  </si>
  <si>
    <t>EVOLUTIONARY ECONOMIC-GEOGRAPHY; CREATIVE INDUSTRIES; RETROSPECTIVE VIEW; VIOLENCE; HISTORY; PERIPHERALIZATION; REGIONS</t>
  </si>
  <si>
    <t>This article provides new insights into the relationship between industrialization and new forms of post-industrial development. Adopting a historical sensibility, it frames the contemporary development of the local economy of the city of Siracusa, in south-east Sicily, in an evolutionary historical perspective. The article focuses on the recent process of touristification of the city and surrounding area, analysing this process in connection with the industrialization and growth-pole strategy implemented in south-east Sicily in the post-war period. Emphasis is placed on the narratives that have been mobilized to justify different forms of development in the area, focusing in particular on the recurrent representation of the area as a periphery. Pointing out the selective use of visions of the past in post-industrial development strategies, the authors highlight how an uncomfortable industrial past has been removed from the main narratives to envision the city of Siracusa as moving towards a new phase of capitalist development. Finally, the article provides novel insights into the critical literature on tourism, showing that tourism, narrated and promoted as a sustainable and eco-compatible alternative to industrialization in Siracusa, can in fact produce highly negative impacts on the local environment and communities.</t>
  </si>
  <si>
    <t>[Graziano, Teresa] Univ Catania, Dept Agr Food &amp; Environm, Catania, Italy; [Ruggiero, Luca] Univ Catania, Dept Polit &amp; Social Sci, Catania, Italy</t>
  </si>
  <si>
    <t>University of Catania; University of Catania</t>
  </si>
  <si>
    <t>Graziano, T (corresponding author), Univ Catania, Dept Agr Food &amp; Environm, Catania, Italy.</t>
  </si>
  <si>
    <t>teresa.graziano@unict.it</t>
  </si>
  <si>
    <t>Ruggiero, Luca/AAF-4707-2020</t>
  </si>
  <si>
    <t>Ruggiero, Luca/0000-0002-6665-415X; GRAZIANO, TERESA/0000-0002-6478-1075</t>
  </si>
  <si>
    <t>10.1080/21681376.2023.2168211</t>
  </si>
  <si>
    <t>8M8YD</t>
  </si>
  <si>
    <t>WOS:000924743000001</t>
  </si>
  <si>
    <t>Groenland, EH; Vendeville, JPAC; Bots, ML; Visseren, FLJ; Musson, REA; Spiering, W</t>
  </si>
  <si>
    <t>Groenland, Eline H.; Vendeville, Jean-Paul A. C.; Bots, Michiel L.; Visseren, Frank L. J.; Musson, Ruben E. A.; Spiering, Wilko</t>
  </si>
  <si>
    <t>Validation of spot urine in estimating 24-h urinary sodium, potassium and sodium-to-potassium ratio during three different sodium diets in healthy adults</t>
  </si>
  <si>
    <t>BLOOD PRESSURE</t>
  </si>
  <si>
    <t>Sodium intake; urinary salt excretion; self-monitoring; 24-h urine collection; sodium-to-potassium ratio; Kawasaki; INTERSALT; Tanaka</t>
  </si>
  <si>
    <t>SODIUM/POTASSIUM RATIO; CASUAL URINE; BLOOD-PRESSURE; EXCRETION; FORMULAS; SUFFICIENT; SPECIMENS; KINETICS</t>
  </si>
  <si>
    <t>Purpose To evaluate the validity of spot urine assay methods in estimating the 24-h urinary sodium, potassium and sodium-to-potassium ratio during three different sodium diets. Materials and methods Twelve healthy volunteers were asked to adhere to 3 dietary sodium targets (3.3-5.0g/day,5.0 g/day) for three consecutive weeks and to measure salt excretion daily in spot urine samples using a self-monitoring device. On day 7 of each week, 24-h urine was collected to compare measured with estimated 24-h salt excretion (by the Kawasaki, Tanaka and INTERSALT equations). Results Correlation coefficients relating measured and estimated 24-h sodium excretion were low and not significant for Kawasaki and INTERSALT and moderate for the Tanaka equation (tau 0.56-0.64,p&lt;.05). Bland-Altman plots showed considerable differences between estimated and measured sodium excretion across all salt diets. Over 40% of the participants showed an absolute difference between measured and estimated 24-h sodium of more than 1000 mg/day. The correlation coefficients between 24-h and spot Na/K ratio were 0.67, 0.94 and 0.85(p&lt;.05), and mean differences were 0.59, 0.06 and 0.48 for the intermediate, low and high sodium diets, respectively. Conclusion These findings do not support estimation of individual 24-h salt excretion from spot urine by the Kawasaki, Tanaka, or INTERSALT formula. Plain language summary Accurate monitoring of salt intake is essential to improve BP control. At present, measurement of sodium and potassium excretion in multiple non-consecutive 24-h urinary collections is considered the gold standard for measuring dietary sodium intake. However, this method is burdensome, time-consuming and error prone. Therefore, we assessed and compared the validity of three formula-based approaches to estimate 24-h urinary sodium and potassium excretion and the Na/K ratio from spot urine samples measured by a self-monitoring device under three different sodium diets using 24-h urine collections as the reference. We conclude that use of three commonly used equations that estimate 24-h urinary sodium and potassium excretion result in substantial bias, poor precision and poor accuracy and are therefore not recommended. The Na/K ratio based on multiple casual urine samples may be a useful, low-burden, low-cost alternative method to 24-h urine collection for monitoring daily salt intake.</t>
  </si>
  <si>
    <t>[Groenland, Eline H.; Vendeville, Jean-Paul A. C.; Visseren, Frank L. J.; Spiering, Wilko] Univ Utrecht, Univ Med Ctr Utrecht, Dept Vasc Med, Utrecht, Netherlands; [Bots, Michiel L.] Univ Utrecht, Univ Med Ctr Utrecht, Julius Ctr Hlth Sci &amp; Primary Care, Utrecht, Netherlands; [Musson, Ruben E. A.] Univ Med Ctr Utrecht, Dept Clin Chem &amp; Haematol, Utrecht, Netherlands; [Spiering, Wilko] Univ Utrecht, Univ Med Ctr Utrecht, Dept Vasc Med, POB 85500, NL-3508 GA Utrecht, Netherlands</t>
  </si>
  <si>
    <t>Utrecht University; Utrecht University Medical Center; Utrecht University; Utrecht University Medical Center; Utrecht University; Utrecht University Medical Center; Utrecht University; Utrecht University Medical Center</t>
  </si>
  <si>
    <t>Spiering, W (corresponding author), Univ Utrecht, Univ Med Ctr Utrecht, Dept Vasc Med, POB 85500, NL-3508 GA Utrecht, Netherlands.</t>
  </si>
  <si>
    <t>w.spiering@umcutrecht.nl</t>
  </si>
  <si>
    <t>0803-7051</t>
  </si>
  <si>
    <t>1651-1999</t>
  </si>
  <si>
    <t>Blood Pressure</t>
  </si>
  <si>
    <t>10.1080/08037051.2023.2170868</t>
  </si>
  <si>
    <t>Peripheral Vascular Disease</t>
  </si>
  <si>
    <t>Cardiovascular System &amp; Cardiology</t>
  </si>
  <si>
    <t>8T2VN</t>
  </si>
  <si>
    <t>WOS:000929126300001</t>
  </si>
  <si>
    <t>Guan, SH; Chai, YQ; Hao, Q; Ma, YD; Wan, WL; Liu, HY; Diao, M</t>
  </si>
  <si>
    <t>Guan, Sihui; Chai, Yaqian; Hao, Qing; Ma, Yadong; Wan, Wenliang; Liu, Huiying; Diao, Ming</t>
  </si>
  <si>
    <t>Transcriptomic and physiological analysis reveals crucial biological pathways associated with low-temperature stress in Tunisian soft-seed pomegranate (Punica granatum L.)</t>
  </si>
  <si>
    <t>JOURNAL OF PLANT INTERACTIONS</t>
  </si>
  <si>
    <t>Pomegranate; cold stress; transcriptome; differentially expressed genes; biological pathways</t>
  </si>
  <si>
    <t>COLD STRESS; FREEZING TOLERANCE; RESPONSIVE GENES; ABIOTIC STRESS; EXPRESSION; OVEREXPRESSION; IDENTIFICATION; ARABIDOPSIS; RECOVERY; DROUGHT</t>
  </si>
  <si>
    <t>Low temperature severely affects the growth of pomegranate in the early spring during the production process under protected cultivation. To understand the molecular responses to cold stress in Tunisian soft-seed pomegranate, this study investigated the transcriptome profiles and physiological changes of pomegranate leaves exposed to cold stress (6 degrees C) and freezing stress (0 degrees C). Some potential cold response/resistance genes involved in plant hormone signal transduction, photosynthetic systems and carbon fixation in the C4 pathway, and sucrose and galactose metabolism were identified. In addition, an analysis of physiological indicators indicated that both stresses caused cell membrane damage; the accumulation of soluble sugar, soluble protein and proline; and the occurrence of photoinhibition owing to the damage in photosynthetic apparatus and the decrease in light energy conversion efficiency and electron transfer rate as shown by the decrease in net photosynthetic rate [Pn], potential maximum photochemical efficiency of PSII [Fv/Fm], actual photochemical efficiency of PSII [YII] and photochemical quenching coefficient [qP], and the effect was much moresevere in pomegranate under freezing stress. This study results offer useful information to understand the molecular mechanism of pomegranate response to cold stress and also lay a foundation for the selection of major candidate genes to conduct molecular breeding for cold tolerance in pomegranate.</t>
  </si>
  <si>
    <t>[Guan, Sihui; Chai, Yaqian; Ma, Yadong; Wan, Wenliang; Liu, Huiying; Diao, Ming] Shihezi Univ, Agr Coll, Dept Hort, Key Lab Special Fruits &amp; Vegetables Cultivat Physi, Shihezi 832003, Peoples R China; [Guan, Sihui; Hao, Qing] Xinjiang Acad Agr Sci, Inst Hort Crops, Urumqi, Peoples R China</t>
  </si>
  <si>
    <t>Shihezi University; Xinjiang Academy of Agricultural Sciences</t>
  </si>
  <si>
    <t>Liu, HY; Diao, M (corresponding author), Shihezi Univ, Agr Coll, Dept Hort, Key Lab Special Fruits &amp; Vegetables Cultivat Physi, Shihezi 832003, Peoples R China.</t>
  </si>
  <si>
    <t>liuhy_bce@shzu.edu.cn; diaoming@shzu.edu.cn</t>
  </si>
  <si>
    <t>Key Projects of Science and Technology Research and Development of Xinjiang Production and Construction Corps; [2021AB015]</t>
  </si>
  <si>
    <t>Key Projects of Science and Technology Research and Development of Xinjiang Production and Construction Corps;</t>
  </si>
  <si>
    <t>This work was funded by Key Projects of Science and Technology Research and Development of Xinjiang Production and Construction Corps (2021AB015).</t>
  </si>
  <si>
    <t>1742-9145</t>
  </si>
  <si>
    <t>1742-9153</t>
  </si>
  <si>
    <t>J PLANT INTERACT</t>
  </si>
  <si>
    <t>J. Plant Interact.</t>
  </si>
  <si>
    <t>10.1080/17429145.2022.2152887</t>
  </si>
  <si>
    <t>Plant Sciences; Ecology</t>
  </si>
  <si>
    <t>Plant Sciences; Environmental Sciences &amp; Ecology</t>
  </si>
  <si>
    <t>7J5EU</t>
  </si>
  <si>
    <t>WOS:000904605300001</t>
  </si>
  <si>
    <t>Guo, QH; He, JL; Gong, XZ; He, WF; He, GL</t>
  </si>
  <si>
    <t>Guo, Qing-Hua; He, Jing-Ling; Gong, Xiao-Zhen; He, Wen-Fang; He, Guang-Lian</t>
  </si>
  <si>
    <t>Traditional Chinese medicine treatments in a woman with a recurrent peritoneal inclusion cyst: a case report</t>
  </si>
  <si>
    <t>JOURNAL OF OBSTETRICS AND GYNAECOLOGY</t>
  </si>
  <si>
    <t>Peritoneal inclusion cysts; recurrent; traditional Chinese medicine; treatments; lifestyle management; case report</t>
  </si>
  <si>
    <t>MESOTHELIOMA</t>
  </si>
  <si>
    <t>[Guo, Qing-Hua; He, Jing-Ling; He, Guang-Lian] Guangzhou Univ Chinese Med, Affiliated Hosp 2, Dept Gynaecol, Guangzhou, Peoples R China; [Gong, Xiao-Zhen] Guangzhou Univ Chinese Med, Affiliated Hosp 2, Nursing Dept, Guangzhou, Peoples R China; [He, Wen-Fang] Guangzhou Univ Chinese Med, Affiliated Hosp 2, Dept Resp &amp; Digest Med, Guangzhou, Peoples R China; [He, Guang-Lian] Guangzhou Univ Chinese Med, Affiliated Hosp 2, Dept Gynaecol, 261 Datong Rd, Guangzhou 510105, Peoples R China</t>
  </si>
  <si>
    <t>Guangzhou University of Chinese Medicine; Guangzhou University of Chinese Medicine; Guangzhou University of Chinese Medicine; Guangzhou University of Chinese Medicine</t>
  </si>
  <si>
    <t>He, GL (corresponding author), Guangzhou Univ Chinese Med, Affiliated Hosp 2, Dept Gynaecol, 261 Datong Rd, Guangzhou 510105, Peoples R China.</t>
  </si>
  <si>
    <t>15920107152@163.com</t>
  </si>
  <si>
    <t>zhang, xu/JEO-4879-2023; Zhang, Yun/JCN-7026-2023; li, xiang/JCN-9316-2023; Liu, Jie/JCP-1070-2023</t>
  </si>
  <si>
    <t>Guanglian, He/0000-0002-6381-4066</t>
  </si>
  <si>
    <t>0144-3615</t>
  </si>
  <si>
    <t>1364-6893</t>
  </si>
  <si>
    <t>J OBSTET GYNAECOL</t>
  </si>
  <si>
    <t>J. Obstet. Gynaecol.</t>
  </si>
  <si>
    <t>10.1080/01443615.2023.2171775</t>
  </si>
  <si>
    <t>8P1EB</t>
  </si>
  <si>
    <t>WOS:000926271800001</t>
  </si>
  <si>
    <t>Habibi, S; Rashidi, A</t>
  </si>
  <si>
    <t>Habibi, Shaghayegh; Rashidi, Armin</t>
  </si>
  <si>
    <t>Fecal microbiota transplantation in hematopoietic cell transplant and cellular therapy recipients: lessons learned and the path forward</t>
  </si>
  <si>
    <t>Cellular therapy; Dysbiosis; Fecal microbiota transplantation; Graft-versus-host disease; Hematopoietic cell transplantation; Microbiota</t>
  </si>
  <si>
    <t>VERSUS-HOST-DISEASE; CLOSTRIDIUM-DIFFICILE INFECTION; CHAIN FATTY-ACIDS; GUT MICROBIOTA; INTESTINAL MICROBIOTA; RESISTANT BACTERIA; PEDIATRIC-PATIENTS; ACUTE GVHD; ANTIBIOTICS; DIVERSITY</t>
  </si>
  <si>
    <t>Disruptions to the gut microbiota have been associated with adverse outcomes including graft-versus-host disease, infections, and mortality after hematopoietic cell transplantation and cellular therapy. Evidence for causal links is accumulating, thus supporting therapeutic interventions targeting the microbiota with the goal of preventing and treating adverse outcomes. One such intervention is fecal microbiota transplantation (FMT) by which an entire community of gut microbiota is transferred to the patient with dysbiosis. As this approach in transplant and cellular therapy recipients is still in its infancy, no best approach has been defined and many open questions need to be addressed before FMT becomes a standard treatment. In this review, we highlight microbiota-outcome associations with the highest level of evidence, provide an overview of the main FMT trials, and suggest some paths forward.</t>
  </si>
  <si>
    <t>[Habibi, Shaghayegh] Lucy Curci Canc Ctr, Eisenhower Hlth, Rancho Mirage, CA USA; [Rashidi, Armin] Univ Washington, Fred Hutchinson Canc Ctr, Clin Res Div, Seattle, WA USA; [Rashidi, Armin] Univ Washington, Div Oncol, Seattle, WA USA; [Rashidi, Armin] Univ Washington, Fred Hutchinson Canc Ctr, Clin Res Div, 1100 Fairview Ave N,Thomas Bldg,D1-100, Seattle, WA 98109 USA; [Rashidi, Armin] Univ Washington, Div Oncol, 1100 Fairview Ave N,Thomas Bldg,D1-100, Seattle, WA 98109 USA</t>
  </si>
  <si>
    <t>University of Washington; University of Washington Seattle; Fred Hutchinson Cancer Center; University of Washington; University of Washington Seattle; University of Washington; University of Washington Seattle; Fred Hutchinson Cancer Center; University of Washington; University of Washington Seattle</t>
  </si>
  <si>
    <t>Rashidi, A (corresponding author), Univ Washington, Fred Hutchinson Canc Ctr, Clin Res Div, 1100 Fairview Ave N,Thomas Bldg,D1-100, Seattle, WA 98109 USA.;Rashidi, A (corresponding author), Univ Washington, Div Oncol, 1100 Fairview Ave N,Thomas Bldg,D1-100, Seattle, WA 98109 USA.</t>
  </si>
  <si>
    <t>arashidi@fredhutch.org</t>
  </si>
  <si>
    <t>10.1080/19490976.2023.2229567</t>
  </si>
  <si>
    <t>K4NH2</t>
  </si>
  <si>
    <t>WOS:001016216900001</t>
  </si>
  <si>
    <t>Hanna, HWZ; Salam, R; Youssef, MM; El Aziz, RA; Saeed, M</t>
  </si>
  <si>
    <t>Hanna, Hany William Z.; Salam, Randa; Youssef, Mohamed Mamdouh; El Aziz, Rokaya A. B. D.; Saeed, Moustafa</t>
  </si>
  <si>
    <t>Cardiac Troponin-I and COVID-19: a prognostic tool for in-hospital mortality</t>
  </si>
  <si>
    <t>ALEXANDRIA JOURNAL OF MEDICINE</t>
  </si>
  <si>
    <t>COVID-19; Troponin-I; in-hospital mortality; mechanical ventilation; &gt;</t>
  </si>
  <si>
    <t>CARE</t>
  </si>
  <si>
    <t>Introduction Severe acute respiratory syndrome coronavirus 2 (SARS-CoV-2) has caused Coronavirus disease 2019 (COVID-19) emerging outbreak. In up to 15% of cases, the clinical course of the disease may get complicated to a severe form of interstitial pneumonia, acute respiratory distress syndrome (ARDS) and/or multi-organ failure (MOF) and death. So, our cross-sectional study was conducted to evaluate cardiac troponin I as a prognostic factor for poor in-hospital outcome in patients admitted with COVID-19 infection. Methods Study included 101 confirmed COVID-19 patients with age &gt; 18 years old, of any gender, survivors (74 patients) and non-survivors (27 patients), with no history of any cardiac or pulmonary disease. They were subjected to medical history, clinical examination and laboratory investigations including cardiac troponin I, CBC, urea, creatinine, AST, ALT, CRP, D-Dimer, INR, Na, K and ABG. During their hospital stay, a comparison was done among all sociodemographic data, vital signs on admission, laboratory findings including troponin I level, clinical outcome (need for mechanical ventilation and length of mechanical ventilation if needed), CT chest, CORADS score and APACHI II score between both groups. Results The mean troponin levels showed statistically significant difference between COVID-19 survivors and non-survivors (P-value = 0.001). Significant lower number of survivors needed mechanical ventilation compared to the non survivors (p-value &lt;0.001). The non-survivors group has significantly higher APACHE II score compared to the survivors group (p-value &lt;0.001). At the cutoff point of 0.65 the sensitivity of troponin I as a predictor of mortality in COVID-19 patients is 63.0% and the specificity is 90.5%. Conclusion Cardiac Troponin I is a good prognostic factor for poor in-hospital outcomes among COVID-19 patients; it can predict the need for mechanical ventilation and the in-hospital mortality, however it couldn't predict the length of mechanical ventilation among those patients.</t>
  </si>
  <si>
    <t>[Hanna, Hany William Z.] Cairo Univ, Fac Med, Dept Clin &amp; Chem Pathol, Cairo, Egypt; [Salam, Randa; Youssef, Mohamed Mamdouh; El Aziz, Rokaya A. B. D.; Saeed, Moustafa] Cairo Univ, Fac Med, Dept Internal Med, Cairo, Egypt; [Hanna, Hany William Z.] Fac Med, Clin &amp; Chem Pathol, Cairo, Egypt</t>
  </si>
  <si>
    <t>Egyptian Knowledge Bank (EKB); Cairo University; Egyptian Knowledge Bank (EKB); Cairo University</t>
  </si>
  <si>
    <t>Hanna, HWZ (corresponding author), Fac Med, Clin &amp; Chem Pathol, Cairo, Egypt.</t>
  </si>
  <si>
    <t>Hanywilliam@kasralainy.edu.eg</t>
  </si>
  <si>
    <t>Hanna, Hany William Z./JAN-6511-2023</t>
  </si>
  <si>
    <t>Hanna, Hany William Z./0000-0002-2988-3957</t>
  </si>
  <si>
    <t>2090-5068</t>
  </si>
  <si>
    <t>2090-5076</t>
  </si>
  <si>
    <t>ALEX J MED</t>
  </si>
  <si>
    <t>Alex. J. Med.</t>
  </si>
  <si>
    <t>10.1080/20905068.2023.2237757</t>
  </si>
  <si>
    <t>M8QL0</t>
  </si>
  <si>
    <t>WOS:001032805100001</t>
  </si>
  <si>
    <t>Harakeh, S; Saber, SH; Al-Raddadi, R; Alamri, T; Al-Jaouni, S; Qari, M; Qari, Y; Haque, S; Zawawi, A; Ali, SS; Elmageed, ZYA; Mousa, S</t>
  </si>
  <si>
    <t>Harakeh, Steve; Saber, Saber H.; Al-Raddadi, Rajaa; Alamri, Turki; Al-Jaouni, Soad; Qari, Mohammed; Qari, Yousef; Haque, Shafiul; Zawawi, Ayat; Ali, Soad S.; Elmageed, Zakaria Y. Abd; Mousa, Shaker</t>
  </si>
  <si>
    <t>Novel curcumin nanoformulation induces apoptosis, and reduces migration and angiogenesis in liver cancer cells</t>
  </si>
  <si>
    <t>Curcumin nanoparticles; liver cancer cells; migration; chick embryo angiogenic assay; proapoptotic pathway; &gt;</t>
  </si>
  <si>
    <t>CHORIOALLANTOIC MEMBRANE CAM; PLGA NANOPARTICLES; LOADED PLGA; CO-DELIVERY; HEPATOCELLULAR-CARCINOMA; MODEL; BIOAVAILABILITY; FORMULATION; PACLITAXEL; SORAFENIB</t>
  </si>
  <si>
    <t>Background Curcumin has been used in the treatment of several diseases; however, its low pharmacologic profile reduces its therapeutic use. Towards improving its biological activity, nanoformulations have emerged. Thus, we aimed to determine whether curcumin nanoparticles (Cur-NPs) coated with PEG/chitosan improve the treatment of liver cancer (LC) cells and underpin the molecular mechanisms underlying their anti-cancer activity. Methods Cur-NPs were synthesised in the form of Cur-PLGA-PEG/chitosan NPs. The effect of Cur-NPs was assessed in HepG2 and Huh 7 LC cells and THLE-2 normal liver cells. Results The size of synthesised Cur-NPS was determined in the standard range of 141.2 &amp; PLUSMN; 47.5 nm. Compared to THLE-2 cells, LC cells treated with Cur-NPs exerted cytotoxicity at 6.25 &amp; mu;g/mL after 48h. Treatment of HepG-2 cells with 2.5 &amp; mu;g/mL of Cur-NPs inhibited cell migration and this inhibition was augmented at 10 &amp; mu;g/mL (p &lt; 0.001). Treatment of chicken embryo with 5 &amp; mu;g/mL Cur-NPs reduced angiogenesis (p &lt; 0.001) of 4-day-old embryos. The nanoformulation upregulated Bax and p53 and downregulated Bcl-2 in a concentration-dependent manner and subsequently induce apoptosis in HepG-2 cells. Conclusion Treatment of LC cells with Cur-NPs decreased cell proliferation, migration, and angiogenesis, and induced cell death by promoting the proapoptotic pathway.</t>
  </si>
  <si>
    <t>[Harakeh, Steve] King Abdulaziz Univ, King Fahd Med Res Ctr, Jeddah, Saudi Arabia; [Harakeh, Steve; Al-Jaouni, Soad] King Abdulaziz Univ, Fac Med, Yousef Abdul Latif Jameel Sci Chair Prophet Med Ap, Jeddah, Saudi Arabia; [Saber, Saber H.] Assiut Univ, Fac Sci, Dept Zool, Lab Mol Cell Biol, Assiut, Egypt; [Al-Raddadi, Rajaa] King Abdulaziz Univ, Fac Med, Dept Community Med, Jeddah, Saudi Arabia; [Alamri, Turki] King Abdulaziz Univ, Fac Med Rabigh, Family &amp; Community Med Dept, Jeddah, Saudi Arabia; [Al-Jaouni, Soad; Qari, Mohammed] King Abdulaziz Univ, King Abdulaziz Univ Hosp, Fac Med, Dept Hematol Pediat Oncol, Jeddah, Saudi Arabia; [Qari, Yousef] King Abdulaziz Univ, King Abdulaziz Univ Hosp, Dept Med, Jeddah, Saudi Arabia; [Haque, Shafiul] Jazan Univ, Coll Nursing &amp; Allied Hlth Sci, Res &amp; Sci Studies Unit, Jazan, Saudi Arabia; [Zawawi, Ayat] King Abdulaziz Univ, Fac Appl Med Sci, Dept Med Lab Sci, Jeddah, Saudi Arabia; [Ali, Soad S.] King Abdulaziz Univ, Fac Med, Anat Dept, Jeddah, Saudi Arabia; [Elmageed, Zakaria Y. Abd] Univ Monroe, Edward Via Coll Osteopath Med, Dept Pharmacol, Monroe, LA USA; [Mousa, Shaker] Albany Coll Pharm &amp; Hlth Sci, Pharmaceut Res Inst, Rensselaer, NY USA; [Mousa, Shaker] Albany Coll Pharm &amp; Hlth Sci, Pharmaceut Res Inst, Rensselaer, NY 12144 USA</t>
  </si>
  <si>
    <t>King Abdulaziz University; King Abdulaziz University; Egyptian Knowledge Bank (EKB); Assiut University; King Abdulaziz University; King Abdulaziz University; King Abdulaziz University; King Abdulaziz University Hospital - Jeddah; King Abdulaziz University; King Abdulaziz University Hospital - Jeddah; Jazan University; King Abdulaziz University; King Abdulaziz University; Albany College of Pharmacy &amp; Health Sciences; Albany College of Pharmacy &amp; Health Sciences</t>
  </si>
  <si>
    <t>Harakeh, S (corresponding author), King Abdulaziz Univ, King Fahd Med Res Ctr, Jeddah, Saudi Arabia.;Mousa, S (corresponding author), Albany Coll Pharm &amp; Hlth Sci, Pharmaceut Res Inst, Rensselaer, NY 12144 USA.</t>
  </si>
  <si>
    <t>sharakeh@gmail.com; shaker.mouse@acphs.edu</t>
  </si>
  <si>
    <t>Amri, Turki Al/B-3384-2017</t>
  </si>
  <si>
    <t>Amri, Turki Al/0000-0003-4382-4109</t>
  </si>
  <si>
    <t>Institutional Fund Projects [IFPRC-052-248-2020]; Ministry of Education; King Abdulaziz University, Jeddah, Saudi Arabia</t>
  </si>
  <si>
    <t>Institutional Fund Projects; Ministry of Education; King Abdulaziz University, Jeddah, Saudi Arabia</t>
  </si>
  <si>
    <t>This research work was funded by Institutional Fund Projects under grant no (IFPRC-052-248-2020). Therefore, authors gratefully acknowledge technical and financial support from the Ministry of Education and King Abdulaziz University, Jeddah, Saudi Arabia.</t>
  </si>
  <si>
    <t>10.1080/21691401.2023.2238756</t>
  </si>
  <si>
    <t>O0FE5</t>
  </si>
  <si>
    <t>WOS:001040656700001</t>
  </si>
  <si>
    <t>Hasanzadeh, K; Fagerholm, N; Skov-Petersen, H; Olafsson, AS</t>
  </si>
  <si>
    <t>Hasanzadeh, Kamyar; Fagerholm, Nora; Skov-Petersen, Hans; Olafsson, Anton Stahl</t>
  </si>
  <si>
    <t>A methodological framework for analyzing PPGIS data collected in 3D</t>
  </si>
  <si>
    <t>3D; GIS; landscape; metrics; PPGIS</t>
  </si>
  <si>
    <t>PUBLIC-PARTICIPATION GIS; ECOSYSTEM SERVICES; GEOGRAPHIC INFORMATION; VALUES; KNOWLEDGE; VISUALIZATION; ACCESSIBILITY; ENVIRONMENT; MANAGEMENT; METRICS</t>
  </si>
  <si>
    <t>Public participation geographic information system (PPGIS) is a facilitated Volunteered Geographic Information approach and data collection method that aims to capture the spatial experiences of individuals. Although we experience the space around us three-dimensionally, altitude, as the third dimension, has been often absent from PPGIS research and practice. This is largely because of the complexity of implementing surveys in 3D but can also be attributed to a lack of analytical preparedness for using such data. This study complements 3D PPGIS data collected from a pilot study of the Aninkainen block in Turku, Finland with synthetic, i.e. artificially manufactured, data to propose an analytical framework for the study of 3D PPGIS data. The analytical framework divides methods based on the geographical scale into two groups: micro- and macro-scale analysis. In this framework, we propose the use of geospatial metrics to analyze 3D PPGIS data. We argue that while this multidisciplinary area of research is in its infancy, use of intuitive 3D adapted geometric and landscape metrics can help overcome some of complexities associated with use of this emerging participatory data. We conclude by outlining the limitations and envisioning areas for future research.</t>
  </si>
  <si>
    <t>[Hasanzadeh, Kamyar; Fagerholm, Nora] Univ Turku, Dept Geog &amp; Geol, Turku 20500, Finland; [Skov-Petersen, Hans; Olafsson, Anton Stahl] Univ Copenhagen, Dept Geosci &amp; Nat Resource Management, Copenhagen, Denmark</t>
  </si>
  <si>
    <t>University of Turku; University of Copenhagen</t>
  </si>
  <si>
    <t>Hasanzadeh, K (corresponding author), Univ Turku, Dept Geog &amp; Geol, Turku 20500, Finland.</t>
  </si>
  <si>
    <t>kamyar.hasanzadeh@utu.fi</t>
  </si>
  <si>
    <t>Fagerholm, Nora/A-6164-2015</t>
  </si>
  <si>
    <t>Fagerholm, Nora/0000-0001-5020-0746</t>
  </si>
  <si>
    <t>K.H. and N.F. were funded by the Academy of Finland (grant number: 321555).; Academy of Finland; [321555]</t>
  </si>
  <si>
    <t>K.H. and N.F. were funded by the Academy of Finland (grant number: 321555).; Academy of Finland(Research Council of Finland);</t>
  </si>
  <si>
    <t>K.H. and N.F. were funded by the Academy of Finland (grant number: 321555).</t>
  </si>
  <si>
    <t>10.1080/17538947.2023.2250739</t>
  </si>
  <si>
    <t>Q0UF7</t>
  </si>
  <si>
    <t>WOS:001054745900001</t>
  </si>
  <si>
    <t>Hascelik, G; Soyletir, G; Gulay, Z; Sancak, B; Yaman, A; Gurler, N; Aydemir, SS; Bayramoglu, G; Aydin, F; Cekin, Y; Birinci, A; Ozakin, C; Akpolat, N; Baysan, BO; Gultekin, M; Zer, Y; Sanal, L; Arabaci, C; Altintop, YA; Ozturk, C; Ceyhan, M</t>
  </si>
  <si>
    <t>Hascelik, Gulsen; Soyletir, Guner; Gulay, Zeynep; Sancak, Banu; Yaman, Akgun; Gurler, Nezahat; Aydemir, Sabire Sohret; Bayramoglu, Gulcin; Aydin, Faruk; Cekin, Yesim; Birinci, Asuman; Ozakin, Cuneyt; Akpolat, Nezahat; Ozhak Baysan, Betil; Gultekin, Meral; Zer, Yasemin; Sanal, Laser; Arabaci, Cigdem; Ay Altintop, Yasemin; Ozturk, Candan; Ceyhan, Mehmet</t>
  </si>
  <si>
    <t>Serotype distribution of Streptococcus pneumoniae and pneumococcal vaccine coverage in adults in Turkey between 2015 and 2018</t>
  </si>
  <si>
    <t>Streptococcus pneumoniae; serotype; surveillance; vaccine coverage; antibiotic susceptibility</t>
  </si>
  <si>
    <t>POLYSACCHARIDE CONJUGATE VACCINE; ANTIMICROBIAL RESISTANCE; DISEASE; 13-VALENT; CHILDREN; BURDEN; IMPACT</t>
  </si>
  <si>
    <t>Objective: To evaluate the serotype distribution and antibiotic resistance in pneumococcal infections in adults and to provide a perspective regarding serotype coverage of both current and future pneumococcal vaccines. Patients and methods: This passive surveillance study was conducted with the Streptococcus pneumoniae strains isolated from the specimens of patients with pneumonia (materials isolated from bronchoalveolar lavage), bacteraemia, meningitis, pleuritis and peritonitis between 2015 and 2018. Serogrouping and serotyping were performed by latex particle agglutination and by conventional Quellung reaction using commercial type-specific antisera, respectively. The strains were analysed for penicillin, cefotaxime, erythromycin and moxifloxacin susceptibilities by E-test. Results: In the whole study group (410 samples from adults aged &gt;= 18 years), the most frequent serotypes were 3 (14.1%), 19 F (12%) and 1 (9.3%). The vaccine coverage for PCV13, PCV15, PCV20 and PPV23 was 63.9%, 66.6%, 74.1% and 75.9%, respectively, in all isolates. Penicillin non-susceptibility in invasive pneumococcal disease (IPD) was 70.8% and 57.1% in the patients aged &lt;65 and &gt;= 65 years, respectively. About 21.1% and 4.3% of the patients with and without IPD had cefotaxime resistance. Non-susceptibility to erythromycin and moxifloxacin was 38.2% and 1.2%, respectively. Conclusions: The results revealed that novel PCV vaccines may provide improved coverage as compared with the currently available vaccine, PCV13. The significant antibiotic resistance rates imply the need to extend the serotype coverage of the vaccines. Continuing the surveillance in pneumococcal diseases is critical to explore the serotype distribution and incidence changes of IPD cases in the population and to inform policy makers to make necessary improvements in the national immunization programmes.</t>
  </si>
  <si>
    <t>[Hascelik, Gulsen; Sancak, Banu] Hacettepe Univ, Fac Med, Dept Med Microbiol, TR-06230 Ankara, Turkiye; [Soyletir, Guner] Marmara Univ, Pendik Training &amp; Res Hosp, Dept Med Microbiol, Istanbul, Turkiye; [Gulay, Zeynep] Dokuz Eylul Univ, Fac Med, Dept Med Microbiol, Izmir, Turkiye; [Yaman, Akgun] Cukurova Univ, Fac Med, Dept Med Microbiol, Adana, Turkiye; [Gurler, Nezahat] Istanbul Univ, Fac Med, Dept Microbiol &amp; Clin Microbiol, Istanbul, Turkiye; [Aydemir, Sabire Sohret] Ege Univ, Fac Med, Dept Med Microbiol, Izmir, Turkiye; [Bayramoglu, Gulcin; Aydin, Faruk] Karadeniz Tech Univ, Fac Med, Dept Med Microbiol, Trabzon, Turkiye; [Cekin, Yesim] Antalya Training &amp; Res Hosp, Dept Med Microbiol, Antalya, Turkiye; [Birinci, Asuman] Samsun Ondokuz Mayis Univ, Fac Med, Dept Med Microbiol, Samsun, Turkiye; [Ozakin, Cuneyt] Bursa Uludag Univ, Fac Med, Dept Med Microbiol, Bursa, Turkiye; [Akpolat, Nezahat] Dicle Univ, Fac Med, Dept Med Microbiol, Diyarbakir, Turkiye; [Ozhak Baysan, Betil; Gultekin, Meral] Akdeniz Univ, Fac Med, Dept Med Microbiol, Antalya, Turkiye; [Zer, Yasemin] Gaziantep Univ, Fac Med, Dept Microbiol, Gaziantep, Turkiye; [Sanal, Laser] Ankara Yuksek Ihtisas Training &amp; Res Hosp, Dept Clin Microbiol, Ankara, Turkiye; [Arabaci, Cigdem] Istanbul Prof Dr Cemil Tascioglu City Hosp, Dept Microbiol &amp; Clin Microbiol, Istanbul, Turkiye; [Ay Altintop, Yasemin] Kayseri City Training &amp; Res Hosp, Dept Med Microbiol, Kayseri, Turkiye; [Ozturk, Candan] Mersin Univ, Fac Med, Dept Med Microbiol, Mersin, Turkiye; [Ceyhan, Mehmet] Hacettepe Univ, Fac Med, Dept Pediat Infect Dis, Ankara, Turkiye</t>
  </si>
  <si>
    <t>Hacettepe University; Marmara University; Dokuz Eylul University; Cukurova University; Istanbul University; Ege University; Karadeniz Technical University; Antalya Training &amp; Research Hospital; Ondokuz Mayis University; Uludag University; Dicle University; Akdeniz University; Gaziantep University; Turkey Specialized Higher Education &amp; Research Hospital; Mersin University; Hacettepe University</t>
  </si>
  <si>
    <t>Hascelik, G (corresponding author), Hacettepe Univ, Fac Med, Dept Med Microbiol, TR-06230 Ankara, Turkiye.</t>
  </si>
  <si>
    <t>ghascelik@gmail.com</t>
  </si>
  <si>
    <t>Yaman, Akgun/F-4513-2018; Ay Altintop, Yasemin/HIZ-8041-2022</t>
  </si>
  <si>
    <t>Yaman, Akgun/0000-0003-3309-3074; Ay Altintop, Yasemin/0000-0003-2410-208X; Aydemir, Sabire Sohret/0000-0001-8354-9100; Gulay, Zeynep/0000-0002-4135-9154; Gurler, Nezahat/0000-0002-1134-658X; Aydin, Faruk/0000-0002-0139-908X; Bayramoglu, Gulcin/0000-0002-6103-3127; Hascelik, Gulsen/0000-0002-1773-6167</t>
  </si>
  <si>
    <t>10.1080/07853890.2022.2160877</t>
  </si>
  <si>
    <t>7J9TL</t>
  </si>
  <si>
    <t>WOS:000904928200001</t>
  </si>
  <si>
    <t>He, YW; Xu, TC; Ding, TT; Gong, YC; Zeng, H; Xi, ZH; Ye, YX; Song, ZY; Pan, T; Zhang, ZW; Ma, Q; Li, LH; Zhang, YQ; Shao, GL</t>
  </si>
  <si>
    <t>He, Yiwei; Xu, Tiancheng; Ding, Tingting; Gong, Yuanchuan; Zeng, Hui; Xi, Zihan; Ye, Yuanxin; Song, Ziyang; Pan, Ting; Zhang, Zhewei; Ma, Qian; Li, Lihua; Zhang, Yuqing; Shao, Guoliang</t>
  </si>
  <si>
    <t>In vitro comparative study of multimodal imaging nano-assembled microspheres with two clinical drug-eluting beads loaded with doxorubicin</t>
  </si>
  <si>
    <t>Comparative study; drug-eluting beads; drug loading; drug release; doxorubicin</t>
  </si>
  <si>
    <t>TRANSARTERIAL CHEMOEMBOLIZATION; HEPATOCELLULAR-CARCINOMA; DC BEAD; EMBOLIZATION; RELEASE</t>
  </si>
  <si>
    <t>DC Beads and CalliSpheres are commonly used microspheres in clinical transcatheter arterial chemoembolization, but these microspheres cannot be visualized by themselves. Therefore, in our previous study, we developed multimodal imaging nano-assembled microspheres (NAMs), which are visualized under CT/MR and the location of embolic microspheres can be determined during postoperative review, facilitating the evaluation of embolic areas and guiding subsequent treatment. Moreover, the NAMs can be carried with positively and negatively charged drugs, increasing the choice of drugs. Systematic comparative analysis of the pharmacokinetics of NAMs with commercially available DC Bead and CalliSpheres microspheres is important for evaluating the clinical application of NAMs. In our study, we compared the similarities and differences between NAMs and two drug-eluting beads (DEBs) in respect to drug loading capacity, drug release profiles, diameter variation and morphological characteristics. The results indicate that NAMs had good drug delivery and release characteristics as well as DC Bead and CalliSpheres in vitro experimental stage. Therefore, NAMs have a good application prospect in transcatheter arterial chemoembolization treatment of hepatocellular carcinoma.</t>
  </si>
  <si>
    <t>[He, Yiwei; Gong, Yuanchuan; Zeng, Hui; Xi, Zihan; Ye, Yuanxin; Song, Ziyang; Pan, Ting; Zhang, Zhewei; Ma, Qian; Shao, Guoliang] Chinese Acad Sci, Zhejiang Canc Hosp, Inst Basic Med &amp; Canc IBMC, Hangzhou, Zhejiang, Peoples R China; [He, Yiwei; Ye, Yuanxin; Song, Ziyang; Shao, Guoliang] Chinese Med Univ, Clin Med Coll Zhejiang 2, Hangzhou, Peoples R China; [Xu, Tiancheng; Ding, Tingting; Li, Lihua; Zhang, Yuqing] Hangzhou Dianzi Univ, Sch Automat, Hangzhou, Peoples R China</t>
  </si>
  <si>
    <t>Zhejiang Cancer Hospital; Chinese Academy of Sciences; China Medical University; Hangzhou Dianzi University</t>
  </si>
  <si>
    <t>Shao, GL (corresponding author), Chinese Acad Sci, Zhejiang Canc Hosp, Inst Basic Med &amp; Canc IBMC, Hangzhou, Zhejiang, Peoples R China.;Zhang, YQ (corresponding author), Hangzhou Dianzi Univ, Sch Automat, Hangzhou, Peoples R China.</t>
  </si>
  <si>
    <t>Chen, Xin/JDN-2017-2023; yang, yun/IZE-1092-2023; chen, chen/JGD-3057-2023; Liu, Jie/JCP-1070-2023; zhang, yue/JAC-3705-2023; yuanyuan, Li/JEZ-6497-2023; sun, chen/JCP-0396-2023; Liu, Yuan/JFB-4766-2023; wang, KiKi/JFZ-3334-2023; li, xiang/JCN-9316-2023; yang, li/JGM-1009-2023; Jiang, Yu/JEZ-9814-2023; Zhang, Yun/JCN-7026-2023; li, jing/JEF-8436-2023; Zhang, Lijun/JEZ-7925-2023; Yang, Tian/JFB-1008-2023; zhang, xiao/JCN-8822-2023; zhang, yuyang/IVV-5089-2023; Liu, Yujie/IWU-6535-2023; Yang, Xiao/JDN-0082-2023; WANG, YANG/JFA-8821-2023; li, qing/JEF-9044-2023; liu, xinyu/IWD-6630-2023; zhang, yan/JGL-8022-2023; wu, yunhui/JGD-6838-2023; liu, lin/JFK-3401-2023; Lv, Xianliang/JFS-9152-2023; Zhang, Yunxuan/IXD-9283-2023; yang, peng/JEZ-8452-2023</t>
  </si>
  <si>
    <t>Liu, Yujie/0000-0002-1153-6156;</t>
  </si>
  <si>
    <t>10.1080/10717544.2023.2197177</t>
  </si>
  <si>
    <t>D8TO1</t>
  </si>
  <si>
    <t>WOS:000971400400001</t>
  </si>
  <si>
    <t>He, ZW; Gao, LY</t>
  </si>
  <si>
    <t>He, Zhongwei; Gao, Lingyun</t>
  </si>
  <si>
    <t>Interval estimation on hyper-order of meromorphic solutions of complex linear differential equations with uncertain coefficients</t>
  </si>
  <si>
    <t>Linear differential equations; order of growth; complex oscillation; zeros; exponents of convergence</t>
  </si>
  <si>
    <t>The authors address the complex oscillation problems of all solutions of homogenous linear differential equations with meromorphic coefficients. Sufficient conditions for estimating the growth of meromorphic solution with infinite order have been proposed based on Nevanlinna value distribution theory. Compared with the existing results, the proposed hyper-order of all meromorphic solutions with infinite order can be estimated in terms of a bounded interval which includes information of order of growth of meromorphic functions and meromorphic polynomial coefficients.</t>
  </si>
  <si>
    <t>[He, Zhongwei] Jiangxi Univ Finance &amp; Econ, Sch Informat Management, Nanchang, Peoples R China; [Gao, Lingyun] Jinan Univ, Dept Math, Guangzhou, Peoples R China</t>
  </si>
  <si>
    <t>Jiangxi University of Finance &amp; Economics; Jinan University</t>
  </si>
  <si>
    <t>He, ZW (corresponding author), Jiangxi Univ Finance &amp; Econ, Sch Informat Management, Nanchang, Peoples R China.</t>
  </si>
  <si>
    <t>zhweihe@126.com</t>
  </si>
  <si>
    <t>National Natural Science Foundation of China [62063008]; Science and Technology Project of Jiangxi Provincial Department of Education [GJJ210503]</t>
  </si>
  <si>
    <t>National Natural Science Foundation of China(National Natural Science Foundation of China (NSFC)); Science and Technology Project of Jiangxi Provincial Department of Education</t>
  </si>
  <si>
    <t>This work was supported by the National Natural Science Foundation of China: [Grant Number 62063008]; Science and Technology Project of Jiangxi Provincial Department of Education: [Grant Number GJJ210503].</t>
  </si>
  <si>
    <t>10.1080/27690911.2023.2212117</t>
  </si>
  <si>
    <t>G1UN1</t>
  </si>
  <si>
    <t>WOS:000987092000001</t>
  </si>
  <si>
    <t>Hill, CM; Nash, SH; Hopkins, SE; Boyer, BB; OBrien, DM; Bersamin, A</t>
  </si>
  <si>
    <t>Hill, Courtney M.; Nash, Sarah H.; Hopkins, Scarlett E.; Boyer, Bert B.; OBrien, Diane M.; Bersamin, Andrea</t>
  </si>
  <si>
    <t>Diet quality is positively associated with intake of traditional foods and does not differ by season in remote Yup'ik communities</t>
  </si>
  <si>
    <t>Healthy eating index; Alaska native; Yup'ik; seasonal variation; indigenous communities; dietary biomarker</t>
  </si>
  <si>
    <t>ALASKA NATIVE COMMUNITIES; RED-BLOOD-CELLS; SUGAR INTAKE; HEALTH; ESKIMOS; SUBSISTENCE; PATTERNS; PEOPLE; CARBON; ADULTS</t>
  </si>
  <si>
    <t>This study evaluated whether traditional food intake and diet quality differed by season in Yup'ik communities and examined the relationship between intake of traditional food groups and diet quality. Data were collected from 38 participants, ages 14-79 years, from two Yup'ik communities in Southwest Alaska from 2008 to 2010. Self-reported intake (24-h recalls) and dietary biomarker (nitrogen stable isotope ratio) data were collected twice in distinct seasons. Diet quality was assessed using the Healthy Eating Index. A paired sample t-test was used to test for seasonal differences in traditional food intake and diet quality, and linear regression was used to evaluate associations between traditional food intake and diet quality. Total traditional food intake and overall diet quality did not significantly differ by season, but there were differences in traditional food group intake and diet quality component scores. Diet quality was strongly associated with intake of traditional food groups including fish, tundra greens, and berries. Given the strong relationship between traditional food intake and diet quality, policies should aim to ensure continued access to traditional foods in Yup'ik communities amid environmental changes in the circumpolar North.</t>
  </si>
  <si>
    <t>[Hill, Courtney M.; OBrien, Diane M.; Bersamin, Andrea] Univ Fairbanks Alaska, Dept Biol &amp; Wildlife, Fairbanks, AK USA; [Nash, Sarah H.; Hopkins, Scarlett E.; Boyer, Bert B.; OBrien, Diane M.; Bersamin, Andrea] Univ Alaska, Inst Arctic Biol, Ctr Alaska Nat Hlth Res, Fairbanks, AK USA; [Nash, Sarah H.] Univ Iowa, Dept Obstetr &amp; Gynecol, Iowa City, IA USA; [Hopkins, Scarlett E.; Boyer, Bert B.] Oregon Hlth &amp; Sci Univ, Dept Obstet &amp; Gynecol, Portland, OR USA; [Bersamin, Andrea] Univ Alaska Fairbanks, UAF IAB CANHR, Inst Arctic Biol, Ctr Alaska Native Hlth Res, Fairbanks, AK 99775 USA</t>
  </si>
  <si>
    <t>University of Alaska System; University of Alaska Fairbanks; University of Iowa; Oregon Health &amp; Science University; University of Alaska System; University of Alaska Fairbanks</t>
  </si>
  <si>
    <t>Bersamin, A (corresponding author), Univ Alaska Fairbanks, UAF IAB CANHR, Inst Arctic Biol, Ctr Alaska Native Hlth Res, Fairbanks, AK 99775 USA.</t>
  </si>
  <si>
    <t>abersamin@alaska.edu</t>
  </si>
  <si>
    <t>10.1080/22423982.2023.2221370</t>
  </si>
  <si>
    <t>J1VU5</t>
  </si>
  <si>
    <t>WOS:001007566100001</t>
  </si>
  <si>
    <t>Hong, DJ; Ren, QH; Zhang, J; Dong, FB; Chen, SQ; Dong, W; Chen, XY; Chen, LW; Yao, YM; Lu, ZQ; Zhao, GJ</t>
  </si>
  <si>
    <t>Hong, Dejiang; Ren, Qinghuan; Zhang, Jie; Dong, Fubo; Chen, Shiqiang; Dong, Wei; Chen, Xiaoyan; Chen, Longwang; Yao, Yongming; Lu, Zhongqiu; Zhao, Guangju</t>
  </si>
  <si>
    <t>A new criteria for acute on preexisting kidney dysfunction in critically ill patients</t>
  </si>
  <si>
    <t>RENAL FAILURE</t>
  </si>
  <si>
    <t>Chronic kidney dysfunction; serum creatinine; mortality; acute kidney injury; critically ill patients</t>
  </si>
  <si>
    <t>INTERNATIONAL CONSENSUS DEFINITIONS; GLOMERULAR-FILTRATION-RATE; BASE-LINE CREATININE; SERUM CREATININE; COCKCROFT-GAULT; RENAL-DISEASE; SEPTIC SHOCK; CKD-EPI; INJURY; EQUATION</t>
  </si>
  <si>
    <t>Critically ill patients with preexisting kidney dysfunction (PKD) are at high risk for acute kidney injury (AKI). Nevertheless, there is no criteria for screening and classifying AKI in patients with PKD. In this study, after assessing relationship between the change in SCr from baseline and in-hospital mortality, a new criteria, named APKD, for identifying AKI in PKD was proposed. APKD defined AKI in critically ill patients with PKD as an absolute increase of &gt;= 0.2 mg/dL in SCr within 48 h or an increase in SCr &gt;= 1.1 times over baseline within 7 d. APKD detected more AKI among PKD patients compared with the other criteria. Additionally, the AKI patients identified by APKD but missed by the other criteria had higher mortality than those without AKI. APKD shows higher sensitivities than KDIGO criteria in predicating in-hospital mortality. APKD, but not the KDIGO, is effective for staging the severity of AKI in patients with PKD. In conclusion, APKD is more effective in screening and classifying AKI in critically ill patients with PKD compared with the earlier criteria, and it may helpful in guiding clinical treatment and predicting prognosis.</t>
  </si>
  <si>
    <t>[Hong, Dejiang; Zhang, Jie; Dong, Fubo; Chen, Shiqiang; Dong, Wei; Chen, Xiaoyan; Chen, Longwang; Lu, Zhongqiu; Zhao, Guangju] Wenzhou Med Univ, Dept Emergency, Emergency Intens Care Unit, Affiliated Hosp 1, Wenzhou 325000, Peoples R China; [Ren, Qinghuan] Wenzhou Med Univ, Alberta Coll, Wenzhou, Peoples R China; [Yao, Yongming] Translat Med Res Ctr, Med Innovat Res Div, Beijing, Peoples R China; [Yao, Yongming] Fourth Med Chinese PLA Gen Hosp, Beijing, Peoples R China; [Yao, Yongming] Chinese Peoples Liberat Army Gen Hosp, Trauma Res Ctr, Med Ctr 4, Beijing 100048, Peoples R China</t>
  </si>
  <si>
    <t>Wenzhou Medical University; Wenzhou Medical University; Chinese People's Liberation Army General Hospital</t>
  </si>
  <si>
    <t>Lu, ZQ; Zhao, GJ (corresponding author), Wenzhou Med Univ, Dept Emergency, Emergency Intens Care Unit, Affiliated Hosp 1, Wenzhou 325000, Peoples R China.;Yao, YM (corresponding author), Chinese Peoples Liberat Army Gen Hosp, Trauma Res Ctr, Med Ctr 4, Beijing 100048, Peoples R China.</t>
  </si>
  <si>
    <t>c_ff@sina.com; lzq_640815@163.com; zgj_0523@126.com</t>
  </si>
  <si>
    <t>National Natural Science Foundation of China [81871583]; Key R&amp;D Program Projects of Zhejiang province [2021C03072]</t>
  </si>
  <si>
    <t>National Natural Science Foundation of China(National Natural Science Foundation of China (NSFC)); Key R&amp;D Program Projects of Zhejiang province</t>
  </si>
  <si>
    <t>This work was supported partly by grants from the National Natural Science Foundation of China [81871583] and Key R&amp;D Program Projects of Zhejiang province [2021C03072].</t>
  </si>
  <si>
    <t>0886-022X</t>
  </si>
  <si>
    <t>1525-6049</t>
  </si>
  <si>
    <t>Ren. Fail.</t>
  </si>
  <si>
    <t>10.1080/0886022X.2023.2173498</t>
  </si>
  <si>
    <t>Urology &amp; Nephrology</t>
  </si>
  <si>
    <t>8J3EH</t>
  </si>
  <si>
    <t>Green Submitted, gold, Green Published</t>
  </si>
  <si>
    <t>WOS:000922302600001</t>
  </si>
  <si>
    <t>Hong, M; Lan, T; Li, QX; Li, BF; Yuan, Y; Xu, F; Wang, WJ</t>
  </si>
  <si>
    <t>Hong, Ming; Lan, Tin; Li, Qiuxia; Li, Binfei; Yuan, Yong; Xu, Feng; Wang, Weijia</t>
  </si>
  <si>
    <t>A comprehensive perspective on the interaction between gut microbiota and COVID-19 vaccines</t>
  </si>
  <si>
    <t>COVID-19; vaccine efficacy; gut microbiota; immune responses; microbiota-targeted interventions</t>
  </si>
  <si>
    <t>AUTOIMMUNITY; VACCINATION; RESPONSES; IMMUNITY; HEALTH; CELLS; YOUNG</t>
  </si>
  <si>
    <t>The efficacy of COVID-19 vaccines varies between individuals and populations, and the reasons for this are still not fully understood. Recent clinical studies and animal models have indicated that the gut microbiota may influence the immunogenicity of the vaccine and, thus, its effectiveness. This suggests that there is a bidirectional relationship between the gut microbiota and the COVID-19 vaccine, with the varying components of the microbiota either enhancing or reducing the vaccine's efficacy. To put an end to the spread of the COVID-19 pandemic, the necessity of vaccines that create powerful and long-term immunity is now more important than ever, and understanding the role of the gut microbiota in this process is essential. Conversely, COVID-19 vaccines also have a significant effect on the gut microbiota, decreasing its total number of organisms and the variety of species present. In this Review, we analyze the evidence that suggesting an interaction between the gut microbiota and COVID-19 vaccine effectiveness, consider the immunological mechanisms that may be responsible for this connection, and explore the possibility of using gut microbiota-focused interventions to improve the efficacy of COVID-19 vaccines.</t>
  </si>
  <si>
    <t>[Hong, Ming; Lan, Tin; Li, Qiuxia; Wang, Weijia] Zhongshan City Peoples Hosp, Inst Adv Diagnost &amp; Clin Med, Zhongshan, Peoples R China; [Li, Binfei] Zhongshan City Peoples Hosp, Dept Anesthesiol, Zhongshan, Peoples R China; [Yuan, Yong] Zhongshan City Peoples Hosp, Dept Cardiovasc Ctr, Zhongshan, Peoples R China; [Xu, Feng] Univ British Columbia, St Pauls Hosp, Ctr Heart Lung Innovat, Vancouver, BC, Canada; [Yuan, Yong] Zhongshan City Peoples Hosp, Dept Cardiovasc Ctr, Zhongshan 528400, Peoples R China; [Xu, Feng] Univ British Columbia, St Pauls Hosp, Ctr Heart Lung Innovat, Vancouver, BC V6Z 1Y6, Canada; [Wang, Weijia] Zhongshan City Peoples Hosp, Inst Adv Diagnost &amp; Clin Med, Zhongshan 528400, Peoples R China</t>
  </si>
  <si>
    <t>Sun Yat Sen University; Sun Yat Sen University; Sun Yat Sen University; University of British Columbia; St. Paul's Hospital; Sun Yat Sen University; University of British Columbia; St. Paul's Hospital; Sun Yat Sen University</t>
  </si>
  <si>
    <t>Yuan, Y (corresponding author), Zhongshan City Peoples Hosp, Dept Cardiovasc Ctr, Zhongshan 528400, Peoples R China.;Xu, F (corresponding author), Univ British Columbia, St Pauls Hosp, Ctr Heart Lung Innovat, Vancouver, BC V6Z 1Y6, Canada.;Wang, WJ (corresponding author), Zhongshan City Peoples Hosp, Inst Adv Diagnost &amp; Clin Med, Zhongshan 528400, Peoples R China.</t>
  </si>
  <si>
    <t>zshpyy2018@163.com; feng.xu@hli.ubc.ca; richard8207@163.com</t>
  </si>
  <si>
    <t>Natural Science Foundation of China</t>
  </si>
  <si>
    <t>Natural Science Foundation of China(National Natural Science Foundation of China (NSFC))</t>
  </si>
  <si>
    <t>This work was supported by Natural Science Foundation of China (No.: 82004161), Natural Science Foundation of Guangdong Province (No.: 2021a1515011320), Major scientific research project of Zhongshan City (No.: 2021b3001), and Social Welfare and Basic Research Project of Zhongshan City (Medical and Health) (No.: 2022B3006).</t>
  </si>
  <si>
    <t>10.1080/19490976.2023.2233146</t>
  </si>
  <si>
    <t>L5PT4</t>
  </si>
  <si>
    <t>WOS:001023791200001</t>
  </si>
  <si>
    <t>Hopkins, SE; Orr, E; Boyer, BB; Thompson, B</t>
  </si>
  <si>
    <t>Hopkins, Scarlett E.; Orr, Eliza; Boyer, Bert B.; Thompson, Beti</t>
  </si>
  <si>
    <t>Culturally adapting an evidence-based intervention to promote a healthy diet and lifestyle for Yup'ik Alaska native communities</t>
  </si>
  <si>
    <t>Yup'ik women; Alaska native; intervention research; cardiovascular disease; cultural adaptation</t>
  </si>
  <si>
    <t>MARINE FOOD-INTAKE; PARTICIPATORY RESEARCH; OBESITY; RISK; ASSOCIATIONS; WEIGHT; FRAMEWORK; FAMILIES; ESKIMOS; PERCEPTIONS</t>
  </si>
  <si>
    <t>Underserved populations are at increased risk for obesity and related cardiovascular disease, type 2 diabetes, and other chronic diseases. Lack of access to healthy foods, sedentary behaviour, and other social environmental factors contribute to disease risk. Yup'ik Alaska Native communities are experiencing lifestyle changes that are likely to affect their cardiometabolic risks. Barrera &amp; Castro's Cultural Adaptation Framework was used to adapt an evidence-based intervention (EBI) originally designed for Latino communities for use in Yup'ik communities. Focus groups and key informant interviews were held in two Yup'ik communities. Major themes included causes of obesity, barriers and facilitators to healthy foods and physical activity, and intervention ideas. The adaptation process was guided by a Community Planning Group of Yup'ik women and included information gathering, preliminary adaptation design, preliminary adaptation tests, and adaptation refinement. Two of the adapted educational modules were pilot tested. Involving community members as co-researchers in cultural adaptation is vital for an EBI to be effective in another population. Small group gatherings led by local lay health workers are culturally appropriate and may be an effective health promotion model in Yup'ik communities. Social environmental factors affecting healthy food availability and physical activity need further exploration.</t>
  </si>
  <si>
    <t>[Hopkins, Scarlett E.; Boyer, Bert B.] Oregon Hlth &amp; Sci Univ, Dept Obstet &amp; Gynecol, Portland, OR 97239 USA; [Hopkins, Scarlett E.; Orr, Eliza; Boyer, Bert B.] Univ Alaska Fairbanks, Ctr Alaska Native Hlth Res, Fairbanks, AK USA; [Thompson, Beti] Fred Hutchinson Canc Res Ctr, Canc Prevent Program, Seattle, WA USA</t>
  </si>
  <si>
    <t>Oregon Health &amp; Science University; University of Alaska System; University of Alaska Fairbanks; Fred Hutchinson Cancer Center</t>
  </si>
  <si>
    <t>Hopkins, SE (corresponding author), Oregon Hlth &amp; Sci Univ, Dept Obstet &amp; Gynecol, Portland, OR 97239 USA.</t>
  </si>
  <si>
    <t>hopkisca@ohsu.edu</t>
  </si>
  <si>
    <t>Hopkins, Scarlett/0000-0001-5641-7751</t>
  </si>
  <si>
    <t>10.1080/22423982.2022.2159888</t>
  </si>
  <si>
    <t>7D9WA</t>
  </si>
  <si>
    <t>Green Published</t>
  </si>
  <si>
    <t>WOS:000900831000001</t>
  </si>
  <si>
    <t>Hoque, MI; Hasan, M; Islam, MS; Houda, M; Abdallah, M; Sobuz, MHR</t>
  </si>
  <si>
    <t>Hoque, Md. Ikramul; Hasan, Muzamir; Islam, Md Shofiqul; Houda, Moustafa; Abdallah, Mirvat; Sobuz, Md. Habibur Rahman</t>
  </si>
  <si>
    <t>Machine Learning Methods to Predict and Analyse Unconfined Compressive Strength of Stabilised Soft Soil with Polypropylene Columns</t>
  </si>
  <si>
    <t>Soft soil; UCT; Machine learning; Unconfined compressive strength; Prediction; ANN</t>
  </si>
  <si>
    <t>SUPPORT VECTOR MACHINE; NEURAL-NETWORKS; MODEL TREES; SETTLEMENT</t>
  </si>
  <si>
    <t>In this study, several machine learning approaches are used for the prediction of the unconfined compressive strength (UCS) of polypropylene-stabilised soft soil. This research work generates new data and applies several machine learning algorithms for the analysis of UCS. Fifty-two samples are in our generated data. In our generated data, five input features are used: Column Reinforcement Type, Column Diameter, Area replacement ratio,Column Penetration Ratio and Max_Deviator Stress. On the other hand, the output consists of three target stress class. Our experimental result shows that Random Forest (RF) provides good prediction result of unconfined compressive test (UCT) and that is satisfied. RF model gets result of mean absolute error of 0.0625, mean square root error of 0.0625, root mean sqrt error of 0.2500, r (2) value of 0.8942 and accuracy of 0.9375. In addition, the sequential model got training loss of 0.2535, training accuracy of 0.9024, validation loss of 0.4056 and validation accuracy: 0.9091. The results showed that the suggested RF and sequential model performs excellently in predicting the UCS of stabilised soft soil with polypropylene. Our technique is more practical and time-consuming than arduous laboratory work. In the future, we will do the experiment with various soft soil characteristics to develop high-performing machine and deep learning models.</t>
  </si>
  <si>
    <t>[Hoque, Md. Ikramul; Hasan, Muzamir] Univ Malaysia Pahang, Fac Civil Engn Technol, Gambang, Malaysia; [Islam, Md Shofiqul] Univ Malaysia Pahang, Fac Comp, Gambang, Malaysia; [Houda, Moustafa; Abdallah, Mirvat] Amer Univ Middle East, Coll Engn &amp; Technol, Egaila, Kuwait; [Sobuz, Md. Habibur Rahman] Khulna Univ Engn &amp; Technol, Dept Bldg Engn &amp; Construct Management, Khulna, Bangladesh</t>
  </si>
  <si>
    <t>Universiti Malaysia Pahang Al-Sultan Abdullah (UMPSA); Universiti Malaysia Pahang Al-Sultan Abdullah (UMPSA); American University of Middle East; Khulna University of Engineering &amp; Technology (KUET)</t>
  </si>
  <si>
    <t>Hoque, MI (corresponding author), Univ Malaysia Pahang, Fac Civil Engn Technol, Gambang, Malaysia.</t>
  </si>
  <si>
    <t>ikramul3300@becm.kuet.ac.bd</t>
  </si>
  <si>
    <t>Hoque, Md./0000-0002-7160-3015</t>
  </si>
  <si>
    <t>Universiti Malaysia Pahang (UMP) [RDU 223309]</t>
  </si>
  <si>
    <t>Universiti Malaysia Pahang (UMP)</t>
  </si>
  <si>
    <t>Acknowledgments The authors acknowledge Universiti Malaysia Pahang (UMP) for financing this research through the Research Grant Scheme, Project Number RDU 223309. The authors thank the staff of the Geotechnical Engineering Laboratory at UMP for providing facilities and cooperative behaviour during the tests.</t>
  </si>
  <si>
    <t>10.1080/23311916.2023.2220492</t>
  </si>
  <si>
    <t>I9ET7</t>
  </si>
  <si>
    <t>WOS:001005746900001</t>
  </si>
  <si>
    <t>Hu, BL; Zhong, GF; Ding, SX; Xu, K; Peng, XR; Dong, WR; Zhou, JY</t>
  </si>
  <si>
    <t>Hu, Boli; Zhong, Guifang; Ding, Shuxiang; Xu, Kang; Peng, Xiran; Dong, Weiren; Zhou, Jiyong</t>
  </si>
  <si>
    <t>African swine fever virus protein p17 promotes mitophagy by facilitating the interaction of SQSTM1 with TOMM70</t>
  </si>
  <si>
    <t>VIRULENCE</t>
  </si>
  <si>
    <t>African swine fever virus; p17; mitophagy; TOMM70; SQSTM1</t>
  </si>
  <si>
    <t>PARKIN; HOMOLOG; ACTIVATION; REPLICATION; PHOSPHATASE; MECHANISMS; INFECTION; APOPTOSIS; AUTOPHAGY; UPSTREAM</t>
  </si>
  <si>
    <t>Viruses have developed different strategies to hijack mitophagy to facilitate their replication. However, whether and how African swine fever virus (ASFV) regulates mitophagy are largely unknown. Here, we found that the ASFV-encoded p17 induced mitophagy. Coimmunoprecipitation/mass spectrometry assays identified translocase of outer mitochondrial membrane 70 (TOMM70) as the protein that interacted with p17. The binding of TOMM70 to p17 promoted the binding of the mitophagy receptor SQSTM1 to TOMM70, led to engulfment of mitochondria by autophagosomes, and consequently decreased the number of mitochondria. Consistently, the levels of TOMM70 and TOMM20 decreased substantially after p17 expression or ASFV infection. Furthermore, p17-mediated mitophagy resulted in the degradation of mitochondrial antiviral signalling proteins and inhibited the production of IFN-&amp; alpha;, IL-6 and TNF &amp; alpha;. Overall, our findings suggest that ASFV p17 regulates innate immunity by inducing mitophagy via the interaction of SQSTM1 with TOMM70.</t>
  </si>
  <si>
    <t>[Hu, Boli; Zhong, Guifang; Ding, Shuxiang; Xu, Kang; Peng, Xiran; Dong, Weiren; Zhou, Jiyong] Zhejiang Univ, Ctr Vet Sci, MOA Key Lab Anim Virol, Hangzhou, Peoples R China; [Zhou, Jiyong] Zhejiang Univ, Affiliated Hosp 1, State Key Lab Diag &amp; Treatment Infect Dis, Hangzhou, Peoples R China</t>
  </si>
  <si>
    <t>Zhejiang University; Zhejiang University</t>
  </si>
  <si>
    <t>Zhou, JY (corresponding author), Zhejiang Univ, Ctr Vet Sci, MOA Key Lab Anim Virol, Hangzhou, Peoples R China.</t>
  </si>
  <si>
    <t>jyzhou@zju.edu.cn</t>
  </si>
  <si>
    <t>National Natural Science Foundation of China [31941009]</t>
  </si>
  <si>
    <t>This study is supported by National Natural Science Foundation of China (No. 31941009).</t>
  </si>
  <si>
    <t>2150-5594</t>
  </si>
  <si>
    <t>2150-5608</t>
  </si>
  <si>
    <t>Virulence</t>
  </si>
  <si>
    <t>10.1080/21505594.2023.2232707</t>
  </si>
  <si>
    <t>L6QO2</t>
  </si>
  <si>
    <t>WOS:001024489900001</t>
  </si>
  <si>
    <t>Hu, J; Liu, SP; Liu, CX; Huang, YY; Mao, J</t>
  </si>
  <si>
    <t>Hu, Jian; Liu, Shuangping; Liu, Caixia; Huang, Yuanyuan; Mao, Jian</t>
  </si>
  <si>
    <t>Component and microbial community structure change of Huangjiu undergoing rancidification during pottery jar storage</t>
  </si>
  <si>
    <t>Huangjiu (Chinese rice wine); rancidification; biogenic amine; organic acid; microbial community structure</t>
  </si>
  <si>
    <t>The effects of microbial contamination on the rancidity of Huangjiu (Chinese rice wine) during pottery jar storage were studied. With the increase in the rancidity of Huangjiu, the alcohol content decreased, while the conductivity increased significantly. The sour taste and umami taste of Huangjiu increased, leading to flavor deterioration. Meanwhile, the increase in biogenic amine content makes Huangjiu unfit for drinking. The changes in components showed that the degree of rancidity was related to the metabolism of organic acids and amino acids caused by contaminated microorganisms. According to the analysis of microbial community structure, more microorganisms were found in the severe rancid Huangjiu. This indicated that with the aggravation of the degree of rancidity, the community structure of the contaminated microorganisms becomes complex, and potentially pathogenic microorganisms such as Arcobacter species were detected. Therefore, the change of components of Huangjiu will also affect the community structure of contaminated microorganisms.</t>
  </si>
  <si>
    <t>[Hu, Jian; Liu, Shuangping; Mao, Jian] Jiangnan Univ, Natl Engn Res Ctr Cereal Fermentat &amp; Food Biomfg, Sch Food Sci &amp; Technol, Wuxi, Jiangsu, Peoples R China; [Hu, Jian; Huang, Yuanyuan] Shanghai Jinfeng Wine Co Ltd, Ind Technol Res Inst, Shanghai, Peoples R China; [Liu, Caixia] Jiangnan Univ Shaoxing Ind Technol Res Inst, Shaoxing Key Lab Tradit Fermentat Food &amp; Human Hlt, Shaoxing, Zhejiang, Peoples R China; [Mao, Jian] Jiangnan Univ, Natl Engn Res Ctr Cereal Fermentat &amp; Food Biomfg, Sch Food Sci &amp; Technol, 1800 Lihu Ave, Wuxi 214122, Jiangsu, Peoples R China</t>
  </si>
  <si>
    <t>Jiangnan University; Jiangnan University</t>
  </si>
  <si>
    <t>Mao, J (corresponding author), Jiangnan Univ, Natl Engn Res Ctr Cereal Fermentat &amp; Food Biomfg, Sch Food Sci &amp; Technol, 1800 Lihu Ave, Wuxi 214122, Jiangsu, Peoples R China.</t>
  </si>
  <si>
    <t>maojian@jiangnan.edu.cn</t>
  </si>
  <si>
    <t>National Natural Science Foundation of China [32072205, 22138004]; Connotation construction of Tibetan medicine [2021ZYYGH008]</t>
  </si>
  <si>
    <t>National Natural Science Foundation of China(National Natural Science Foundation of China (NSFC)); Connotation construction of Tibetan medicine</t>
  </si>
  <si>
    <t>The work was supported by the~National Natural Science Foundation of China [32072205, 22138004]; Connotation construction of Tibetan medicine [2021ZYYGH008].</t>
  </si>
  <si>
    <t>10.1080/19476337.2023.2197027</t>
  </si>
  <si>
    <t>D5KY7</t>
  </si>
  <si>
    <t>WOS:000969133200001</t>
  </si>
  <si>
    <t>Hu, JJ; Zhou, YD</t>
  </si>
  <si>
    <t>Hu, Jingjing; Zhou, Yidan</t>
  </si>
  <si>
    <t>Effect of intensive blood pressure lowering on left ventricular hypertrophy in patients with hypertension: a meta-analysis of randomized trials</t>
  </si>
  <si>
    <t>Hypertension; left ventricular hypertrophy; intensive blood pressure lowering</t>
  </si>
  <si>
    <t>END-POINT REDUCTION; CARDIOVASCULAR RISK; PROGNOSTIC IMPLICATIONS; LOSARTAN INTERVENTION; HEART-FAILURE; MASS; MORTALITY; OUTCOMES; REGRESSION; MORBIDITY</t>
  </si>
  <si>
    <t>Background Successful antihypertensive management can limit left ventricular hypertrophy (LVH) and improve the clinical prognosis. However, it remains unclear whether intensive blood pressure (BP) lowering has a greater effect on the occurrence and regression of LVH compared to standard BP lowering.Methods We searched the electronic databases of PubMed, EMBASE and Web of Science from inception to 2 June 2023. Relevant and eligible studies were included. A random-effects model was used to estimate the pooled odds ratio (OR) and 95% confidence intervals (CI).Result Four RCTs including 20,747 patients met our inclusion criteria. The results demonstrated that intensive BP lowering was associated with a significantly lower rate of LVH (OR 0.85; 95%CI: 0.78-0.93; I 2 48.6%) in patients with hypertension compared to standard BP lowering. Subgroup analysis revealed that the effect of intensive BP lowering on LVH was more pronounced in patients with high cardiovascular disease (CVD) risk factors (OR 0.82; 95%CI: 0.72-0.93; I 2 57.9%). In addition, intensive BP lowering led to significant regression of LVH (OR 0.68; 95%CI: 0.52-0.88; I 2 45.5%).Conclusions Our study suggests that intensive BP lowering should be instigated as soon as possible for optimal control of BP and to prevent regression of LVH, especially in patients with high risk of CVD. However, caution is warranted when treating hypertensive patients with LVH to systolic blood pressure (SBP) targets below 130 mm Hg. We conducted a meta-analysis of four randomised controlled trials involving 20,747 patients with hypertension. The result suggested that intensive BP lowering should be instigated as soon as possible for optimal control of BP and to prevent regression of LVH, especially in patients with high risk of CVD. However, caution is warranted when treating hypertensive patients with LVH to SBP targets below 130 mm Hg.</t>
  </si>
  <si>
    <t>[Hu, Jingjing; Zhou, Yidan] Hangzhou Third Peoples Hosp, Dept Emergency Med, Hangzhou, Peoples R China</t>
  </si>
  <si>
    <t>Zhou, YD (corresponding author), Hangzhou Third Peoples Hosp, Dept Emergency Med, Hangzhou, Peoples R China.</t>
  </si>
  <si>
    <t>zhouyidanf@163.com</t>
  </si>
  <si>
    <t>All the authors of the manuscript are immensely grateful to their respective universities and institutes for their technical assistance and valuable support in the completion of this research project.</t>
  </si>
  <si>
    <t>10.1080/08037051.2023.2242501</t>
  </si>
  <si>
    <t>Q2UZ2</t>
  </si>
  <si>
    <t>WOS:001056129900001</t>
  </si>
  <si>
    <t>Hu, SW; Ding, QY; Zhang, W; Kang, MJ; Ma, J; Zhao, LH</t>
  </si>
  <si>
    <t>Hu, Shiwan; Ding, Qiyou; Zhang, Wei; Kang, Mengjiao; Ma, Jing; Zhao, Linhua</t>
  </si>
  <si>
    <t>Gut microbial beta-glucuronidase: a vital regulator in female estrogen metabolism</t>
  </si>
  <si>
    <t>Gut microbiota; gmGUS; estrobolome; estrogen; GUS gene; beta-glucuronidase; breast cancer; menopausal syndrome; hormone replacement therapy; interaction</t>
  </si>
  <si>
    <t>BREAST-CANCER; PHENOLIC STEROIDS; FECAL MICROBIOME; PERITONEAL-FLUID; MENOPAUSE; WOMEN; INHIBITION; PROBIOTICS; ENZYMES; HEALTH</t>
  </si>
  <si>
    <t>A growing amount of evidence has supported that gut microbiota plays a vital role in the reproductive endocrine system throughout a woman's whole life, and gut microbial beta-glucuronidase (gmGUS) is a key factor in regulating host estrogen metabolism. Moreover, estrogen levels also influence the composition as well as the diversity of gut microbiota. In normal condition, the gmGUS-estrogen crosstalk maintains body homeostasis of physiological estrogen level. Once this homeostasis is broken, the estrogen metabolism will be disturbed, resulting in estrogen-related diseases, such as gynecological cancers, menopausal syndrome, etc. together with gut microbial dysbiosis, which may accelerate these pathological processes. In this review, we highlight the regulatory role of gmGUS on the physical estrogen metabolism and estrogen-related diseases, summarize the present evidence of the interaction between gmGUS and estrogen metabolism, and unwrap the potential mechanisms behind them. Finally, gmGUS may become a potential biomarker for early diagnosis of estrogen-induced diseases. Regulating gmGUS activity or transplanting gmGUS-producing microbes shows promise for treating estrogen-related diseases.</t>
  </si>
  <si>
    <t>[Hu, Shiwan; Ding, Qiyou; Zhang, Wei; Zhao, Linhua] China Acad Chinese Med Sci, Guang Anmen Hosp, Inst Metab Dis, Beijing, Peoples R China; [Hu, Shiwan; Ding, Qiyou] Beijing Univ Chinese Med, Grad Sch, Beijing, Peoples R China; [Zhang, Wei; Kang, Mengjiao] Gansu Univ Tradit Chinese Med, Sch Basic Med, Lanzhou, Gansu, Peoples R China; [Ma, Jing] Changchun Univ Chinese Med, Coll Tradit Chinese Med, Changchun, Peoples R China</t>
  </si>
  <si>
    <t>Guang'anmen Hospital, CACMS; China Academy of Chinese Medical Sciences; Beijing University of Chinese Medicine; Gansu University of Chinese Medicine; Changchun University of Chinese Medicine</t>
  </si>
  <si>
    <t>Zhao, LH (corresponding author), China Acad Chinese Med Sci, Guang Anmen Hosp, Inst Metab Dis, Beijing, Peoples R China.</t>
  </si>
  <si>
    <t>melonzhao@163.com</t>
  </si>
  <si>
    <t>Innovation Team and Talents Cultivation Program of National Administration of Traditional Chinese Medicine [ZYYCXTD-D-202001]</t>
  </si>
  <si>
    <t>Innovation Team and Talents Cultivation Program of National Administration of Traditional Chinese Medicine</t>
  </si>
  <si>
    <t>This work was supported by Innovation Team and Talents Cultivation Program of National Administration of Traditional Chinese Medicine. (Grant No. ZYYCXTD-D-202001).</t>
  </si>
  <si>
    <t>10.1080/19490976.2023.2236749</t>
  </si>
  <si>
    <t>O6ZX3</t>
  </si>
  <si>
    <t>WOS:001045275800001</t>
  </si>
  <si>
    <t>Huang, LL; Zhao, Y; Shan, MY; Wang, ST; Chen, JH; Liu, ZQ; Xu, Q</t>
  </si>
  <si>
    <t>Huang, Lili; Zhao, Yu; Shan, Mengying; Wang, Sitong; Chen, Jianhua; Liu, Zhuqing; Xu, Qing</t>
  </si>
  <si>
    <t>Targeting crosstalk of STAT3 between tumor-associated M2 macrophages and Tregs in colorectal cancer</t>
  </si>
  <si>
    <t>Tregs; M2 macrophages; Crosstalk; STAT3; CRC</t>
  </si>
  <si>
    <t>ACTIVATION; COLON</t>
  </si>
  <si>
    <t>A comprehensive analysis of the molecular mechanism underlying colorectal tumor evaluated the development of colorectal cancer (CRC) and proposed targeting small molecular inhibitors. Nonetheless, the adoptive resistance of these therapies remains a challenge with respect to achieving an effective clinical response. Thus, identifying the molecular mechanisms guiding CRC growth is essential. The results of The Cancer Genome Atlas (TCGA) dataset analysis demonstrated a critical role of signal transducer and activator of transcription 3 (STAT3) pathway in tumor immune suppression via modulation of the recruitment of Treg cells and M2 type tumor-associated macrophages. The in vivo experiments elucidate that targeting STAT3 pathways markedly reduce the proportions of TAMs and Tregs by inhibiting tumor progression. These findings revealed crosstalk between Treg cells and M2 macrophages, proving a potential therapeutic strategy for CRC therapy. Combinatorial treatment with STAT3 inhibitor and programmed death 1 (PD-1) antibody therapy effectively prevents CRC tumor growth in a mouse model with high anti-tumor immunity. In summary, targeting STAT3 disrupts the interaction between Treg cells and M2 macrophages and improves the anti-tumor response in CRC, thereby offering a promising strategy to treat patients with CRC.</t>
  </si>
  <si>
    <t>[Huang, Lili; Zhao, Yu; Shan, Mengying; Wang, Sitong; Chen, Jianhua; Liu, Zhuqing; Xu, Qing] Tongji Univ, Shanghai Peoples Hosp 10, Dept Oncol, Sch Med, Shanghai, Peoples R China; [Huang, Lili; Zhao, Yu; Shan, Mengying; Wang, Sitong; Chen, Jianhua; Liu, Zhuqing; Xu, Qing] Tongji Univ, Canc Ctr, Shanghai, Peoples R China; [Liu, Zhuqing; Xu, Qing] Tongji Univ, Shanghai Peoples Hosp 10, Dept Oncol, Sch Med, Shanghai 200072, Peoples R China</t>
  </si>
  <si>
    <t>Tongji University; Tongji University; Tongji University</t>
  </si>
  <si>
    <t>Liu, ZQ; Xu, Q (corresponding author), Tongji Univ, Shanghai Peoples Hosp 10, Dept Oncol, Sch Med, Shanghai 200072, Peoples R China.</t>
  </si>
  <si>
    <t>zhuqingliu2013@163.com; xuqingmd@tongji.edu.cn</t>
  </si>
  <si>
    <t>Chen, Jianhuachen/JFA-7960-2023</t>
  </si>
  <si>
    <t>Fundamental Research Funds for the Central Universities [15012150092, 04.03.21.022]; National Natural Science Foundation of China Foster Program of Shanghai Tenth People's Hospital [SHDC2022CRT009]; Shanghai Shenkang Hospital Development Group Medical and Enterprise Integration and Innovation Cooperation Special Project; [22120220656]</t>
  </si>
  <si>
    <t>Fundamental Research Funds for the Central Universities(Fundamental Research Funds for the Central Universities); National Natural Science Foundation of China Foster Program of Shanghai Tenth People's Hospital; Shanghai Shenkang Hospital Development Group Medical and Enterprise Integration and Innovation Cooperation Special Project;</t>
  </si>
  <si>
    <t>This work was supported by grants from Fundamental Research Funds for the Central Universities (No. 15012150092, 22120220656), National Natural Science Foundation of China Foster Program of Shanghai Tenth People's Hospital (No. 04.03.21.022), Shanghai Shenkang Hospital Development Group Medical and Enterprise Integration and Innovation Cooperation Special Project (No. SHDC2022CRT009).~</t>
  </si>
  <si>
    <t>10.1080/15384047.2023.2226418</t>
  </si>
  <si>
    <t>K8AP9</t>
  </si>
  <si>
    <t>WOS:001018613900001</t>
  </si>
  <si>
    <t>Huang, Q; An, R; Wang, HX; Yang, Y; Tang, C; Wang, JB; Yu, WH; Zhou, YA; Zhang, YM; Wu, DJ; Li, B; Yang, H; Lu, SY; Peng, XZ</t>
  </si>
  <si>
    <t>Huang, Qing; An, Ran; Wang, Haixuan; Yang, Yun; Tang, Cong; Wang, Junbin; Yu, Wenhai; Zhou, Yanan; Zhang, Yongmei; Wu, Daoju; Li, Bai; Yang, Hao; Lu, Shuaiyao; Peng, Xiaozhong</t>
  </si>
  <si>
    <t>Aggravated pneumonia and diabetes in SARS-CoV-2 infected diabetic mice</t>
  </si>
  <si>
    <t>SARS-CoV-2; diabetes; risk factor; mice model; pneumonia</t>
  </si>
  <si>
    <t>PLASMA-GLUCOSE; MORTALITY; COVID-19; INFLAMMATION; CORONAVIRUS; CYTOSCAPE; SARS</t>
  </si>
  <si>
    <t>Multiple clinical and epidemiological studies have shown an interconnection between coronavirus disease 2019 (COVID-19) and diabetes, but experimental evidence is still lacking. Understanding the interplay between them is important because of the global health burden of COVID-19 and diabetes. We found that C57BL/6J mice were susceptible to the alpha strain of SARS-CoV-2. Moreover, diabetic C57BL/6J mice with leptin receptor gene deficiency (db/db mice) showed a higher viral load in the throat and lung and slower virus clearance in the throat after infection than C57BL/6J mice. Histological and multifactor analysis revealed more advanced pulmonary injury and serum inflammation in SARS-CoV-2 infected diabetic mice. Moreover, SARS-CoV-2 infected diabetic mice exhibited more severe insulin resistance and islet cell loss than uninfected diabetic mice. By RNA sequencing analysis, we found that diabetes may reduce the collagen level, suppress the immune response and aggravate inflammation in the lung after infection, which may account for the greater susceptibility of diabetic mice and their more severe lung damage after infection. In summary, we successfully established a SARS-CoV-2 infected diabetic mice model and demonstrated that diabetes and COVID-19 were risk factors for one another.</t>
  </si>
  <si>
    <t>[Huang, Qing; An, Ran; Wang, Haixuan; Yang, Yun; Tang, Cong; Wang, Junbin; Yu, Wenhai; Zhou, Yanan; Zhang, Yongmei; Wu, Daoju; Li, Bai; Yang, Hao; Lu, Shuaiyao; Peng, Xiaozhong] Chinese Acad Med Sci &amp; Peking Union Med Coll, Inst Med Biol, Kunming, Yunnan, Peoples R China; [Peng, Xiaozhong] Chinese Acad Med Sci, Peking Union Med Coll, Sch Basic Med, State Key Lab Med Mol Biol,Dept Mol Biol &amp; Biochem, Beijing, Peoples R China</t>
  </si>
  <si>
    <t>Chinese Academy of Medical Sciences - Peking Union Medical College; Peking Union Medical College; Institute of Medical Biology - CAMS; Chinese Academy of Medical Sciences - Peking Union Medical College; Peking Union Medical College</t>
  </si>
  <si>
    <t>Lu, SY; Peng, XZ (corresponding author), Chinese Acad Med Sci &amp; Peking Union Med Coll, Inst Med Biol, Kunming, Yunnan, Peoples R China.;Peng, XZ (corresponding author), Chinese Acad Med Sci, Peking Union Med Coll, Sch Basic Med, State Key Lab Med Mol Biol,Dept Mol Biol &amp; Biochem, Beijing, Peoples R China.</t>
  </si>
  <si>
    <t>lushuaiyao-km@163.com; pengxiaozhong@pumc.edu.cn</t>
  </si>
  <si>
    <t>yu, wenhai/HII-5242-2022</t>
  </si>
  <si>
    <t>Peng, Xiaozhong/0000-0002-9592-9554</t>
  </si>
  <si>
    <t>National Key R&amp;D Program of China [2021YFC230170402, 2021YFC0864600, 2020YFA0707602]; CAMS Innovation Fund for Medical Sciences [2021-I2M-1-038]; Key R&amp;D Program of Yunnan Province [202103AQ100001]; Foundation for Innovative Research Groups of the National Natural Science Foundation of China [82221004]</t>
  </si>
  <si>
    <t>National Key R&amp;D Program of China; CAMS Innovation Fund for Medical Sciences; Key R&amp;D Program of Yunnan Province; Foundation for Innovative Research Groups of the National Natural Science Foundation of China(National Natural Science Foundation of China (NSFC))</t>
  </si>
  <si>
    <t>This study was supported by the National Key R&amp;D Program of China [2021YFC230170402, 2021YFC0864600, 2020YFA0707602], CAMS Innovation Fund for Medical Sciences [2021-I2M-1-038], Key R&amp;D Program of Yunnan Province [202103AQ100001], the Foundation for Innovative Research Groups of the National Natural Science Foundation of China [82221004].</t>
  </si>
  <si>
    <t>10.1080/22221751.2023.2203782</t>
  </si>
  <si>
    <t>F1WA4</t>
  </si>
  <si>
    <t>WOS:000980308500001</t>
  </si>
  <si>
    <t>Huertas-Diaz, L; Kyhnau, R; Ingribelli, E; Neuzil-Bunesova, V; Li, Q; Sasaki, M; Lauener, RP; Roduit, C; Frei, R; CK CARE Study Grp; Sundekilde, U; Schwab, C</t>
  </si>
  <si>
    <t>Huertas-Diaz, Lucia; Kyhnau, Rikke; Ingribelli, Eugenio; Neuzil-Bunesova, Vera; Li, Qing; Sasaki, Mari; Lauener, Roger P.; Roduit, Caroline; Frei, Remo; CK CARE Study Grp, Ck-care; Sundekilde, Ulrik; Schwab, Clarissa</t>
  </si>
  <si>
    <t>Breastfeeding and the major fermentation metabolite lactate determine occurrence of Peptostreptococcaceae in infant feces</t>
  </si>
  <si>
    <t>Exclusively breastfeeding; gut microbiota; lactate; Peptostreptococcaceae; HMO fermentation metabolites; &gt;</t>
  </si>
  <si>
    <t>HUMAN-MILK OLIGOSACCHARIDES; LACTIC-ACID BACTERIA; FORMULA-FED INFANTS; CLOSTRIDIUM-DIFFICILE; ESCHERICHIA-COLI; COLONIZATION; ABSORPTION; SPOILAGE; BUTYRATE</t>
  </si>
  <si>
    <t>Previous studies indicated an intrinsic relationship between infant diet, intestinal microbiota composition and fermentation activity with a strong focus on the role of breastfeeding on microbiota composition. Yet, microbially formed short-chain fatty acids acetate, propionate and butyrate and other fermentation metabolites such as lactate not only act as substrate for bacterial cross-feeding and as mediators in microbe-host interactions but also confer antimicrobial activity, which has received considerably less attention in the past research. It was the aim of this study to investigate the nutritional-microbial interactions that contribute to the development of infant gut microbiota with a focus on human milk oligosaccharide (HMO) fermentation. Infant fecal microbiota composition, fermentation metabolites and milk composition were analyzed from 69 mother-infant pairs of the Swiss birth cohort Childhood AlleRgy nutrition and Environment (CARE) at three time points depending on breastfeeding status defined at the age of 4 months, using quantitative microbiota profiling, HPLC-RI and H-1-NMR. We conducted in vitro fermentations in the presence of HMO fermentation metabolites and determined the antimicrobial activity of lactate and acetate against major Clostridiaceae and Peptostreptococcaceae representatives. Our data show that fucosyllactose represented 90% of the HMOs present in breast milk at 1- and 3-months post-partum with fecal accumulation of fucose, 1,2-propanediol and lactate indicating fermentation of HMOs that is likely driven by Bifidobacterium. Concurrently, there was a significantly lower absolute abundance of Peptostreptococcaceae in feces of exclusively breastfed infants at 3 months. In vitro, lactate inhibited strains of Peptostreptococcaceae. Taken together, this study not only identified breastfeeding dependent fecal microbiota and metabolite profiles but suggests that HMO-derived fermentation metabolites might exert an inhibitory effect against selected gut microbes.</t>
  </si>
  <si>
    <t>[Huertas-Diaz, Lucia; Li, Qing; Schwab, Clarissa] Aarhus Univ, Dept Biol &amp; Chem Engn, Aarhus, Denmark; [Kyhnau, Rikke; Sundekilde, Ulrik] Aarhus Univ, Dept Food Sci, Aarhus, Denmark; [Ingribelli, Eugenio; Neuzil-Bunesova, Vera] Czech Univ Life Sci Prague, Dept Microbiol Nutr &amp; Dietet, Prague, Czech Republic; [Sasaki, Mari; Roduit, Caroline] Univ Childrens Hosp Zurich, Zurich, Switzerland; [Lauener, Roger P.; Roduit, Caroline; Frei, Remo] Christine Kuhne Ctr Allergy Res &amp; Educ CK CARE, Davos, Switzerland; [Lauener, Roger P.; Roduit, Caroline] Childrens Hosp St Gallen, St Gallen, Switzerland; [Roduit, Caroline; Frei, Remo] Univ Bern, Dept Paediat, Inselspital, Bern, Switzerland</t>
  </si>
  <si>
    <t>Aarhus University; Aarhus University; Czech University of Life Sciences Prague; University Children's Hospital Zurich; University of Bern</t>
  </si>
  <si>
    <t>Schwab, C (corresponding author), Aarhus Univ, Dept Biol &amp; Chem Engn, Aarhus, Denmark.</t>
  </si>
  <si>
    <t>schwab@bce.au.dk</t>
  </si>
  <si>
    <t>Li, Qing/0000-0003-3317-9396; Sundekilde, Ulrik/0000-0003-4849-0996; Huertas-Diaz, Lucia/0000-0001-8273-841X</t>
  </si>
  <si>
    <t>Aarhus Universitets Forskningsfond; Novo Nordisk Foundation [NNF21OC0066725]; Christine Kuhne-Center for Allergy Research and Education (CK CARE)</t>
  </si>
  <si>
    <t>Aarhus Universitets Forskningsfond; Novo Nordisk Foundation(Novo Nordisk FoundationNovocure Limited); Christine Kuhne-Center for Allergy Research and Education (CK CARE)</t>
  </si>
  <si>
    <t>CS acknowledges funding from the Aarhus Universitets Forskningsfond (starting grant to CS) and the Novo Nordisk Foundation (NNF21OC0066725). Furthermore, the study was funded by the Christine Kuhne-Center for Allergy Research and Education (CK CARE).</t>
  </si>
  <si>
    <t>10.1080/19490976.2023.2241209</t>
  </si>
  <si>
    <t>P4HI2</t>
  </si>
  <si>
    <t>WOS:001050268300001</t>
  </si>
  <si>
    <t>Ibba, L; Gargiulo, L; Alfano, A; Ingurgio, RC; Costanzo, A; Valenti, M; Narcisi, A</t>
  </si>
  <si>
    <t>Ibba, Luciano; Gargiulo, Luigi; Alfano, Angela; Ingurgio, Ruggero Cascio; Costanzo, Antonio; Valenti, Mario; Narcisi, Alessandra</t>
  </si>
  <si>
    <t>Anti-IL-23 and anti-IL-17 drugs for the treatment of non-pustular palmoplantar psoriasis: a real-life retrospective study</t>
  </si>
  <si>
    <t>Biologics; palmoplantar; psoriasis; real-life</t>
  </si>
  <si>
    <t>SEVERE PLAQUE PSORIASIS; PLACEBO</t>
  </si>
  <si>
    <t>[Ibba, Luciano; Gargiulo, Luigi; Alfano, Angela; Ingurgio, Ruggero Cascio; Costanzo, Antonio; Valenti, Mario; Narcisi, Alessandra] IRCCS Humanitas Res Hosp, Dermatol Unit, Rozzano, Italy; [Ibba, Luciano; Gargiulo, Luigi; Alfano, Angela; Ingurgio, Ruggero Cascio; Costanzo, Antonio; Valenti, Mario] Humanitas Univ, Dept Biomed Sci, Pieve Emanuele, Italy</t>
  </si>
  <si>
    <t>Humanitas University</t>
  </si>
  <si>
    <t>Ibba, L (corresponding author), IRCCS Humanitas Res Hosp, Dermatol Unit, Rozzano, Italy.</t>
  </si>
  <si>
    <t>luciano.ibba@humanitas.it</t>
  </si>
  <si>
    <t>Gargiulo, Luigi/AAB-4094-2021; Valenti, Mario/ABE-7294-2020</t>
  </si>
  <si>
    <t>Gargiulo, Luigi/0000-0002-6051-1676; Valenti, Mario/0000-0001-9140-9263</t>
  </si>
  <si>
    <t>10.1080/09546634.2023.2199108</t>
  </si>
  <si>
    <t>D9UR4</t>
  </si>
  <si>
    <t>WOS:000972113100001</t>
  </si>
  <si>
    <t>Iqbal, UJ; Bukhari, S; Khalid, R</t>
  </si>
  <si>
    <t>Iqbal, Usama Javed; Bukhari, Shazia; Khalid, Roshaan</t>
  </si>
  <si>
    <t>Internalizing Dehumanization: An Althusserian Anatomization of Jamil Ahmed's the Wandering Falcon</t>
  </si>
  <si>
    <t>Baloch; Dehumanization; Inconspicious; Internalizing; Ideological; Manipulation; &gt;</t>
  </si>
  <si>
    <t>This article aims to cross-examine the ideological manipulation of people living in tribal areas of Pakistan in the light of Jamil Ahmed's The Wandering Falcon. Baloch people are bereft of their basic human rights of even owning the place where they live. This naturally rich land full of mineral resources is feudalized and grabbed by their landlords and is sold to the international mafia via the state of their country. This looting and grabbing of land resources have been rationalized in media through the portrayal of a terrorized image of Baloch people living across the globe. Not only the state but other important social institutes such as education and religion are also playing their hegemonic role in internalizing a dehumanized identity in Baloch people where they do not even have the right to call their living place their place, where they cannot demand the proper education and health facilities from the state. The inconspicuous role of the institutes including education, media, and religion in fulfilling the state agenda is the impetus behind this article.</t>
  </si>
  <si>
    <t>[Iqbal, Usama Javed] Int Islamic Univ, Dept English, Islamabad, Pakistan; [Bukhari, Shazia] Univ Cent Punjab, Dept English, Lahore, Pakistan; [Khalid, Roshaan] Univ Lahore, Dept English, Islamabad, Pakistan; [Iqbal, Usama Javed] Int Islamic Univ Islamabad, House 32,Block K,Architect Engineers Housing Soc L, Islamabad, Pakistan</t>
  </si>
  <si>
    <t>International Islamic University, Pakistan; University of Central Punjab; International Islamic University, Pakistan</t>
  </si>
  <si>
    <t>Iqbal, UJ (corresponding author), Int Islamic Univ Islamabad, House 32,Block K,Architect Engineers Housing Soc L, Islamabad, Pakistan.</t>
  </si>
  <si>
    <t>usamachaudhry23@gmail.com</t>
  </si>
  <si>
    <t>10.1080/23311983.2023.2242133</t>
  </si>
  <si>
    <t>O1FV0</t>
  </si>
  <si>
    <t>WOS:001041355000001</t>
  </si>
  <si>
    <t>Jackson-Morris, A; Sembajwe, R; Mustapha, FI; Chandran, A; Niyonsenga, SP; Gishoma, C; Onyango, E; Muriuki, Z; Dharamraj, K; Ellermeier, N; Nugent, R; Kazlauskaite, R</t>
  </si>
  <si>
    <t>Jackson-Morris, Angela; Sembajwe, Rita; Mustapha, Feisul Idzwan; Chandran, Arunah; Niyonsenga, Simon Pierre; Gishoma, Crispin; Onyango, Elizabeth; Muriuki, Zachariah; Dharamraj, Kavita; Ellermeier, Nathan; Nugent, Rachel; Kazlauskaite, Rasa</t>
  </si>
  <si>
    <t>Identifying the necessary capacities for the adaptation of a diabetes phenotyping algorithm in countries of differing economic development status</t>
  </si>
  <si>
    <t>Diabetes; health information system; non-communicable diseases; LMICs; phenotype</t>
  </si>
  <si>
    <t>Background In 2019, the World Health Organization recognised diabetes as a clinically and pathophysiologically heterogeneous set of related diseases. Little is currently known about the diabetes phenotypes in the population of low- and middle-income countries (LMICs), yet identifying their different risks and aetiology has great potential to guide the development of more effective, tailored prevention and treatment. Objectives This study reviewed the scope of diabetes datasets, health information ecosystems, and human resource capacity in four countries to assess whether a diabetes phenotyping algorithm (developed under a companion study) could be successfully applied. Methods The capacity assessment was undertaken with four countries: Trinidad, Malaysia, Kenya, and Rwanda. Diabetes programme staff completed a checklist of available diabetes data variables and then participated in semi-structured interviews about Health Information System (HIS) ecosystem conditions, diabetes programme context, and human resource needs. Descriptive analysis was undertaken. Results Only Malaysia collected the full set of the required diabetes data for the diabetes algorithm, although all countries did collect the required diabetes complication data. An HIS ecosystem existed in all settings, with variations in data hosting and sharing. All countries had access to HIS or ICT support, and epidemiologists or biostatisticians to support dataset preparation and algorithm application. Conclusions Malaysia was found to be most ready to apply the phenotyping algorithm. A fundamental impediment in the other settings was the absence of several core diabetes data variables. Additionally, if countries digitise diabetes data collection and centralise diabetes data hosting, this will simplify dataset preparation for algorithm application. These issues reflect common LMIC health systems' weaknesses in relation to diabetes care, and specifically highlight the importance of investment in improving diabetes data, which can guide population-tailored prevention and management approaches.</t>
  </si>
  <si>
    <t>[Jackson-Morris, Angela; Sembajwe, Rita; Nugent, Rachel] RTI Int, Ctr Global Noncommunicable Dis, Social Stat &amp; Environm Sci, Seattle, WA USA; [Mustapha, Feisul Idzwan; Chandran, Arunah] Malaysia Minist Hlth, Dis Control Div, NCD Sect, Kuala Lumpur, Malaysia; [Niyonsenga, Simon Pierre] Rwanda Biomed Ctr, Dept Biotechnol, Kigali, Rwanda; [Gishoma, Crispin] Rwanda Diabet Assoc, Kigali, Rwanda; [Onyango, Elizabeth; Muriuki, Zachariah] Kenya Minist Hlth, Div Noncommunicable Dis Prevent &amp; Control, Nairobi, Kenya; [Dharamraj, Kavita] South Western Reg Hlth Author, Princes Town, Trinidad Tobago; [Ellermeier, Nathan] Ctr Global Noncommunicable Dis, Durham, NC USA; [Kazlauskaite, Rasa] RUSH Univ, Med Ctr, Dept Internal Med, Chicago, IL USA; [Jackson-Morris, Angela] RTI Int, Ctr Global Noncommunicable Dis, 3040 Cornwallis Rd, Durham, NC 27709 USA</t>
  </si>
  <si>
    <t>Research Triangle Institute; Kementerian Kesihatan Malaysia; Rwanda Biomedical Center; Rush University; Research Triangle Institute</t>
  </si>
  <si>
    <t>Jackson-Morris, A (corresponding author), RTI Int, Ctr Global Noncommunicable Dis, 3040 Cornwallis Rd, Durham, NC 27709 USA.</t>
  </si>
  <si>
    <t>ajackson-morris@rti.org</t>
  </si>
  <si>
    <t>10.1080/16549716.2022.2157542</t>
  </si>
  <si>
    <t>8C7KW</t>
  </si>
  <si>
    <t>WOS:000917784100001</t>
  </si>
  <si>
    <t>Jiang, W; Zhang, YX; Zhang, W; Pan, XM; Liu, JY; Chen, Q; Chen, JH</t>
  </si>
  <si>
    <t>Jiang, Wen; Zhang, Yuxiang; Zhang, Wei; Pan, Xiaomei; Liu, Jieyu; Chen, Qiang; Chen, Junhui</t>
  </si>
  <si>
    <t>Hirsutine ameliorates myocardial ischemia-reperfusion injury through improving mitochondrial function via CaMKII pathway</t>
  </si>
  <si>
    <t>CLINICAL AND EXPERIMENTAL HYPERTENSION</t>
  </si>
  <si>
    <t>Hirsutine; myocardial ischemia-reperfusion injury; mitochondria; apoptosis</t>
  </si>
  <si>
    <t>CARDIOMYOPATHY; ACTIVATION; ALKALOIDS; APOPTOSIS; COMPOUND; ROLES; HEART; CA2+; AKT</t>
  </si>
  <si>
    <t>Acute myocardial infarction (AMI) is the leading cause of death worldwide. Ischemia-reperfusion (I/R) injury is considered the most common contributor to AMI. Hirsutine has been shown to protect cardiomyocytes against hypoxic injury. The present study investigated whether hirsutine improved AMI induced by I/R injury and the underlying mechanisms. In our study, we used a rat model of myocardial I/R injury. The rats were given hirsutine daily (5, 10, 20 mg/kg) by gavage for 15 days before the myocardial I/R injury. Detectable changes were observed in myocardial infarct size, mitochondrial function, histological damage, and cardiac cell apoptosis. According to our findings, hirsutine pre-treatment reduced the myocardial infarct size, enhanced cardiac function, inhibited cell apoptosis, reduced the tissue lactate dehydrogenase (LDH) and reactive oxygen species (ROS) content, as well as enhanced myocardial ATP content and mitochondrial complex activity. In addition, hirsutine balanced mitochondrial dynamics by increasing Mitofusin2 (Mfn2) expression while decreasing dynamin-related protein 1 phosphorylation (p-Drp1), which was partially regulated by ROS and calmodulin-dependent protein kinase II phosphorylation (p-CaMKII). Mechanistically, hirsutine inhibited mitochondrial-mediated apoptosis during I/R injury by blocking the AKT/ASK-1/p38 MAPK pathway. This present study provides a promising therapeutic intervention for myocardial I/R injury.</t>
  </si>
  <si>
    <t>[Jiang, Wen; Pan, Xiaomei; Liu, Jieyu; Chen, Qiang; Chen, Junhui] Xinjiang Med Univ, Affiliated Hosp 6, Dept Pharm, Urumqi, Xinjiang, Peoples R China; [Zhang, Yuxiang] Xinjiang Med Univ, Affiliated Hosp 6, Dept Lab, Urumqi, Xinjiang, Peoples R China; [Zhang, Wei] Xinjiang Med Univ, Affiliated Hosp 1, Dept Anesthesiol, Urumqi, Xinjiang, Peoples R China; [Chen, Junhui] Xinjiang Med Univ, Affiliated Hosp 6, Dept Pharm, 39 Wuxing South Rd, Urumqi, Xinjiang, Peoples R China</t>
  </si>
  <si>
    <t>Xinjiang Medical University; Xinjiang Medical University; Xinjiang Medical University; Xinjiang Medical University</t>
  </si>
  <si>
    <t>Chen, JH (corresponding author), Xinjiang Med Univ, Affiliated Hosp 6, Dept Pharm, 39 Wuxing South Rd, Urumqi, Xinjiang, Peoples R China.</t>
  </si>
  <si>
    <t>295753926@qq.com</t>
  </si>
  <si>
    <t>National Natural Science Foundation: Mechanisms of the Protective Effects of Tilianin Against Myocardium Ischemia/Reperfusion Injury Through Ox-CaMKII-mediated Mitochondrial Regulating Pathway [81760045]</t>
  </si>
  <si>
    <t>National Natural Science Foundation: Mechanisms of the Protective Effects of Tilianin Against Myocardium Ischemia/Reperfusion Injury Through Ox-CaMKII-mediated Mitochondrial Regulating Pathway</t>
  </si>
  <si>
    <t>The National Natural Science Foundation: Mechanisms of the Protective Effects of Tilianin Against Myocardium Ischemia/Reperfusion Injury Through Ox-CaMKII-mediated Mitochondrial Regulating Pathway (No. 81760045).</t>
  </si>
  <si>
    <t>1064-1963</t>
  </si>
  <si>
    <t>1525-6006</t>
  </si>
  <si>
    <t>CLIN EXP HYPERTENS</t>
  </si>
  <si>
    <t>Clin. Exp. Hypertens.</t>
  </si>
  <si>
    <t>10.1080/10641963.2023.2192444</t>
  </si>
  <si>
    <t>Pharmacology &amp; Pharmacy; Peripheral Vascular Disease</t>
  </si>
  <si>
    <t>Pharmacology &amp; Pharmacy; Cardiovascular System &amp; Cardiology</t>
  </si>
  <si>
    <t>A5BG5</t>
  </si>
  <si>
    <t>WOS:000955268800001</t>
  </si>
  <si>
    <t>Jiffry, MZM; Kloss, R; Ahmed-khan, M; Carmona-Pires, F; Okam, N; Weeraddana, P; Dharmaratna, D; Dandwani, M; Moin, K</t>
  </si>
  <si>
    <t>Jiffry, Mohamed Zakee Mohamed; Kloss, Robert; Ahmed-khan, Mohammad; Carmona-Pires, Felipe; Okam, Nkechi; Weeraddana, Prabasha; Dharmaratna, Dinusha; Dandwani, Mehndi; Moin, Kayvon</t>
  </si>
  <si>
    <t>A review of treatment options employed in relapsed/refractory AML</t>
  </si>
  <si>
    <t>Acute myeloid leukemia; relapsed; refractory AML; salvage therapy AML; malignant hematology; chemotherapy regimens AML; immunotherapy AML; targeted therapy AML</t>
  </si>
  <si>
    <t>ACUTE MYELOID-LEUKEMIA; ACUTE MYELOGENOUS LEUKEMIA; STEM-CELL TRANSPLANTATION; INTERMEDIATE-DOSE CYTARABINE; DONOR LYMPHOCYTE INFUSION; MINIMAL RESIDUAL DISEASE; CYTOSINE-ARABINOSIDE; ELDERLY-PATIENTS; PHASE-III; ARA-C</t>
  </si>
  <si>
    <t>Introduction: Acute myeloid leukemia [AML] is a heterogenous group of primary hematopoietic neoplasms arising from myeloid precursor cells. Up to 50% of patients failed to achieve remission with initial therapy and go on to develop refractory AML. Whenever possible, enrollment in a clinical trial in view of the paucity of evidence surrounding a clearly superior treatment modality is recommended, and the therapy which provides the best chance for cure post remission is allogeneic hematopoietic stem cell transplantation [HCT], with much of everyday clinical decision-making in relapsed/refractory (R/R) AML surrounding the choice of the least toxic regimen that could achieve remission and enable prompt HCT. Discussion: We discuss a variety of treatment modalities employed in the R/R AML setting beginning with traditional cytotoxic regimens. We then turn our attention to targeted therapies that have shown efficacy in specific patient populations such as the IDH inhibitors and FLT3 inhibitors and lastly, we turn our attention to immunotherapeutic agents employed in the R/R in the setting, such as CD33 inhibitors and bispecific antibodies. Conclusion: It appears increasingly clear that approaching AML as a homogenous disease entity is unsatisfactory in view of the variations in such disease factors as cytogenetic and molecular markers, age, and disease severity at presentation; all of which contribute significantly to heterogeneity of the disease. Moving forward, treating AML would likely require tailored therapy following advances in technology such as molecular profiling, drug sensitivity and resistance testing.</t>
  </si>
  <si>
    <t>[Jiffry, Mohamed Zakee Mohamed; Ahmed-khan, Mohammad; Carmona-Pires, Felipe; Okam, Nkechi; Weeraddana, Prabasha; Dharmaratna, Dinusha; Dandwani, Mehndi] Danbury Hosp, Dept Internal Med, Danbury, CT 06810 USA; [Kloss, Robert] Danbury Hosp, Dept Hematol &amp; Oncol, Danbury, CT USA; [Moin, Kayvon] Amer Univ Caribbean, Sch Med, Cupecoy, Sint Maarten</t>
  </si>
  <si>
    <t>Jiffry, MZM (corresponding author), Danbury Hosp, Dept Internal Med, Danbury, CT 06810 USA.</t>
  </si>
  <si>
    <t>zakeejiffry@live.com</t>
  </si>
  <si>
    <t>Mashiya, Nombeko Monica/AET-3950-2022</t>
  </si>
  <si>
    <t>Mashiya, Nombeko Monica/0000-0003-0124-9118; Mohamed Jiffry, Mohamed Zakee/0000-0003-4400-1630; clark, sandra/0009-0001-9710-3334; saka, JIKSH/0000-0002-1504-3746</t>
  </si>
  <si>
    <t>10.1080/16078454.2023.2196482</t>
  </si>
  <si>
    <t>D0CO4</t>
  </si>
  <si>
    <t>WOS:000965495200001</t>
  </si>
  <si>
    <t>Johansson, M; Higgins, KL; Nzefa, LD; Benderix, Y</t>
  </si>
  <si>
    <t>Johansson, Maude; Higgins, Kajsa Ledung; Nzefa, Leoine Dapi; Benderix, Ylva</t>
  </si>
  <si>
    <t>Postpartum depression and life experiences of mothers with an immigrant background living in the south of Sweden</t>
  </si>
  <si>
    <t>INTERNATIONAL JOURNAL OF QUALITATIVE STUDIES ON HEALTH AND WELL-BEING</t>
  </si>
  <si>
    <t>Depression; integration; health literacy; life experiences; migrated mothers; postpartum depression; psychosomatic symptoms; qualitative study</t>
  </si>
  <si>
    <t>RISK-FACTORS; WOMEN; REFUGEE; POPULATION; PREVALENCE; SYMPTOMS; SEEKING</t>
  </si>
  <si>
    <t>Purpose Postpartum Depression (PPD) -a common health problem for mothers' postpartum increases the risk of negative interaction between mothers and infants as it reduces the former's ability to respond to the latter's needs appropriately. Migrant mothers exhibit a higher prevalence of risk factors for PPD. Hence, this study aimed to investigate migrant mothers' life experiences pertaining to motherhood and PPD. Methods Qualitative interviews were conducted with 10 immigrant mothers in the south of Sweden during 2021. Results The qualitative content analysis revealed the following main themes: 1) PPD (two sub themes-psychosomatic symptoms and burden of responsibility due to feelings of loneliness); 2) mistrust of social services (one sub-theme-afraid of losing their children and Swedish social services' lack of understanding); 3) inadequate healthcare (two sub-themes-limited healthcare literacy for migrant mothers and language barrier; 4) women's coping strategy for well-being (two sub-themes-better awareness and understanding of the Swedish system and society, and freedom and independence in the new country). Conclusions PPD, mistrust of social services, and inadequate healthcare lacking personal continuity were common among immigrant women, thus precipitating discrimination-including lack of access to services because of limited health literacy, cultural differences, language barriers, and insufficient support.</t>
  </si>
  <si>
    <t>[Johansson, Maude; Higgins, Kajsa Ledung; Nzefa, Leoine Dapi; Benderix, Ylva] Linnaeus Univ, Dept Psychol, Vaxjo, Sweden; [Johansson, Maude] Linnaeus Univ, Dept Psychol, Trummenvagen 11, S-35251 Vaxjo, Sweden</t>
  </si>
  <si>
    <t>Linnaeus University; Linnaeus University</t>
  </si>
  <si>
    <t>Johansson, M (corresponding author), Linnaeus Univ, Dept Psychol, Trummenvagen 11, S-35251 Vaxjo, Sweden.</t>
  </si>
  <si>
    <t>maude.johansson@lnu.se</t>
  </si>
  <si>
    <t>Johansson, Maude/0000-0002-5334-7011</t>
  </si>
  <si>
    <t>1748-2623</t>
  </si>
  <si>
    <t>1748-2631</t>
  </si>
  <si>
    <t>INT J QUAL STUD HEAL</t>
  </si>
  <si>
    <t>Int. J. Qual. Stud. Health Well-Being</t>
  </si>
  <si>
    <t>10.1080/17482631.2023.2187333</t>
  </si>
  <si>
    <t>Public, Environmental &amp; Occupational Health; Nursing; Social Sciences, Biomedical</t>
  </si>
  <si>
    <t>Public, Environmental &amp; Occupational Health; Nursing; Biomedical Social Sciences</t>
  </si>
  <si>
    <t>9R4JD</t>
  </si>
  <si>
    <t>WOS:000945620500001</t>
  </si>
  <si>
    <t>Kajihara, N; Tanaka, Y; Takeuchi, R; Kobayashi, T; Tanji, M; Ataka, T; Nakano, S; Yamada, T; Takaoka, A; Hasegawa, Y; Seino, KI; Wada, H</t>
  </si>
  <si>
    <t>Kajihara, Nabeel; Tanaka, Yoshino; Takeuchi, Riko; Kobayashi, Takuto; Tanji, Masafumi; Ataka, Tsukasa; Nakano, Shiho; Yamada, Taisho; Takaoka, Akinori; Hasegawa, Yoshinori; Seino, Ken-Ichiro; Wada, Haruka</t>
  </si>
  <si>
    <t>Augmented interferon regulatory factor 7 axis in whole tumor cell vaccines prevents tumor recurrence by inducing interferon gamma-secreting B cells</t>
  </si>
  <si>
    <t>ONCOIMMUNOLOGY</t>
  </si>
  <si>
    <t>B cell; IFN gamma; Irf7; vaccine; whole tumor cell vaccine</t>
  </si>
  <si>
    <t>IMMUNOTHERAPY; RADIOTHERAPY; TRIAL</t>
  </si>
  <si>
    <t>Among cancer immunotherapy, which has received great attention in recent years, cancer vaccines can potentially prevent recurrent tumors by using the exquisite power and specificity of the immune system. Specifically, whole tumor cell vaccines (WTCVs) based on surgically resected tumors have been considered to elicit robust anti-tumor immune responses by exposing various tumor-associated antigens to host immunity. However, most tumors have little immunogenicity because of immunoediting by continuous interactions with host immunity; thus, preparing WTCVs based on patient-derived non-modified tumors cannot prevent tumor onset. Hence, the immunogenicity of tumor cells must be improved for effective WTCVs. In this study, we indicate the importance of the interferon regulatory factor 7 (Irf7) axis, including Irf7 and its downstream factors, within tumor cells in regulating immunogenicity. Indeed, WTCVs that augmented the Irf7 axis have exerted remarkable recurrence-preventive effects when vaccinated after tumor inactivation by radiation. Most notably, vaccination with murine colon cancer cells that enhanced the Irf7 axis prevented the development of challenged tumors in all mice and resulted in a 100% survival rate during the observation period. Furthermore, the mechanism leading to vaccine effectiveness was mediated by interferon-gamma-producing B cells. This study provides novel insights into how to enhance tumor immunogenicity and use WTCVs as recurrence prophylaxis.</t>
  </si>
  <si>
    <t>[Kajihara, Nabeel; Tanaka, Yoshino; Takeuchi, Riko; Kobayashi, Takuto; Tanji, Masafumi; Ataka, Tsukasa; Nakano, Shiho; Seino, Ken-Ichiro; Wada, Haruka] Hokkaido Univ, Inst Genet Med, Grad Sch Med, Div Immunobiol, Sapporo, Japan; [Yamada, Taisho; Takaoka, Akinori] Hokkaido Univ, Inst Genet Med, Div Signaling Canc &amp; Immunol, Sapporo, Japan; [Hasegawa, Yoshinori] Kazusa DNA Res Inst, Dept Appl Genom, Lab Gene Sequencing Anal, Kisarazu, Japan; [Seino, Ken-Ichiro; Wada, Haruka] Hokkaido Univ, Inst Genet Med, Grad Sch Med, Div Immunobiol, Kita 15 Nishi 7, Sapporo 0600815, Japan</t>
  </si>
  <si>
    <t>Hokkaido University; Hokkaido University; Kazusa DNA Research Institute; Hokkaido University</t>
  </si>
  <si>
    <t>Seino, KI; Wada, H (corresponding author), Hokkaido Univ, Inst Genet Med, Grad Sch Med, Div Immunobiol, Kita 15 Nishi 7, Sapporo 0600815, Japan.</t>
  </si>
  <si>
    <t>seino@igm.hokudai.ac.jp; wada@igm.hokudai.ac.jp</t>
  </si>
  <si>
    <t>Ministry of Education, Culture, Sports, Science and Technology of Japan [22K19449, 18K07286]; Joint Research Program of the Institute for Genetic Medicine; project of junior scientist promotion; Photo-excitonix Project in Hokkaido University; GSK Japan Research Grant; JST SPRING [JPMJSP2119]; JSPS KAKENHI [22J21076]</t>
  </si>
  <si>
    <t>Ministry of Education, Culture, Sports, Science and Technology of Japan(Ministry of Education, Culture, Sports, Science and Technology, Japan (MEXT)); Joint Research Program of the Institute for Genetic Medicine; project of junior scientist promotion; Photo-excitonix Project in Hokkaido University; GSK Japan Research Grant; JST SPRING; JSPS KAKENHI(Ministry of Education, Culture, Sports, Science and Technology, Japan (MEXT)Japan Society for the Promotion of ScienceGrants-in-Aid for Scientific Research (KAKENHI))</t>
  </si>
  <si>
    <t>This work was partly supported by research grants from the Ministry of Education, Culture, Sports, Science and Technology of Japan (#22K19449, K. Seino, #18K07286, H. Wada), Joint Research Program of the Institute for Genetic Medicine (K. Seino), the project of junior scientist promotion (K. Seino), the Photo-excitonix Project in Hokkaido University (K. Seino), GSK Japan Research Grant 2021 (H. Wada), JST SPRING (#JPMJSP2119, N. Kajihara), and JSPS KAKENHI (#22J21076, N. Kajihara).</t>
  </si>
  <si>
    <t>2162-402X</t>
  </si>
  <si>
    <t>OncoImmunology</t>
  </si>
  <si>
    <t>10.1080/2162402X.2023.2213132</t>
  </si>
  <si>
    <t>Oncology; Immunology</t>
  </si>
  <si>
    <t>H2AE5</t>
  </si>
  <si>
    <t>WOS:000994036000001</t>
  </si>
  <si>
    <t>Kan, JL; Dou, LM; Li, XW; Li, JZ; Bai, JZ; Cao, JR; Liu, MH</t>
  </si>
  <si>
    <t>Kan, Jiliang; Dou, Linming; Li, Xuwei; Li, Jiazhuo; Bai, Jinzheng; Cao, Jinrong; Liu, Minghong</t>
  </si>
  <si>
    <t>Effect of initiation pattern on rock damage and blasting seismic under multi-hole blasting</t>
  </si>
  <si>
    <t>Initiation pattern; multi-hole blasting; rock damage; blasting seismic</t>
  </si>
  <si>
    <t>NUMERICAL-SIMULATION; EXPLOSION ENERGY; MECHANISMS; VELOCITY; WAVE</t>
  </si>
  <si>
    <t>In multi-hole blasting, the design of the initiation pattern is critical for the blasting effectiveness, but its effects on rock damage and blasting seismic are still unclear. This research focused on investigating the effect of initiation patterns under multi-hole blasting using numerical simulations and in-situ blasting experiments. First, the rock damage mode and blasting seismic characteristics under four initiation patterns were numerically studied. The rock damage degree was 19.26%, 13.42%, 17.06%, and 9.17% for the four initiation patterns, respectively. Correspondingly, the peak particle velocity (PPV) at monitoring point A reached 2.90 m/s in Case 1, but only 1.56-1.69 m/s in the other three cases. The results indicated the simultaneous initiation pattern causes more severe damage to the rock between blastholes and enhances blasting seismic effect. Furthermore, when the blasthole with a big explosive charge was preferentially initiated, the outcome of rock damage was improved. In-situ blasting experiments with various initiation patterns were conducted in a coal mine, and the blasting seismic was measured. The blasting seismic intensity is closely related to the blastholes number, explosive charge and spacing of blastholes. The simultaneous initiation pattern enhances both the PPV and source energy of blasting seismic, potentially causing rock bursts in the underground roadway. Finally, the practicable initiation pattern of deep-hole blasting in the coal mine was suggested.</t>
  </si>
  <si>
    <t>[Kan, Jiliang; Dou, Linming; Li, Xuwei; Bai, Jinzheng; Cao, Jinrong] China Univ Min &amp; Technol, Sch Mines, Xuzhou, Peoples R China; [Dou, Linming; Li, Xuwei; Li, Jiazhuo] China Univ Min &amp; Technol, State Key Lab Coal Resources &amp; Safe Min, Xuzhou, Peoples R China; [Li, Jiazhuo] Anhui Univ Sci &amp; Technol, Sch Energy Resources &amp; Safety, Huainan, Peoples R China; [Liu, Minghong] Toksun Cty Yutian Coal Ind Co Ltd, Turpan, Peoples R China</t>
  </si>
  <si>
    <t>China University of Mining &amp; Technology; China University of Mining &amp; Technology; Anhui University of Science &amp; Technology</t>
  </si>
  <si>
    <t>Kan, JL; Dou, LM (corresponding author), China Univ Min &amp; Technol, Sch Mines, Xuzhou, Peoples R China.;Dou, LM (corresponding author), China Univ Min &amp; Technol, State Key Lab Coal Resources &amp; Safe Min, Xuzhou, Peoples R China.</t>
  </si>
  <si>
    <t>jilkan@cumt.edu.cn; 0262@cumt.edu.cn</t>
  </si>
  <si>
    <t>Cao, Jinrong/ISS-4362-2023</t>
  </si>
  <si>
    <t>National Key R&amp;D Program of China [2022YFC3004603]; National Natural Science Foundation of China [52227901, 51934007]; Open Research Fund of The State Key Laboratory of Coal Resources and safe Mining, CUMT [SKLCRSM22KF008]; Postgraduate Research and Practice Innovation Program of Jiangsu Province [KYCX21_2378]</t>
  </si>
  <si>
    <t>National Key R&amp;D Program of China; National Natural Science Foundation of China(National Natural Science Foundation of China (NSFC)); Open Research Fund of The State Key Laboratory of Coal Resources and safe Mining, CUMT; Postgraduate Research and Practice Innovation Program of Jiangsu Province</t>
  </si>
  <si>
    <t>This work was supported by National Key R&amp;D Program of China (Grant No. 2022YFC3004603), National Natural Science Foundation of China (Grant No. 52227901, 51934007), the Open Research Fund of The State Key Laboratory of Coal Resources and safe Mining, CUMT (SKLCRSM22KF008) and the Postgraduate Research and Practice Innovation Program of Jiangsu Province (Grant No. KYCX21_2378).</t>
  </si>
  <si>
    <t>10.1080/19475705.2023.2192334</t>
  </si>
  <si>
    <t>D2BB8</t>
  </si>
  <si>
    <t>WOS:000966814800001</t>
  </si>
  <si>
    <t>Karim, A; Fathurrohman, O; Muhammadun; Saripudin, W; Rahmat, D; Mansir, F</t>
  </si>
  <si>
    <t>Karim, Abdul; Fathurrohman, Oman; Muhammadun; Saripudin, Wahyu; Rahmat, Diding; Mansir, Firman</t>
  </si>
  <si>
    <t>Altruistic works, religion, and corruption: Kiais' leadership to shape anti-corruption values in pesantren</t>
  </si>
  <si>
    <t>altruistic work; anti-corruption behaviors; leadership; Kiai; pesantren; &gt;</t>
  </si>
  <si>
    <t>SPIRITUAL LEADERSHIP; MODEL; WILLINGNESS; PERFORMANCE; BEHAVIOR; FIGHT</t>
  </si>
  <si>
    <t>This study investigates the several roles of kiais (leaders) in pesantren, such as the Kiais' behaviors in instilling anti-corruption teachings, Kiais' words containing anti-corruption messages, and Kiais' policies in supporting anti-corruption programs in IBS. This research was a qualitative method that examined Kiais leadership to shape anti-corruption values in pesantren with a phenomenological approach. The research participants were 12 Kiais as subjects in Bendakerep pesantren. Data collection methods included interviews, observation by delivering questionnaires to 15 students, and documentation by using descriptive analysis. The results indicated that Kiais behavior in inculcating anti-corruption teaching builds change and confidence in their students, motivates them, and helps to ensure social trust. Kiais' words and policy relate to anti-corruption values and mentality at the individual, family, and societal levels. Where the discussion is that all Kiais inspire their followers and prohibit acts of corruption, but only the Bendakerep Kiai is an anti-corruption figure who sets an example with altruistic works, namely not involved in politics, even Islamic mass organizations and refusing outside funding but remains obedient to government provisions under Islamic law. This research outcome contributes to the best practice and current knowledge of altruistic works leadership, religion, and anti-corruption behaviors in pesantren.</t>
  </si>
  <si>
    <t>[Karim, Abdul] Univ Muhammadiyah Cirebon, Fac Teacher Training &amp; Educ, Dept Leadership &amp; Islamic Educ Management, Cirebon, Indonesia; [Fathurrohman, Oman] Univ Bunga Bangsa Cirebon, Postgrad Islamic Educ Management, Cirebon, Indonesia; [Muhammadun] Univ Bunga Bangsa Cirebon, Fac Law, Dept Islamic Criminal Law, Cirebon, Indonesia; [Saripudin, Wahyu] Univ Gadjah Mada, Fac Econ &amp; Business, Dept Management, Yogyakarta, Indonesia; [Rahmat, Diding] Kuningan Univ, Fac Law, Dept Law, Cirebon, Indonesia; [Mansir, Firman] Univ Muhammadiyah Yogyakarta, Dept Islamic Educ, Cirebon, Indonesia</t>
  </si>
  <si>
    <t>Universitas Muhammadiyah Cirebon; Gadjah Mada University; Universitas Muhammadiyah Yogyakarta</t>
  </si>
  <si>
    <t>Karim, A (corresponding author), Univ Muhammadiyah Cirebon, Fac Teacher Training &amp; Educ, Dept Leadership &amp; Islamic Educ Management, Cirebon, Indonesia.</t>
  </si>
  <si>
    <t>karim_gml81@yahoo.co.id</t>
  </si>
  <si>
    <t>; Saripudin, Wahyu/J-9722-2017</t>
  </si>
  <si>
    <t>Karim, Abdul/0000-0003-3402-3828; Saripudin, Wahyu/0000-0002-3798-4256</t>
  </si>
  <si>
    <t>10.1080/23311886.2023.2238968</t>
  </si>
  <si>
    <t>N4MK7</t>
  </si>
  <si>
    <t>WOS:001036770800001</t>
  </si>
  <si>
    <t>Keshawarz, A; Joehanes, R; Ma, JT; Lee, GY; Costeira, R; Tsai, PC; Masachs, OM; Bell, JT; Wilson, R; Thorand, B; Winkelmann, J; Peters, A; Linseisen, J; Waldenberger, M; Lehtimaeki, T; Mishra, PP; Kähönen, M; Raitakari, O; Helminen, M; Wang, CRA; Melton, PE; Huang, RC; Pennell, CE; O'Sullivan, TA; Ochoa-Rosales, C; Voortman, T; van Meurs, JBJ; Young, KL; Graff, M; Wang, YJ; Kiel, DP; Smith, CE; Jacques, PF; Levy, D</t>
  </si>
  <si>
    <t>Keshawarz, Amen; Joehanes, Roby; Ma, Jiantao; Lee, Gha Young; Costeira, Ricardo; Tsai, Pei-Chien; Masachs, Olatz M.; Bell, Jordana T.; Wilson, Rory; Thorand, Barbara; Winkelmann, Juliane; Peters, Annette; Linseisen, Jakob; Waldenberger, Melanie; Lehtimaeki, Terho; Mishra, Pashupati P.; Kahonen, Mika; Raitakari, Olli; Helminen, Mika; Wang, Carol A.; Melton, Phillip E.; Huang, Rae-Chi; Pennell, Craig E.; O'Sullivan, Therese A.; Ochoa-Rosales, Carolina; Voortman, Trudy; van Meurs, Joyce B. J.; Young, Kristin L.; Graff, Misa; Wang, Yujie; Kiel, Douglas P.; Smith, Caren E.; Jacques, Paul F.; Levy, Daniel</t>
  </si>
  <si>
    <t>Dietary and supplemental intake of vitamins C and E is associated with altered DNA methylation in an epigenome-wide association study meta-analysis</t>
  </si>
  <si>
    <t>EPIGENETICS</t>
  </si>
  <si>
    <t>Epigenetics; Vitamin C; Vitamin E; diet; epidemiology</t>
  </si>
  <si>
    <t>FOOD FREQUENCY QUESTIONNAIRE; OXIDATIVE STRESS; IMMUNE-RESPONSE; BLOOD; RISK; REPRODUCIBILITY; INFLAMMATION; RELIABILITY; LIPOPROTEIN; MECHANISMS</t>
  </si>
  <si>
    <t>Background: Dietary intake of antioxidants such as vitamins C and E protect against oxidative stress, and may also be associated with altered DNA methylation patterns. Methods: We meta-analysed epigenome-wide association study (EWAS) results from 11,866 participants across eight population-based cohorts to evaluate the association between self-reported dietary and supplemental intake of vitamins C and E with DNA methylation. EWAS were adjusted for age, sex, BMI, caloric intake, blood cell type proportion, smoking status, alcohol consumption, and technical covariates. Significant results of the meta-analysis were subsequently evaluated in gene set enrichment analysis (GSEA) and expression quantitative trait methylation (eQTM) analysis. Results: In meta-analysis, methylation at 4,656 CpG sites was significantly associated with vitamin C intake at FDR &lt;= 0.05. The most significant CpG sites associated with vitamin C (at FDR &lt;= 0.01) were enriched for pathways associated with systems development and cell signalling in GSEA, and were associated with downstream expression of genes enriched in the immune response in eQTM analysis. Furthermore, methylation at 160 CpG sites was significantly associated with vitamin E intake at FDR &lt;= 0.05, but GSEA and eQTM analysis of the top most significant CpG sites associated with vitamin E did not identify significant enrichment of any biological pathways investigated. Conclusions: We identified significant associations of many CpG sites with vitamin C and E intake, and our results suggest that vitamin C intake may be associated with systems development and the immune response.</t>
  </si>
  <si>
    <t>[Keshawarz, Amen; Joehanes, Roby; Ma, Jiantao; Lee, Gha Young; Levy, Daniel] Framingham Heart Dis Epidemiol Study, Framingham, MA USA; [Joehanes, Roby; Lee, Gha Young; Levy, Daniel] NHLBI, Populat Sci Branch, Div Intramural Res, NIH, Bethesda, MD USA; [Ma, Jiantao; Jacques, Paul F.] Tufts Univ, Friedman Sch Nutr Sci &amp; Policy, Boston, MA USA; [Costeira, Ricardo; Tsai, Pei-Chien; Masachs, Olatz M.; Bell, Jordana T.] Kings Coll London, Dept Twin Res &amp; Genet Epidemiol, London, England; [Tsai, Pei-Chien] Chang Gung Univ, Dept Biomed Sci, Taoyuan, Taiwan; [Tsai, Pei-Chien] Chang Gung Mem Hosp, Genom Med Res Core Lab, Linkou, Taiwan; [Wilson, Rory; Waldenberger, Melanie] Helmholtz Zent Munchen, Inst Epidemiol, Res Unit Mol Epidemiol, Ingolstadter Landstr 1, Neuherberg, Germany; [Thorand, Barbara; Peters, Annette] German Res Ctr Environm Hlth, Helmholtz Zentrum Munchen, Inst Epidemiol, Munich, Germany; [Thorand, Barbara; Peters, Annette] German Ctr Diabet Res DZD, Munich, Germany; [Winkelmann, Juliane] German Res Ctr Environm Hlth GmbH, Inst Neurogenom, Helmholtz Zentrum Munchen, Neuherberg, Germany; [Winkelmann, Juliane] Tech Univ Munich, Inst Human Genet, Sch Med, Munich, Germany; [Winkelmann, Juliane] Tech Univ Munich, Chair Neurogenet, Sch Med, Munich, Germany; [Winkelmann, Juliane] Munich Cluster Syst Neurol SyNergy, Munich, Germany; [Peters, Annette] Ludwig Maximilians Univ Munchen, Inst Med Informat Proc Biometry &amp; Epidemiol, Med Fac, Chair Epidemiol, Munich, Germany; [Peters, Annette; Waldenberger, Melanie] German Ctr Cardiovasc Res DZHK, Munchen Heart Alliance, Munich, Germany; [Linseisen, Jakob] Univ Augsburg, Univ Hosp Augsburg, Chair Epidemiol, Augsburg, Germany; Tampere Univ Hosp, Dept Clin Physiol, Tampere, Finland; Univ Turku, Res Ctr Appl &amp; Prevent Cardiovasc Med, Turku, Finland; Turku Univ Hosp, Dept Clin Physiol &amp; Nucl Med, Turku, Finland; Univ Turku, Ctr Populat Hlth Res, Turku, Finland; Turku Univ Hosp, Turku, Finland; Tampere Univ Hosp, Tays Res Serv, Tampere, Finland; Tampere Univ, Fac Social Sci, Hlth Sci, Tampere, Finland; Univ Newcastle, Coll Hlth Med &amp; Wellbeing, Sch Med &amp; Publ Hlth, Newcastle, NSW, Australia; Hunter Med Res Inst, Newcastle, NSW, Australia; Univ Tasmania, Menzies Inst Med Res, Hobart, Tas, Australia; Univ Western Australia, Sch Populat &amp; Global Hlth, Perth, Australia; Edith Cowan Univ, Nutr &amp; Hlth Innovat Res Inst, Perth, Australia; Edith Cowan Univ, Sch Med &amp; Hlth Sci, Joondalup, Australia; Erasmus MC Univ Med Ctr, Dept Epidemiol, Rotterdam, Netherlands; Univ Concepcion, Ctr Vida Saludable, Concepcion, Chile; Erasmus MC Univ Med Ctr, Dept Internal Med, Rotterdam, Netherlands; Univ N Carolina, Gillings Sch Global Publ Hlth, Dept Epidemiol, Hebrew Senior Life, Chapel Hill, NC USA; Hebrew SeniorLife, Hinda &amp; Arthur Marcus Inst Aging Res, Beth Israel Deaconess Med Ctr, Dept Med, Boston, MA USA; Hebrew SeniorLife, Inst Aging Res, Boston, MA USA; Beth Israel Deaconess Med Ctr, Dept Med, Boston, MA USA; Harvard Med Sch, Boston, MA USA; Tufts Univ, Jean Mayer USDA Human Nutr Res Ctr Aging, Boston, MA USA</t>
  </si>
  <si>
    <t>Framingham Heart Study; National Institutes of Health (NIH) - USA; NIH National Heart Lung &amp; Blood Institute (NHLBI); Tufts University; University of London; King's College London; Chang Gung University; Chang Gung Memorial Hospital; Helmholtz Association; Helmholtz-Center Munich - German Research Center for Environmental Health; Helmholtz Association; Helmholtz-Center Munich - German Research Center for Environmental Health; Helmholtz Association; Helmholtz-Center Munich - German Research Center for Environmental Health; Technical University of Munich; Technical University of Munich; University of Munich; University of Munich; German Centre for Cardiovascular Research; Munich Heart Alliance; University of Augsburg; Tampere University; Tampere University Hospital; University of Turku; University of Turku; University of Turku; University of Turku; Tampere University; Tampere University Hospital; Tampere University; University of Newcastle; Hunter Medical Research Institute; University of Newcastle; University of Tasmania; Menzies Institute for Medical Research; University of Western Australia; Edith Cowan University; Edith Cowan University; Erasmus University Rotterdam; Erasmus MC; Universidad de Concepcion; Erasmus University Rotterdam; Erasmus MC; Harvard University; Hebrew SeniorLife; University of North Carolina; University of North Carolina Chapel Hill; Harvard University; Hebrew SeniorLife; Beth Israel Deaconess Medical Center; Harvard University; Hebrew SeniorLife; Harvard University; Beth Israel Deaconess Medical Center; Harvard University; Harvard Medical School; Tufts University; United States Department of Agriculture (USDA)</t>
  </si>
  <si>
    <t>Levy, D (corresponding author), Framingham Heart Dis Epidemiol Study, 73 Mt Wayte Ave Suite 2, Framingham, MA 01702 USA.</t>
  </si>
  <si>
    <t>levyd@nhlbi.nih.gov</t>
  </si>
  <si>
    <t>zhang, yue/JAC-3705-2023; Ochoa-Rosales, Carolina/ISB-3109-2023; Thorand, Barbara/B-5349-2014; Levy, Daniel/ABF-6873-2021; Peters, Annette/A-6117-2011; Pennell, Craig E/ABD-6902-2020; Young, Kristin/B-5792-2008; Helminen, Mika/I-3900-2016</t>
  </si>
  <si>
    <t>Ochoa-Rosales, Carolina/0000-0001-8048-9165; Thorand, Barbara/0000-0002-8416-6440; Levy, Daniel/0000-0003-1843-8724; Peters, Annette/0000-0001-6645-0985; Pennell, Craig E/0000-0002-0937-6165; Melton, Phillip/0000-0003-4026-2964; Lehtimaki, Terho/0000-0002-2555-4427; Young, Kristin/0000-0003-0070-6145; Mishra, Pashupati/0000-0001-5177-3431; Kahonen, Mika/0000-0002-4510-7341; Keshawarz, Amena/0000-0002-4645-2411; TSAI, PEI-CHIEN/0000-0003-1575-9020; Helminen, Mika/0000-0001-5695-2084</t>
  </si>
  <si>
    <t>National Institutes of Health; Division of Intramural Research, National Heart, Lung, and Blood Institute, National Institutes of Health, Bethesda, MD; Helmholtz Zentrum Muenchen -German Research Center for Environmental Health; German Federal Ministry of Education and Research (BMBF); State of Bavaria; Munich Center of Health Sciences (MC- Health), Ludwig-Maximilians-Universitat, as part of LMUinnovativ; German Federal Ministry of Education and Research (BMBF) within the framework of the EU Joint Programming Initiative 'A Healthy Diet for a Healthy Life' (DIMENSION); UK Biotechnology and Biological Sciences Research Council; JPI HDHL DIMENSION project; Wellcome Trust; Medical Research Council; Versus Arthritis; European Union Horizon 2020; Chronic Disease Research Foundation (CDRF); Zoe Ltd; National Institute for Health Research (NIHR) Clinical Research Network (CRN) and Biomedical Research Centre based at Guy's and St Thomas' NHS Foundation Trust; King's College London; Academy of Finland; Social Insurance Institution of Finland; Competitive State Research Financing of the Expert Responsibility area of Kuopio, Tampere and Turku University Hospitals; Juho Vainio Foundation; Paavo Nurmi Foundation; Finnish Foundation for Cardiovascular Research; Finnish Cultural Foundation; Sigrid Juselius Foundation; Tampere Tuberculosis Foundation; Emil Aaltonen Foundation; Yrjo Jahnsson Foundation; Signe and Ane Gyllenberg Foundation; Diabetes Research Foundation of Finnish Diabetes Association; European Union's Horizon 2020 research and innovation programme; European Research Council (ERC) advanced grants; Tampere University Hospital Supporting Foundation; Finnish Society of Clinical Chemistry; National Health and Medical Research Council of Australia; Canadian Institutes of Health Research; NHMRC; University of Western Australia (UWA); Curtin University; Women and Infants Research Foundation; Telethon Kids Institute, Edith Cowan University; Murdoch University; University of Notre Dame Australia; The Raine Medical Research Foundation; University of Western Australia; Telethon Kids Institute; Women and Infants Research Foundation, Edith Cowan University; Raine Medical Research Foundation [N01-HC-25195, UL1 RR 025005]; Australian Government; Government of Western Australia; National Health and Medical Research Council (NHMRC); Erasmus MC University Medical Center; Erasmus University Rotterdam [HHSN268200625226C]; Netherlands Organisation for Scientific Research (NWO) [01EA1902A]; Netherlands Organisation for Health Research and Development (ZonMw) [BBSRC BB/T019980/1]; Research Institute for Diseases in the Elderly (RIDE); The Netherlands Genomics Initiative (NGI); Ministry of Education, Culture and Science; Ministry of Health, Welfare and Sports; European Commission (DG XII); Municipality of Rotterdam; National Heart, Lung, and Blood Institute; National Human Genome Research Institute; National Institutes of Health and NIH Roadmap for Medical Research [BB/ S020845/1, 322098, 286284, 134309, 126925, 121584, 124282, 129378, 117787, 41071, 330809]; National Center for Research Resources (NCRR), a component of the National Institutes of Health (NIH) and NIH Roadmap for Medical Research; NHLBI [338395]</t>
  </si>
  <si>
    <t>National Institutes of Health(United States Department of Health &amp; Human ServicesNational Institutes of Health (NIH) - USA); Division of Intramural Research, National Heart, Lung, and Blood Institute, National Institutes of Health, Bethesda, MD; Helmholtz Zentrum Muenchen -German Research Center for Environmental Health; German Federal Ministry of Education and Research (BMBF)(Federal Ministry of Education &amp; Research (BMBF)); State of Bavaria; Munich Center of Health Sciences (MC- Health), Ludwig-Maximilians-Universitat, as part of LMUinnovativ; German Federal Ministry of Education and Research (BMBF) within the framework of the EU Joint Programming Initiative 'A Healthy Diet for a Healthy Life' (DIMENSION)(Federal Ministry of Education &amp; Research (BMBF)); UK Biotechnology and Biological Sciences Research Council(UK Research &amp; Innovation (UKRI)Biotechnology and Biological Sciences Research Council (BBSRC)); JPI HDHL DIMENSION project; Wellcome Trust(Wellcome Trust); Medical Research Council(UK Research &amp; Innovation (UKRI)Medical Research Council UK (MRC)); Versus Arthritis(Versus Arthritis); European Union Horizon 2020; Chronic Disease Research Foundation (CDRF); Zoe Ltd; National Institute for Health Research (NIHR) Clinical Research Network (CRN) and Biomedical Research Centre based at Guy's and St Thomas' NHS Foundation Trust; King's College London; Academy of Finland(Research Council of Finland); Social Insurance Institution of Finland; Competitive State Research Financing of the Expert Responsibility area of Kuopio, Tampere and Turku University Hospitals; Juho Vainio Foundation; Paavo Nurmi Foundation; Finnish Foundation for Cardiovascular Research; Finnish Cultural Foundation(Finnish Cultural FoundationFinnish IT center for science); Sigrid Juselius Foundation(Sigrid Juselius Foundation); Tampere Tuberculosis Foundation; Emil Aaltonen Foundation; Yrjo Jahnsson Foundation; Signe and Ane Gyllenberg Foundation; Diabetes Research Foundation of Finnish Diabetes Association; European Union's Horizon 2020 research and innovation programme(Horizon 2020); European Research Council (ERC) advanced grants(European Research Council (ERC)); Tampere University Hospital Supporting Foundation; Finnish Society of Clinical Chemistry; National Health and Medical Research Council of Australia(National Health and Medical Research Council (NHMRC) of Australia); Canadian Institutes of Health Research(Canadian Institutes of Health Research (CIHR)); NHMRC(National Health and Medical Research Council (NHMRC) of Australia); University of Western Australia (UWA); Curtin University; Women and Infants Research Foundation; Telethon Kids Institute, Edith Cowan University; Murdoch University; University of Notre Dame Australia; The Raine Medical Research Foundation; University of Western Australia; Telethon Kids Institute; Women and Infants Research Foundation, Edith Cowan University; Raine Medical Research Foundation; Australian Government(Australian Government); Government of Western Australia; National Health and Medical Research Council (NHMRC)(National Health and Medical Research Council (NHMRC) of Australia); Erasmus MC University Medical Center; Erasmus University Rotterdam; Netherlands Organisation for Scientific Research (NWO)(Netherlands Organization for Scientific Research (NWO)); Netherlands Organisation for Health Research and Development (ZonMw)(Netherlands Organization for Health Research and Development); Research Institute for Diseases in the Elderly (RIDE); The Netherlands Genomics Initiative (NGI); Ministry of Education, Culture and Science(Ministry of Education, Culture, Sports, Science and Technology, Japan (MEXT)); Ministry of Health, Welfare and Sports; European Commission (DG XII)(European Union (EU)European Commission Joint Research Centre); Municipality of Rotterdam; National Heart, Lung, and Blood Institute(United States Department of Health &amp; Human ServicesNational Institutes of Health (NIH) - USANIH National Heart Lung &amp; Blood Institute (NHLBI)); National Human Genome Research Institute(United States Department of Health &amp; Human ServicesNational Institutes of Health (NIH) - USANIH National Human Genome Research Institute (NHGRI)); National Institutes of Health and NIH Roadmap for Medical Research(United States Department of Health &amp; Human ServicesNational Institutes of Health (NIH) - USA); National Center for Research Resources (NCRR), a component of the National Institutes of Health (NIH) and NIH Roadmap for Medical Research(United States Department of Health &amp; Human ServicesNational Institutes of Health (NIH) - USANIH National Center for Research Resources (NCRR)); NHLBI(United States Department of Health &amp; Human ServicesNational Institutes of Health (NIH) - USANIH National Heart Lung &amp; Blood Institute (NHLBI))</t>
  </si>
  <si>
    <t>The Framingham Heart Study laboratory work for this project was funded by the National Institutes of Health contract N01-HC-25195. The analytical component of this project was funded by the Division of Intramural Research, National Heart, Lung, and Blood Institute, National Institutes of Health, Bethesda, MD (D. Levy, Principal Investigator).The KORA study was initiated and financed by the Helmholtz Zentrum Muenchen -German Research Center for Environmental Health, which is funded by the German Federal Ministry of Education and Research (BMBF) and by the State of Bavaria. Furthermore, KORA research was supported within the Munich Center of Health Sciences (MC-Health), Ludwig-Maximilians-Universitaet, as part of LMUinnovativ. The work was further supported by the German Federal Ministry of Education and Research (BMBF) within the framework of the EU Joint Programming Initiative A Healthy Diet for a Healthy Life' (DIMENSION grant number 01EA1902A).The TwinsUK methylation study received support from the UK Biotechnology and Biological Sciences Research Council (BBSRC BB/T019980/1 to J.T.B.) and from the JPI HDHL DIMENSION project (administered by the BBSRC UK, BB/S020845/1 to J.T.B.). TwinsUK is funded by the Wellcome Trust, Medical Research Council, Versus Arthritis, European Union Horizon 2020, Chronic Disease Research Foundation (CDRF), Zoe Ltd and the National Institute for Health Research (NIHR) Clinical Research Network (CRN) and Biomedical Research Centre based at Guy's and St Thomas' NHS Foundation Trust in partnership with King's College London.The Young Finns Study has been financially supported by the Academy of Finland: grants 322098, 286284, 134309 (Eye), 126925, 121584, 124282, 129378 (Salve), 117787 (Gendi), 41071 (Skidi), 330809 and 338395; the Social Insurance Institution of Finland; Competitive State Research Financing of the Expert Responsibility area of Kuopio, Tampere and Turku University Hospitals (grant X51001); Juho Vainio Foundation; Paavo Nurmi Foundation; Finnish Foundation for Cardiovascular Research; Finnish Cultural Foundation; Sigrid Juselius Foundation; Tampere Tuberculosis Foundation; Emil Aaltonen Foundation; Yrjoe Jahnsson Foundation; Signe and Ane Gyllenberg Foundation; Diabetes Research Foundation of Finnish Diabetes Association; This project has received funding from the European Union's Horizon 2020 research and innovation programme under grant agreements No 848146 (To Aition) and No 755320 (TAXINOMISIS); This project has received funding from the European Research Council (ERC) advanced grants under grant agreement No 742927 (MULTIEPIGEN project); Tampere University Hospital Supporting Foundation and Finnish Society of Clinical Chemistry.The Raine Study was supported by the National Health and Medical Research Council of Australia [grant numbers 572613, 403981, and 1059711] and the Canadian Institutes of Health Research [grant number MOP-82893]. The authors gratefully acknowledge the NHMRC for their long-term funding to the study over the last 30?years and also the following institutes for providing funding for Core Management of the Raine Study: The University of Western Australia (UWA), Curtin University, Women and Infants Research Foundation, Telethon Kids Institute, Edith Cowan University, Murdoch University, The University of Notre Dame Australia and The Raine Medical Research Foundation. Generation of DNA methylation data was supported by NHMRC grant 1059711. R-CH is supported by NHMRC Fellowships 1053384 and PEM by NHMRC grant 2001203.; The core management of the Raine Study is funded by the University of Western Australia, Curtin University, Telethon Kids Institute, Women and Infants Research Foundation, Edith Cowan University, Murdoch University, the University of Notre Dame Australia and the Raine Medical Research Foundation. The Pawsey Supercomputing Centre provided computation resources to carry out analyses required with funding from the Australian Government and the Government of Western Australia. Specific funding for the 17-year follow-up was provided by the National Health and Medical Research Council (NHMRC) (Program Grant Stanley et al., ID 353514, Beilin et al., ID 403981, Palmer et al., ID 572613, Huang et al., ID 1059711) and the Canadian Institutes of Health Research (Lye et al., MOP-82893).We would like to acknowledge the Raine Study participants and their families for their ongoing participation in the study and the Raine Study team for study co-ordination and data collection.The Rotterdam Study is supported by the Erasmus MC University Medical Center and Erasmus University Rotterdam; The Netherlands Organisation for Scientific Research (NWO); The Netherlands Organisation for Health Research and Development (ZonMw); the Research Institute for Diseases in the Elderly (RIDE); The Netherlands Genomics Initiative (NGI); the Ministry of Education, Culture and Science; the Ministry of Health, Welfare and Sports; the European Commission (DG XII); and the Municipality of Rotterdam.The Atherosclerosis Risk in Communities Study is carried out as a collaborative study supported by National Heart, Lung, and Blood Institute contracts N01-HC-55015, N01-HC-55016, N01-C-55018, N01-HC-55019, N01-HC-55020, N01-HC-55021, N01-HC-55022, R01HL087641, R01HL59367 and R01HL086694; National Human Genome Research Institute contract U01HG004402; and National Institutes of Health contract HHSN268200625226C. Infrastructure was partly supported by Grant Number UL1RR025005, a component of the National Institutes of Health and NIH Roadmap for Medical Research. The project described was supported by Grant Number UL1 RR 025005 from the National Center for Research Resources (NCRR), a component of the National Institutes of Health (NIH) and NIH Roadmap for Medical Research, and its contents are solely the responsibility of the authors and do not necessarily represent the official view of NCRR or NIH. KLY was supported by NHLBI R21 HL140419. The authors thank the staff and participants of the ARIC Study for their important contributions.</t>
  </si>
  <si>
    <t>1559-2294</t>
  </si>
  <si>
    <t>1559-2308</t>
  </si>
  <si>
    <t>EPIGENETICS-US</t>
  </si>
  <si>
    <t>Epigenetics</t>
  </si>
  <si>
    <t>10.1080/15592294.2023.2211361</t>
  </si>
  <si>
    <t>Biochemistry &amp; Molecular Biology; Genetics &amp; Heredity</t>
  </si>
  <si>
    <t>H4ZD9</t>
  </si>
  <si>
    <t>WOS:000996053400001</t>
  </si>
  <si>
    <t>Keuenhof, KS; Kohler, V; Broeskamp, F; Panagaki, D; Speese, SD; Büttner, S; Höög, JL</t>
  </si>
  <si>
    <t>Keuenhof, Katharina S.; Kohler, Verena; Broeskamp, Filomena; Panagaki, Dimitra; Speese, Sean D.; Buttner, Sabrina; Hoog, Johanna L.</t>
  </si>
  <si>
    <t>Nuclear envelope budding and its cellular functions</t>
  </si>
  <si>
    <t>Nuclear import; nuclear export; nuclear envelope budding</t>
  </si>
  <si>
    <t>SELECTIVE AUTOPHAGY DEGRADES; VIRUS TYPE-1 U(L)34; PORE COMPLEX; PROTEIN-KINASE; RIBONUCLEOPROTEIN GRANULES; SPATIAL SEQUESTRATION; PSEUDORABIES VIRUS; VESICLE FORMATION; REPEAT EXPANSION; QUALITY-CONTROL</t>
  </si>
  <si>
    <t>The nuclear pore complex (NPC) has long been assumed to be the sole route across the nuclear envelope, and under normal homeostatic conditions it is indeed the main mechanism of nucleo-cytoplasmic transport. However, it has also been known that e.g. herpesviruses cross the nuclear envelope utilizing a pathway entitled nuclear egress or envelopment/de-envelopment. Despite this, a thread of observations suggests that mechanisms similar to viral egress may be transiently used also in healthy cells. It has since been proposed that mechanisms like nuclear envelope budding (NEB) can facilitate the transport of RNA granules, aggregated proteins, inner nuclear membrane proteins, and mis-assembled NPCs. Herein, we will summarize the known roles of NEB as a physiological and intrinsic cellular feature and highlight the many unanswered questions surrounding these intriguing nuclear events.</t>
  </si>
  <si>
    <t>[Keuenhof, Katharina S.; Broeskamp, Filomena; Panagaki, Dimitra; Hoog, Johanna L.] Univ Gothenburg, Dept Chem &amp; Mol Biol, Gothenburg, Sweden; [Kohler, Verena] Karl Franzens Univ Graz, Inst Mol Biosci, Graz, Austria; [Kohler, Verena; Buttner, Sabrina] Stockholm Univ, Wenner Gren Inst, Dept Mol Biosci, Stockholm, Sweden; [Speese, Sean D.] Oregon Hlth &amp; Sci Univ, Knight Canc Early Detect Adv Res Ctr, 2720 S Moody Ave, Portland, OR 97201 USA</t>
  </si>
  <si>
    <t>University of Gothenburg; University of Graz; Stockholm University; Oregon Health &amp; Science University</t>
  </si>
  <si>
    <t>Höög, JL (corresponding author), Univ Gothenburg, Dept Chem &amp; Mol Biol, Medicinaregatan 9C, S-41390 Gothenburg, Sweden.</t>
  </si>
  <si>
    <t>johanna.hoog@gu.se</t>
  </si>
  <si>
    <t>Kohler, Verena/B-5280-2019</t>
  </si>
  <si>
    <t>Kohler, Verena/0000-0002-1241-162X; Buttner, Sabrina/0000-0002-2786-8542; Keuenhof, Katharina/0000-0003-0570-8596; Hoog, Johanna/0000-0003-2162-3816; Broeskamp, Filomena/0000-0002-6955-3901; Panagaki, Dimitra/0000-0002-8244-059X</t>
  </si>
  <si>
    <t>Austrian Science Fund FWF [J4342-B21]; Knut and Alice Wallenberg foundation [2017.009]; Stiftelsen Olle Engkvist Byggmastare [22 2488]; Cancerfonden [2019-04004, 2019-05249]; Vetenskapsradet [2015-00560]; [207-0527]; [21 1865 Pj 01]; Swedish Research Council [2019-04004, 2019-05249, 2015-00560] Funding Source: Swedish Research Council</t>
  </si>
  <si>
    <t>Austrian Science Fund FWF(Austrian Science Fund (FWF)); Knut and Alice Wallenberg foundation(Knut &amp; Alice Wallenberg Foundation); Stiftelsen Olle Engkvist Byggmastare(Swedish Research Council); Cancerfonden(Swedish Cancer Society); Vetenskapsradet(Swedish Research Council); ; ; Swedish Research Council(Swedish Research CouncilSwedish Research Council for Health Working Life &amp; Welfare (Forte)Swedish Research Council Formas)</t>
  </si>
  <si>
    <t>This work was supported by the Austrian Science Fund (FWF) [J4342-B21]; Cancerfonden [21 1865 Pj 01 H]; Cancerfonden [22 2488 Pj]; Knut och Alice Wallenbergs Stiftelse [2017.009]; Stiftelsen Olle Engkvist Byggmaestare [207-0527]; Vetenskapsradet [2019-04004]; Vetenskapsradet [2019-05249]; Vetenskapsradet [2015-00560].</t>
  </si>
  <si>
    <t>10.1080/19491034.2023.2178184</t>
  </si>
  <si>
    <t>9G2VO</t>
  </si>
  <si>
    <t>WOS:000938016800001</t>
  </si>
  <si>
    <t>Khalid, A; Aqeel, RF; Nawaz, A; Ahmad, J; Fatima, ST; Shahid, S; Rao, AA; Aktas, G; Ijaz, S; Shehryar, M</t>
  </si>
  <si>
    <t>Khalid, Atiqa; Aqeel, Rao Faheem; Nawaz, Amber; Ahmad, Jehangir; Fatima, Syeda Tatheer; Shahid, Samreen; Rao, Aqsa Aqeel; Aktas, Gulali; Ijaz, Shaista; Shehryar, Muhammad</t>
  </si>
  <si>
    <t>'Immune-inflammatory markers &amp; clinical characteristics for outcomes in hospitalized SARS-CoV-2 infected patients of Pakistan: a retrospective analysis'</t>
  </si>
  <si>
    <t>COVID-19; SARS-CoV-2; immune-inflammatory markers; disease severity; diagnostic criteria; &gt;</t>
  </si>
  <si>
    <t>CORONAVIRUS DISEASE; COVID-19 INFECTION; SEVERITY; SUBPHENOTYPES; PARAMETERS; MANAGEMENT; MORTALITY</t>
  </si>
  <si>
    <t>Objective Accumulating evidence suggests the role of immune-inflammatory markers in early risk stratification and prognostication of COVID-19 patients. We aimed to evaluate their association with severity and the development of diagnostic scores with optimal thresholds in critical patients. Setting and participants This retrospective case study includes hospitalized COVID-19 patients from March 2019 to March, 2022, in the developing area teaching hospital in Pakistan. Polymerase chain reaction (PCR) positive patients, n = 467 were investigated for clinical outcomes, comorbidities and disease prognosis. The plasma levels of Interleukin-6 (IL-6), Lactate dehydrogenase (LDH), C-reactive protein (CRP), Procalcitonin (PCT), ferritin and Complete blood count markers were measured. Results Majority were males (58.8%) and patients with comorbidities had more severe disease. Hypertension and diabetes mellitus were the commonest comorbidities. Shortness of breath, myalgia and cough were the main symptoms. The hematological markers NLR, as well as the plasma levels of immune-inflammatory variables, IL-6, LDH, Procalcitonin, Erythrocyte sedimentation rate, Ferritin were markedly raised in severe and critical patients (p &lt; 0.0001 for these markers). ROC analysis supports IL-6 as the most accurate marker with high prognostic relevance with proposed cut-off threshold (43 pg/ml), determining &gt;90% of patients in terms of COVID-19 severity (AUC = 0.93, 91.7%, se; 90.3%sp). Furthermore, positive correlation with all other markers including NLR with cut-off = 2.99 (AUC = 0.87, se = 89.8%, sp = 88.4%), CRP with cut-offs at 42.9 mg/l, (AUC = 0.883, se = 89.3% and sp = 78.6%), LDH cut-off at 267 &amp; mu;g/L, evidenced in &gt;80% patients (AUC = 0.834 se = 84% and sp = 80%). Additionally, ESR and ferritin have the corresponding AUC 0.81 and 0.813 with cut-off at 55 mm/hr and 370, respectively. Conclusion Investigating the immune-inflammatory markers can assist physicians in providing prompt treatment and ICU admission in terms of COVID-19 severity. As a result, which may reduce the overall mortality of COVID-19 patients.</t>
  </si>
  <si>
    <t>[Khalid, Atiqa] Hosp Sahiwal, Sahiwal Med Coll, Sahiwal, Pakistan; [Aqeel, Rao Faheem] Sahiwal Teaching Hosp, Postgrad Resident Pediatrician, Sahiwal, Pakistan; [Nawaz, Amber] Sahiwal Med Coll, Pathol Dept, Sahiwal, Pakistan; [Ahmad, Jehangir] Divis Headquarters Teaching Hosp Mirpur AJK, Dept Med, Mirpur, Pakistan; [Fatima, Syeda Tatheer; Shehryar, Muhammad] Sir Ganga Raam Hosp, Post resident Gynaecol &amp; Obstet, Lahore, Pakistan; [Shahid, Samreen] King Edward Med Univ, Lahore, Pakistan; [Rao, Aqsa Aqeel] Wateen Med &amp; Dent Coll, Rawat, Pakistan; [Aktas, Gulali] Abant Izzet Baysal Univ, Bolu, Turkiye; [Ijaz, Shaista] YANGTZE Univ Med Sch, Wuhan, Peoples R China</t>
  </si>
  <si>
    <t>Abant Izzet Baysal University</t>
  </si>
  <si>
    <t>Khalid, A (corresponding author), Hosp Sahiwal, Sahiwal Med Coll, Sahiwal, Pakistan.</t>
  </si>
  <si>
    <t>atiqakkhalid@gmail.com</t>
  </si>
  <si>
    <t>Aktas, Gulali/I-5152-2014; Khalid, Atiqa/AAK-5207-2021</t>
  </si>
  <si>
    <t>Aktas, Gulali/0000-0001-7306-5233; Khalid, Atiqa/0000-0003-2712-5930</t>
  </si>
  <si>
    <t>10.1080/16078454.2023.2199629</t>
  </si>
  <si>
    <t>K9US9</t>
  </si>
  <si>
    <t>WOS:001019818700001</t>
  </si>
  <si>
    <t>Khan, SN; Khan, AN; Tariq, A; Lu, LL; Malik, NA; Umair, M; Hatamleh, WA; Zawaideh, FH</t>
  </si>
  <si>
    <t>Khan, Shahid Nawaz; Khan, Abid Nawaz; Tariq, Aqil; Lu, Linlin; Malik, Naeem Abbas; Umair, Muhammad; Hatamleh, Wesam Atef; Zawaideh, Farah Hanna</t>
  </si>
  <si>
    <t>County-level corn yield prediction using supervised machine learning</t>
  </si>
  <si>
    <t>EUROPEAN JOURNAL OF REMOTE SENSING</t>
  </si>
  <si>
    <t>Remote sensing; yield prediction; MODIS; vegetation indices; food security</t>
  </si>
  <si>
    <t>SUPPORT VECTOR REGRESSION; CROP YIELD; NEURAL-NETWORKS; SOIL PROPERTIES; VEGETATION INDEXES; CLIMATE; MAIZE; WHEAT; MODELS; SYSTEM</t>
  </si>
  <si>
    <t>The main objectives of this study are (1) to compare several machine learning models to predict county-level corn yield in the study area and (2) to compare the feasibility of machine learning models for in-season yield prediction. We acquired remotely sensed vegetation indices data from moderate resolution imaging spectroradiometer using the Google Earth Engine (GEE). Vegetation indices for a span of 15 years (2006-2020) were processed and downloaded using GEE for the months corresponding to crop growth (April-October). We compared nine machine learning models to predict county-level corn yield. Furthermore, we analyzed the in-season yield prediction performance using the top three machine learning models. The results show that partial least square regression (PLSR) outperformed other machine learning models for corn yield prediction by achieving the highest training and testing performance. The study area's top three models for county-level corn yield prediction were PLSR, support vector regression (SVR) and ridge regression. For in-season yield prediction, the SVR model performed comparatively well by achieving testing R2 = 0.875. For in-season corn yield prediction, SVR outperformed other models. The results show that machine learning models can predict both in-season yield (best model R2 = 0.875) and end-of-season yield (best model R2 = 0.861) with satisfactory performance. The results indicate that remote sensing data and machine learning models can be used to predict crop yield before the harvest with decent performance. This can provide useful insights in terms of food security and early decision making related to climate change impacts on food security.</t>
  </si>
  <si>
    <t>[Khan, Shahid Nawaz] Univ Alabama, Dept Geog, Tuscaloosa, AL USA; [Khan, Shahid Nawaz] Natl Univ Sci &amp; Technol, Inst Geog Informat Syst, Islamabad, Pakistan; [Khan, Abid Nawaz] Tampere Univ, Fac Informat Technol &amp; Commun Sci Data Sci, Tampere, Finland; [Tariq, Aqil] Mississippi State Univ, Coll Forest Resources, Dept Wildlife Fisheries &amp; Aquaculture, 775 Stone Blvd, Starkville, MS 39762 USA; [Lu, Linlin] Chinese Acad Sci, Aerosp Informat Res Inst, Key Lab Digital Earth Sci, Beijing, Peoples R China; [Malik, Naeem Abbas] PMAS Arid Agr Univ, Dept Remote Sensing &amp; GIS, Rawalpindi, Pakistan; [Umair, Muhammad] Univ Montreal, Dept Geog, Montreal, PQ, Canada; [Hatamleh, Wesam Atef] King Saud Univ, Coll Comp &amp; Informat Sci, Dept Comp Sci, Riyadh, Saudi Arabia; [Zawaideh, Farah Hanna] Irbid Natl Univ, Fac Financial &amp; Business Sci, Dept Business Intelligence &amp; Data Anal, Irbid, Jordan</t>
  </si>
  <si>
    <t>University of Alabama System; University of Alabama Tuscaloosa; National University of Sciences &amp; Technology - Pakistan; Tampere University; Mississippi State University; Chinese Academy of Sciences; Arid Agriculture University; Universite de Montreal; King Saud University</t>
  </si>
  <si>
    <t>Tariq, A (corresponding author), Mississippi State Univ, Coll Forest Resources, Dept Wildlife Fisheries &amp; Aquaculture, 775 Stone Blvd, Starkville, MS 39762 USA.;Lu, LL (corresponding author), Chinese Acad Sci, Aerosp Informat Res Inst, Key Lab Digital Earth Sci, Beijing, Peoples R China.</t>
  </si>
  <si>
    <t>at2139@msstate.edu; lull@radi.ac.cn</t>
  </si>
  <si>
    <t>Tariq, Aqil/AAS-3787-2020; hatamleh, wesam/AFX-7527-2022</t>
  </si>
  <si>
    <t>Tariq, Aqil/0000-0003-1196-1248; hatamleh, wesam/0000-0002-7241-8348</t>
  </si>
  <si>
    <t>The authors extend their appreciation to the researchers supporting project number (RSP2023R384) King Saud University, Riyadh, Saudi Arabia.; King Saud University, Riyadh, Saudi Arabia; [RSP2023R384]</t>
  </si>
  <si>
    <t>The authors extend their appreciation to the researchers supporting project number (RSP2023R384) King Saud University, Riyadh, Saudi Arabia.; King Saud University, Riyadh, Saudi Arabia(King Saud University);</t>
  </si>
  <si>
    <t>The authors extend their appreciation to the researchers supporting project number (RSP2023R384) King Saud University, Riyadh, Saudi Arabia.</t>
  </si>
  <si>
    <t>2279-7254</t>
  </si>
  <si>
    <t>EUR J REMOTE SENS</t>
  </si>
  <si>
    <t>Eur. J. Remote Sens.</t>
  </si>
  <si>
    <t>10.1080/22797254.2023.2253985</t>
  </si>
  <si>
    <t>Remote Sensing</t>
  </si>
  <si>
    <t>Q6RA7</t>
  </si>
  <si>
    <t>WOS:001058764900001</t>
  </si>
  <si>
    <t>Khuong, NV; Ly, HTN; Anh, LT</t>
  </si>
  <si>
    <t>Khuong, Nguyen Vinh; Ly, Huynh Thi Ngoc; Anh, Le Huu Tuan</t>
  </si>
  <si>
    <t>Accrual-based, real activities earnings management and corporate social responsibility: A virtuous circle? emerging market evidence</t>
  </si>
  <si>
    <t>Accrual earnings management; real earnings management; corporate social responsibility; granger test</t>
  </si>
  <si>
    <t>FIRM PERFORMANCE; QUALITY; GOVERNANCE; AGENCY; OWNERSHIP; BOARD</t>
  </si>
  <si>
    <t>The relationship between Earnings Management (EM) and Corporate Social Responsibilities (CSR) has raised a considerable number of attentions, especially, in financial and accounting field since they determine firms' performance as well as market positioning. On the contrary, in an emerging country as Vietnam, the number of relevant studies are rare together with several limitations. Thus, this paper is the pioneer investigating the cause and effect among Accruals Earnings Management (AEM), Real Earnings Management (REM) as two proxies for EM, and CSR. Next, Granger's causality replacing for traditional method is employed in order to interpret this nexus. The analysis relies on the sample size of 225 companies during the period 2014-2018 from Hanoi Stock Exchange (HNX) and Ho Chi Minh Stock Exchange (HOSE). We figured out executives prefer REM to AEM when implementing earnings manipulations. Consistent with the expectations and prior scholars, we found there is a negative correlation in the association of AEM and CSR while it is positive in the case of REM and CSR. Besides the consistent results with multivariate regression analysis (MRA) in terms of CSR-EM association, the fsQCA findings also explore more combinations regarding the relationship between CSR-EM. Additionally, all empirical results also provide evidence that there is cause-and-effect relationship in terms of AEM, REM and CSR which has never been researched and discussed over the past several years.</t>
  </si>
  <si>
    <t>[Khuong, Nguyen Vinh; Anh, Le Huu Tuan] Univ Econ &amp; Law, Fac Accounting &amp; Auditing, Ho Chi Minh City 700000, Vietnam; [Khuong, Nguyen Vinh; Ly, Huynh Thi Ngoc; Anh, Le Huu Tuan] Vietnam Natl Univ, Ho Chi Minh City 700000, Vietnam; [Ly, Huynh Thi Ngoc] Univ Econ &amp; Law, Inst Dev &amp; Res Banking Technol, Ho Chi Minh City, Vietnam</t>
  </si>
  <si>
    <t>VNUHCM - University of Economics &amp; Law; Vietnam National University Hochiminh City; VNUHCM - University of Economics &amp; Law</t>
  </si>
  <si>
    <t>Khuong, NV (corresponding author), Univ Econ &amp; Law, Fac Accounting &amp; Auditing, Ho Chi Minh City 700000, Vietnam.;Khuong, NV (corresponding author), Vietnam Natl Univ, Ho Chi Minh City 700000, Vietnam.</t>
  </si>
  <si>
    <t>khuongnv@uel.edu.vn</t>
  </si>
  <si>
    <t>Le Huu Tuan, Anh/AIF-4833-2022</t>
  </si>
  <si>
    <t>Le Huu Tuan, Anh/0000-0002-2251-7276; Vinh Khuong, Nguyen/0000-0002-7649-5113</t>
  </si>
  <si>
    <t>Vietnam National University Ho Chi Minh City (VNU-HCM) [C2021-34-04]</t>
  </si>
  <si>
    <t>Vietnam National University Ho Chi Minh City (VNU-HCM)</t>
  </si>
  <si>
    <t>This research is funded by Vietnam National University Ho Chi Minh City (VNU-HCM) under Grant number C2021-34-04.</t>
  </si>
  <si>
    <t>10.1080/23322039.2023.2209955</t>
  </si>
  <si>
    <t>F5TJ1</t>
  </si>
  <si>
    <t>WOS:000982965700001</t>
  </si>
  <si>
    <t>Kim, BR; Won, SH; Kim, JW; Kim, M; Jeong, JI; Shin, JW; Huh, CH; Na, JI</t>
  </si>
  <si>
    <t>Kim, Bo Ri; Won, Seung Hyun; Kim, Jee Woo; Kim, Minjae; Jeong, Jeong-Il; Shin, Jung-Won; Huh, Chang-Hun; Na, Jung-Im</t>
  </si>
  <si>
    <t>Development of a new classification and scoring system for scalp conditions: Scalp Photographic Index (SPI)</t>
  </si>
  <si>
    <t>Clinical dermatology; common skin diseases; diagnosis; hair disorders</t>
  </si>
  <si>
    <t>INSTRUMENT; SEVERITY; DANDRUFF; LEVEL</t>
  </si>
  <si>
    <t>Background and objectives There has been no validated tool for objectively quantifying the overall condition and characteristics of the scalp. This study aimed to establish and validate a new classification and scoring system for evaluating scalp conditions. Methods The Scalp Photographic Index (SPI) using a trichoscope grades five features of scalp conditions (dryness, oiliness, erythema, folliculitis, and dandruff) on a score of 0-3. To evaluate the validity of SPI, SPI grading was performed by three experts on the scalps of 100 subjects along with a dermatologist's assessment of the scalps and a scalp-related symptom survey. For reliability assessment, 20 healthcare providers performed SPI grading for the 95 selected photographs of the scalp. Results SPI grading and the dermatologist's scalp assessment showed good correlations for all five scalp features. Warmth showed a significant correlation with all features of SPI and the subjects' perception of a scalp pimple had a significant positive correlation with the folliculitis feature. SPI grading demonstrated good reliability with excellent internal consistency (Cronbach's alpha = 0.90) and strong inter- and intra-rater reliability (Kendall's W = 0.84, ICC(3,1)=0.94). Conclusions SPI is an objective, reproducible, and validated numeric system for classifying and scoring scalp conditions.</t>
  </si>
  <si>
    <t>[Kim, Bo Ri; Kim, Jee Woo; Kim, Minjae; Shin, Jung-Won; Huh, Chang-Hun; Na, Jung-Im] Seoul Natl Univ, Dept Dermatol, Bundang Hosp, Seongnam, South Korea; [Won, Seung Hyun] Seoul Natl Univ, Med Res Collaborating Ctr, Bundang Hosp, Seongnam, South Korea; [Kim, Jee Woo; Kim, Minjae; Shin, Jung-Won; Huh, Chang-Hun; Na, Jung-Im] Seoul Natl Univ, Dept Dermatol, Coll Med, Seoul, South Korea; [Jeong, Jeong-Il] Aram Huvis Co Ltd, Seongnam, South Korea; [Na, Jung-Im] Seoul Natl Univ, Dept Dermatol, Bundang Hosp, 82 Gumi Ro 173 Beon Gil, Seongnam 13620, South Korea</t>
  </si>
  <si>
    <t>Seoul National University (SNU); Seoul National University (SNU); Seoul National University (SNU); Seoul National University (SNU)</t>
  </si>
  <si>
    <t>Na, JI (corresponding author), Seoul Natl Univ, Dept Dermatol, Bundang Hosp, 82 Gumi Ro 173 Beon Gil, Seongnam 13620, South Korea.</t>
  </si>
  <si>
    <t>jina1@snu.ac.kr</t>
  </si>
  <si>
    <t>Kim, Bo Ri/0000-0002-2223-1606; KIM, JEE WOO/0000-0003-1618-7327; Won, Seung Hyun/0000-0003-1764-7890</t>
  </si>
  <si>
    <t>Ministry of SMEs and Startups of Korea</t>
  </si>
  <si>
    <t>Ministry of SMEs and Startups of Korea(Ministry of SMEs &amp; Startups (MSS), Republic of Korea)</t>
  </si>
  <si>
    <t>This study was funded by the Ministry of SMEs and Startups of Korea.</t>
  </si>
  <si>
    <t>10.1080/09546634.2023.2181655</t>
  </si>
  <si>
    <t>A7NS2</t>
  </si>
  <si>
    <t>WOS:000956955100001</t>
  </si>
  <si>
    <t>Kim, HJ; Jung, DW; Williams, DR</t>
  </si>
  <si>
    <t>Kim, Hyun-Jun; Jung, Da-Woon; Williams, Darren R.</t>
  </si>
  <si>
    <t>Keeping your strength up: induced pluripotent stem cell-based approaches for the treatment and investigation of skeletal muscle disorders</t>
  </si>
  <si>
    <t>ALL LIFE</t>
  </si>
  <si>
    <t>Induced pluripotent stem cells; iPSCs; skeletal muscle; volumetric muscle loss; muscular dystrophy; biomaterials</t>
  </si>
  <si>
    <t>DUCHENNE MUSCULAR-DYSTROPHY; SATELLITE CELLS; PROGENITOR CELLS; MODEL; GENERATION; MYOGENESIS; FIBROBLASTS; EXPRESSION; INJURY; IPSCS</t>
  </si>
  <si>
    <t>Skeletal muscle comprises the major organ system in our bodies and is the effector tissue for fundamental processes, such as movement, breathing and glucose homeostasis. However, muscle regeneration can be insufficient to repair major injuries or become exhausted by the ongoing fiber damage that occurs in muscular dystrophy. Cell therapy to provide a source of myogenic stem cells that repopulate the lost muscle fibers is an attractive option to treat skeletal muscle injury or dystrophy. Induced pluripotent stem cells (iPSCs) have the potential to be an ideal source of donor muscle cells. This review will discuss major research applications of iPSCs to facilitate skeletal muscle repair, which involve myogenic cell transplantation, in vitro modeling of normal and dystrophic muscle tissue, and drug screening protocols. Recent advances in these fields will be discussed in this review, such as the production of neuromuscular junctions between muscle fibers and motor neurons, along with an overview of the problems that currently prevent iPSCs from being a clinically valid source of transplantable skeletal muscle stem cells. Potential future applications of iPSCs to enhance skeletal muscle regeneration will also be discussed.</t>
  </si>
  <si>
    <t>[Kim, Hyun-Jun; Jung, Da-Woon; Williams, Darren R.] Gwangju Inst Sci &amp; Technol, Sch Life Sci, New Drug Targets Lab, Gwangju, South Korea; [Jung, Da-Woon; Williams, Darren R.] Gwangju Inst Sci &amp; Technol, Sch Life Sci, New Drug Targets Lab, Gwangju 61005, Jeollanam Do, South Korea</t>
  </si>
  <si>
    <t>Gwangju Institute of Science &amp; Technology (GIST); Gwangju Institute of Science &amp; Technology (GIST)</t>
  </si>
  <si>
    <t>Jung, DW; Williams, DR (corresponding author), Gwangju Inst Sci &amp; Technol, Sch Life Sci, New Drug Targets Lab, Gwangju 61005, Jeollanam Do, South Korea.</t>
  </si>
  <si>
    <t>jung@gist.ac.kr; darren@gist.ac.kr</t>
  </si>
  <si>
    <t>National Research Foundation of Korea (NRF) - Korean government (MSIT) [NRF-2022R1A2C1008322]; Bio &amp; Medical Technology Development Program of the National Research Foundation (NRF) - Korean government (MSIT) [NRF-2020M3A9G3080282]; Korean government (MSIP) through the Institute for Information and Communications Technology Promotion (IITP) grant [2019-0-00567]; 'GIST Research Institute (GRI) IIBR' grant - GIST</t>
  </si>
  <si>
    <t>National Research Foundation of Korea (NRF) - Korean government (MSIT)(National Research Foundation of KoreaMinistry of Science &amp; ICT (MSIT), Republic of Korea); Bio &amp; Medical Technology Development Program of the National Research Foundation (NRF) - Korean government (MSIT)(National Research Foundation of KoreaMinistry of Science &amp; ICT (MSIT), Republic of Korea); Korean government (MSIP) through the Institute for Information and Communications Technology Promotion (IITP) grant; 'GIST Research Institute (GRI) IIBR' grant - GIST</t>
  </si>
  <si>
    <t>This work was supported by the National Research Foundation of Korea (NRF) funded by the Korean government (MSIT) [grant no NRF-2022R1A2C1008322] and the Bio &amp; Medical Technology Development Program of the National Research Foundation (NRF) funded by the Korean government (MSIT) [grant no. NRF-2020M3A9G3080282]. This work was partly funded by the Korean government (MSIP) through the Institute for Information and Communications Technology Promotion (IITP) grant (No. 2019-0-00567, Development of Intelligent SW systems for uncovering genetic variation and developing personalized medicine for cancer patients with unknown molecular genetic mechanisms), and a 'GIST Research Institute (GRI) IIBR' grant funded by the GIST in 2023.</t>
  </si>
  <si>
    <t>2689-5293</t>
  </si>
  <si>
    <t>2689-5307</t>
  </si>
  <si>
    <t>All Life</t>
  </si>
  <si>
    <t>10.1080/26895293.2023.2207774</t>
  </si>
  <si>
    <t>F5OV4</t>
  </si>
  <si>
    <t>WOS:000982847500001</t>
  </si>
  <si>
    <t>Kim, MS; Kim, S; Seo, Y; Oh, MY; Yum, SK</t>
  </si>
  <si>
    <t>Kim, Min Soo; Kim, Sol; Seo, Yumi; Oh, Moon-Yeon; Yum, Sook Kyung</t>
  </si>
  <si>
    <t>Impact of preterm premature rupture of membranes and oligohydramnios on in-hospital outcomes of very-low-birthweight infants</t>
  </si>
  <si>
    <t>Mortality; oligohydramnios; outcome; preterm premature rupture of membranes; pulmonary hypertension; very-low-birthweight infant</t>
  </si>
  <si>
    <t>PULMONARY HYPOPLASIA SECONDARY; AMNIOTIC-FLUID INDEX; FETAL MEMBRANES; MORTALITY</t>
  </si>
  <si>
    <t>Objective To analyze neonatal outcomes in very-low-birthweight (VLBW) infants depending on the presence of preterm premature rupture of membranes (PPROM), oligohydramnios, or both. Methods The electronic medical records of VLBW infants admitted during the study period, January 2013 to September 2018, were reviewed. Neonatal outcomes (primary outcome: neonatal death; secondary outcome: neonatal morbidity) were compared depending on whether the infant was affected by PPROM or oligohydramnios. Logistic regression analysis was performed to assess the association of PPROM and oligohydramnios with neonatal outcomes. Results Three hundred and nineteen VLBW infants were included: (1) 141 infants in the PPROM group vs. 178 infants in the non-PPROM group, and (2) 54 infants in the oligohydramnios group vs. 265 infants in the non-oligohydramnios group. The infants affected by PPROM were at significantly younger gestational ages at birth with lower 5-min Apgar scores than those not affected by PPROM. Histologic chorioamnionitis was significantly more frequent in the PPROM group than in the non-PPROM group. The proportions of small-for-gestational-age infants and infants affected by multiple births were significantly higher in the non-PPROM group. The median (interquartile range) PPROM latency and onset were 50.5 (9.0 - 103.0) h and 26.6 (24.1 - 28.5) weeks, respectively. Based on the logistic regression analysis assessing the association of PPROM and oligohydramnios with the significant neonatal outcome, oligohydramnios was significantly associated with neonatal death (odds ratio [OR] = 2.831, 95% confidence interval [CI] 1.447 - 5.539), air leak syndrome (OR = 2.692, 95% CI 1.224 - 5.921), and persistent pulmonary hypertension (PPH) (OR = 2.380, 95% CI 1.244 - 4.555). PPROM per se was not associated with any neonatal outcome. However, early onset PPROM and prolonged PPROM latency were associated with neonatal morbidity and mortality. When PPROM was accompanied by oligohydramnios, it was associated with increased odds for PPH (OR = 2.840, 95% CI 1.335 - 6.044), retinopathy of prematurity (OR = 3.308, 95% CI 1.325 - 8.259), and neonatal death (OR = 2.282, 95% CI 1.021 - 5.103). Conclusion PPROM and oligohydramnios affect neonatal outcomes differently. Oligohydramnios, but not PPROM, is a significant risk factor for adverse neonatal outcomes, which is presumably related to pulmonary hypoplasia. Prenatal inflammation appears to complicate neonatal outcomes in infants affected by early PPROM and prolonged PPROM latency.</t>
  </si>
  <si>
    <t>[Kim, Min Soo; Kim, Sol; Seo, Yumi; Oh, Moon-Yeon; Yum, Sook Kyung] Catholic Univ Korea, Coll Med, Dept Pediat, Seoul, South Korea; [Yum, Sook Kyung] Catholic Univ Korea, Coll Med, Dept Pediat, Div Neonatol, 222 Banpo Daero, Seoul 06591, South Korea</t>
  </si>
  <si>
    <t>Catholic University of Korea; Catholic University of Korea</t>
  </si>
  <si>
    <t>Yum, SK (corresponding author), Catholic Univ Korea, Coll Med, Dept Pediat, Div Neonatol, 222 Banpo Daero, Seoul 06591, South Korea.</t>
  </si>
  <si>
    <t>cookieyyum@gmail.com</t>
  </si>
  <si>
    <t>Yum, Sook Kyung/0000-0001-8589-3159</t>
  </si>
  <si>
    <t>10.1080/14767058.2023.2195523</t>
  </si>
  <si>
    <t>C2XL7</t>
  </si>
  <si>
    <t>WOS:000960606400001</t>
  </si>
  <si>
    <t>Kiruja, J; Osman, F; Egal, JA; Klingberg-Allvin, M; Litorp, H</t>
  </si>
  <si>
    <t>Kiruja, Jonah; Osman, Fatumo; Egal, Jama Ali; Klingberg-Allvin, Marie; Litorp, Helena</t>
  </si>
  <si>
    <t>Association between delayed cesarean section and severe maternal and adverse newborn outcomes in the Somaliland context: a cohort study in a national referral hospital</t>
  </si>
  <si>
    <t>Delayed caesarean section; severe maternal outcomes; adverse newborn outcomes; barriers; Somaliland</t>
  </si>
  <si>
    <t>INFORMED-CONSENT PRACTICES; CARE PROVIDERS; OBSTETRIC CARE; DELIVERY; DECISION</t>
  </si>
  <si>
    <t>Background In a critical obstetric situation, the time interval between the decision of performing a caesarean section (CS) and delivery can influence maternal and newborn outcomes. In Somaliland, consent for surgical procedures, such as CS needs to be sought from family members. Objective To determine the association between a delay in performing a CS and severe maternal and newborn outcomes in a national referral hospital in Somaliland. The type of barriers leading to delayed performance of CS after a doctor's decision were also explored. Methods Women were followed from the time of decision to perform CS until discharge from the hospital between 15 April 2019 and 30 March 2020. No delay was defined as &lt; 1 hour and delayed CS was defined as 1-3 hours and &gt;3 hours from decision of CS to delivery. Information was collected on barriers leading to delayed CS and maternal and newborn outcomes. Data was analysed using binary and multivariate logistic regression. Results Overall, 1255 women were recruited from a larger cohort of 6658 women. A delay in CS &gt;3 hours was associated with higher odds of severe maternal outcomes (aOR 1.58, 95% CI [1.13-2.21]). On the contrary, delay in performing a CS &gt;3 hours was associated with lower odds of stillbirth (aOR 0.48, 95% CI [0.32-0.71]) compared to women without delay. Further, family decision-making for consent was the most important barrier leading to delays of &gt;3 hours as compared to financial factors and barriers related to healthcare providers (48% vs 26% and 15%, respectively, p &lt; 0.001). Conclusions In this setting, delay in performing CS &gt;3 hours was associated with higher risk of severe maternal outcomes. A standardised system of performing a CS by primarily addressing the barriers associated with family decision-making, financial aspects and healthcare providers is needed.</t>
  </si>
  <si>
    <t>[Kiruja, Jonah; Osman, Fatumo; Egal, Jama Ali; Klingberg-Allvin, Marie] Dalarna Univ, Sch Hlth &amp; Welf, Falun, Sweden; [Kiruja, Jonah; Egal, Jama Ali] Univ Hargeisa, Sch Hlth &amp; Welf, Hargeisa, Somalia; [Klingberg-Allvin, Marie] Karolinska Inst, Dept Womens &amp; Childrens Hlth, Stockholm, Sweden; [Litorp, Helena] Uppsala Univ, Dept Womens &amp; Childrens Hlth, Uppsala, Sweden; [Litorp, Helena] Karolinska Inst, Dept Global Publ Hlth, Stockholm, Sweden; [Kiruja, Jonah] Univ Hargeisa, Hargeisa, Somalia</t>
  </si>
  <si>
    <t>Dalarna University; Karolinska Institutet; Uppsala University; Karolinska Institutet</t>
  </si>
  <si>
    <t>Kiruja, J (corresponding author), Dalarna Univ, Sch Hlth &amp; Welf, Falun, Sweden.;Kiruja, J (corresponding author), Univ Hargeisa, Hargeisa, Somalia.</t>
  </si>
  <si>
    <t>kjo@du.se</t>
  </si>
  <si>
    <t>10.1080/16549716.2023.2207862</t>
  </si>
  <si>
    <t>F6RM1</t>
  </si>
  <si>
    <t>WOS:000983597100001</t>
  </si>
  <si>
    <t>Knuutila, A; Dalby, T; Ahvenainen, N; Barkoff, AM; Jorgensen, CS; Fuursted, K; Mertsola, J; He, QS</t>
  </si>
  <si>
    <t>Knuutila, Aapo; Dalby, Tine; Ahvenainen, Niina; Barkoff, Alex-Mikael; Jorgensen, Charlotte Svaerke; Fuursted, Kurt; Mertsola, Jussi; He, Qiushui</t>
  </si>
  <si>
    <t>Antibody avidity to pertussis toxin after acellular pertussis vaccination and infection</t>
  </si>
  <si>
    <t>Pertussis; pertussis toxin; avidity; ELISA; vaccination</t>
  </si>
  <si>
    <t>BORDETELLA-PERTUSSIS; B HIB; SOMATIC HYPERMUTATION; PREGNANT-WOMEN; IGG AVIDITY; WHOLE-CELL; IMMUNIZATION; MATURATION; RESPONSES; VACCINES</t>
  </si>
  <si>
    <t>Pertussis toxin (PT) is a unique virulence factor of Bordetella pertussis, and therefore a key component of acellular pertussis vaccines. Although immunity after infection seems to persist longer than after vaccination, the exact mechanisms are not fully known. In this study the overall binding strength (avidity) of anti-PT IgG antibodies was compared after acellular booster vaccination and infection, as a parameter to evaluate long-lasting protection. Danish and Finnish serum samples from a total of 134 serologically confirmed patients and 112 children who received acellular booster vaccines were included in this study. The concentration of anti-PT IgG was first determined by ELISA, followed by two separate ELISAs to evaluate antibody avidity: either with a dilution series of urea as a bond-breaking agent of antibody and antigen binding and a constant anti-PT IgG concentration between the samples or with a constant dilution ratio of sera and detergent. In addition to urea, the use of diethylamine and ammonium thiocyanate as disruptive agents were first compared between each other. A strong Spearman correlation (R &gt; 0.801) was noted between avidity and concentration of anti-PT IgG antibodies if a constant serum dilution method was used, and avidity was noted to be higher in patients in comparison to vaccinees in Denmark, but not in Finland. However, no correlation between antibody concentration and avidity was found if a constant anti-PT IgG concentration was used (R = -0.157). With this method, avidity after vaccination was significantly higher in comparison to that after infection in both Danish and Finnish subjects (p &lt; 0.01). A shorter time since the latest booster vaccination was found to affect avidity positively on the next PT-antigen exposure with either vaccination or infection.</t>
  </si>
  <si>
    <t>[Knuutila, Aapo; Ahvenainen, Niina; Barkoff, Alex-Mikael; He, Qiushui] Univ Turku, Inst Biomed, Turku, Finland; [Dalby, Tine; Jorgensen, Charlotte Svaerke; Fuursted, Kurt] Statens Serum Inst, Copenhagen, Denmark; [Mertsola, Jussi] Turku Univ Hosp, Dept Pediat &amp; Adolescent Med, Turku, Finland; [He, Qiushui] Univ Turku, InFLAMES Res Flagship Ctr, Turku, Finland</t>
  </si>
  <si>
    <t>University of Turku; Statens Serum Institut; University of Turku; University of Turku</t>
  </si>
  <si>
    <t>He, QS (corresponding author), Univ Turku, Inst Biomed, Turku, Finland.;He, QS (corresponding author), Univ Turku, InFLAMES Res Flagship Ctr, Turku, Finland.</t>
  </si>
  <si>
    <t>qiushui.he@utu.fi</t>
  </si>
  <si>
    <t>Dalby, Tine/H-4560-2019</t>
  </si>
  <si>
    <t>Dalby, Tine/0000-0003-4774-7091; Knuutila, Aapo/0000-0003-0622-5043</t>
  </si>
  <si>
    <t>Innovative Medicines Initiative 2 Joint Undertaking [115910]; European Union; European Federation of Pharmaceutical Industries and Associations; Bill &amp; Melinda Gates Foundation</t>
  </si>
  <si>
    <t>Innovative Medicines Initiative 2 Joint Undertaking; European Union(European Union (EU)); European Federation of Pharmaceutical Industries and Associations; Bill &amp; Melinda Gates Foundation(Bill &amp; Melinda Gates FoundationCGIAR)</t>
  </si>
  <si>
    <t>The purified PT antigen was kindly provided by GlaxoS-mithKline, Belgium. Joonatan Maekelae (Department of Life Sciences, University of Turku) is acknowledged for his technical support in assay development. This study was conducted as a part of the PERISCOPE (pertussis correlates of protection Europe) project. The PERISCOPE project has received funding from the Innovative Medicines Initiative 2 Joint Undertaking under grant agreement number 115910. This Joint Undertaking receives support from the European Union's Horizon 2020 research and innovation programme; the European Federation of Pharmaceutical Industries and Associations; and the Bill &amp; Melinda Gates Foundation.</t>
  </si>
  <si>
    <t>e2174782</t>
  </si>
  <si>
    <t>10.1080/22221751.2023.2174782</t>
  </si>
  <si>
    <t>9D1PC</t>
  </si>
  <si>
    <t>WOS:000935875300001</t>
  </si>
  <si>
    <t>Kubala, JM; Laursen, KB; Schreiner, R; Williams, RM; van der Mijn, JC; Crowley, MJ; Mongan, NP; Nanus, DM; Heller, DA; Gudas, LJ</t>
  </si>
  <si>
    <t>Kubala, Jaclyn M.; Laursen, Kristian B.; Schreiner, Ryan; Williams, Ryan M.; van der Mijn, Johannes C.; Crowley, Michael J.; Mongan, Nigel P.; Nanus, David M.; Heller, Daniel A.; Gudas, Lorraine J.</t>
  </si>
  <si>
    <t>NDUFA4L2 reduces mitochondrial respiration resulting in defective lysosomal trafficking in clear cell renal cell carcinoma</t>
  </si>
  <si>
    <t>ccRCC; lysosome; mitochondria; NPC2; expansion microscopy; kidney cancer; mass spectrometry; co-immunofluorescence; glycolysis; oxidative phosphorylation; mitochondrial respiration; Warburg effect; MISTR2; MISTR3; MIRCAF2; MIRCAF3; hypoxia; NDUFA4; HIF1a</t>
  </si>
  <si>
    <t>AUTOPHAGY; VACUOLES; DISEASE; PROTEIN</t>
  </si>
  <si>
    <t>In clear cell renal cell carcinoma (ccRCC), activation of hypoxic signaling induces NADH dehydrogenase (ubiquinone) 1 alpha subcomplex, 4-like 2 (NDUFA4L2) expression. Over 90% of ccRCCs exhibit overexpression of NDUFA4L2, which we previously showed contributes to ccRCC proliferation and survival. The function of NDUFA4L2 in ccRCC has not been fully elucidated. NDUFA4L2 was reported to reduce mitochondrial respiration via mitochondrial complex I inhibition. We found that NDUFA4L2 expression in human ccRCC cells increases the extracellular acidification rate, indicative of elevated glycolysis. Conversely, NDUFA4L2 expression in non-cancerous kidney epithelial cells decreases oxygen consumption rate while increasing extracellular acidification rate, suggesting that a Warburg-like effect is induced by NDUFA4L2 alone. We performed mass-spectrometry (MS)-based proteomics of NDUFA4L2 associated complexes. Comparing RCC4-P (parental) ccRCC cells with RCC4 in which NDUFA4L2 is knocked out by CRISPR-Cas9 (RCC4-KO-643), we identified 3,215 proteins enriched in the NDUFA4L2 immunoprecipitates. Among the top-ranking pathways were Metabolic Reprogramming in Cancer and Glycolysis Activation in Cancer (Warburg Effect). We also show that NDUFA4L2 enhances mitochondrial fragmentation, interacts with lysosomes, and increases mitochondrial-lysosomal associations, as assessed by high-resolution fluorescence microscopy and live cell imaging. We identified 161 lysosomal proteins, including Niemann-Pick Disease Type C Intracellular Cholesterol Transporters 1 and 2 (NPC1, NPC2), that are associated with NDUFA4L2 in RCC4-P cells. RCC4-P cells have larger and decreased numbers of lysosomes relative to RCC4 NDUFA4L2 knockout cells. These findings suggest that NDUFA4L2 regulates mitochondrial-lysosomal associations and potentially lysosomal size and abundance. Consequently, NDUFA4L2 may regulate not only mitochondrial, but also lysosomal functions in ccRCC.</t>
  </si>
  <si>
    <t>[Kubala, Jaclyn M.; Laursen, Kristian B.; van der Mijn, Johannes C.; Mongan, Nigel P.; Heller, Daniel A.; Gudas, Lorraine J.] Weill Cornell Med, Dept Pharmacol, New York, NY USA; [Kubala, Jaclyn M.; Williams, Ryan M.; Heller, Daniel A.] Mem Sloan Kettering Canc Ctr, Mol Pharmacol Program, New York, NY USA; [Kubala, Jaclyn M.; Nanus, David M.; Gudas, Lorraine J.] Weill Cornell Med, Meyer Canc Ctr, New York, NY USA; [Schreiner, Ryan] Weill Cornell Med, Dept Med, Div Regenerat Med Res, New York, NY USA; [Williams, Ryan M.] CUNY City Coll, Dept Biomed Engn, New York, NY USA; [Crowley, Michael J.; Heller, Daniel A.] Weill Cornell Med, Dept Physiol Biophys &amp; Syst Biol, New York, NY USA; [Mongan, Nigel P.] Univ Nottingham, Fac Med &amp; Hlth Sci, Ctr Canc Sci, Sutton Bonington Campus, Loughborough, England; [Nanus, David M.] Weill Cornell Med, Dept Med, Div Hematol &amp; Med Oncol, New York, NY USA; [Nanus, David M.; Gudas, Lorraine J.] New York Presbyterian Hosp, Dept Urol, Weill Cornell Med, New York, NY USA; [Gudas, Lorraine J.] Weill Cornell Med, Dept Pharmacol, New York, NY 10065 USA</t>
  </si>
  <si>
    <t>Cornell University; Weill Cornell Medicine; Memorial Sloan Kettering Cancer Center; Cornell University; Weill Cornell Medicine; Cornell University; Weill Cornell Medicine; City University of New York (CUNY) System; City College of New York (CUNY); Cornell University; Weill Cornell Medicine; University of Nottingham; Cornell University; Weill Cornell Medicine; Cornell University; Weill Cornell Medicine; NewYork-Presbyterian Hospital; Cornell University; Weill Cornell Medicine</t>
  </si>
  <si>
    <t>Gudas, LJ (corresponding author), Weill Cornell Med, Dept Pharmacol, New York, NY 10065 USA.</t>
  </si>
  <si>
    <t>ljgudas@med.cornell.edu</t>
  </si>
  <si>
    <t>Mongan, Nigel P/B-7410-2011; Heller, Daniel A/A-4283-2008</t>
  </si>
  <si>
    <t>Heller, Daniel A/0000-0002-6866-0000; Mongan, Nigel/0000-0001-5438-1126</t>
  </si>
  <si>
    <t>NIH [F31 CA213814-01, CA215719, P30-CA008748, 5 T32 CA062948-22, DK113088-01A1]; National Institutes of Health [F31 CA213814-01, CA215719, P30-CA008748, 5 T32 CA062948-22]; National institute of diabetes and digestive and kidney diseases [DK113088-01A1, DK119489]</t>
  </si>
  <si>
    <t>NIH(United States Department of Health &amp; Human ServicesNational Institutes of Health (NIH) - USA); National Institutes of Health(United States Department of Health &amp; Human ServicesNational Institutes of Health (NIH) - USA); National institute of diabetes and digestive and kidney diseases(United States Department of Health &amp; Human ServicesNational Institutes of Health (NIH) - USANIH National Institute of Diabetes &amp; Digestive &amp; Kidney Diseases (NIDDK))</t>
  </si>
  <si>
    <t>This work was supported by the National Institutes of Health [F31 CA213814-01]; National Institutes of Health [CA215719]; National Institutes of Health [P30-CA008748]; National Institutes of Health [5 T32 CA062948-22]; National institute of diabetes and digestive and kidney diseases [DK113088-01A1]; National institute of diabetes and digestive and kidney diseases [DK119489].</t>
  </si>
  <si>
    <t>10.1080/15384047.2023.2170669</t>
  </si>
  <si>
    <t>8K3WK</t>
  </si>
  <si>
    <t>WOS:000923036000001</t>
  </si>
  <si>
    <t>Lai, WF; Reddy, OS; Zhang, DH; Wu, HC; Wong, WT</t>
  </si>
  <si>
    <t>Lai, Wing-Fu; Reddy, Obireddy Sreekanth; Zhang, Dahong; Wu, Haicui; Wong, Wing-Tak</t>
  </si>
  <si>
    <t>Cross-linked chitosan/lysozyme hydrogels with inherent antibacterial activity and tuneable drug release properties for cutaneous drug administration</t>
  </si>
  <si>
    <t>Chitosan; lysozyme; cutaneous administration; drug delivery; sustained release</t>
  </si>
  <si>
    <t>SUSTAINED-RELEASE; DELIVERY; CHITOSAN; GEL; POLYSACCHARIDE; MICROSPHERES; BACTERIA; SYSTEMS; DESIGN</t>
  </si>
  <si>
    <t>Gels with high drug release sustainability and intrinsic antibacterial properties are of high practical potential for cutaneous drug administration, particularly for wound care and skin disease treatment. This study reports the generation and characterization of gels formed by 1,5-pentanedial-mediated crosslinking between chitosan and lysozyme for cutaneous drug delivery. Structures of the gels are characterized by using scanning electron microscopy, X-ray diffractometry and Fourier-transform infrared spectroscopy. An increase in the mass percentage of lysozyme leads to an increase in the swelling ratio and erosion susceptibility of the resulting gels. The drug delivery performance of the gels can be changed simply by manipulating the chitosan/lysozyme mass-to-mass ratio, with an increase in the mass percentage of lysozyme leading to a decline in the encapsulation efficiency and drug release sustainability of the gels. Not only do all gels tested in this study show negligible toxicity in NIH/3T3 fibroblasts, they also demonstrate intrinsic antibacterial effects against both Gram-negative and Gram-positive bacteria, with the magnitude of the effect being positively related to the mass percentage of lysozyme. All these warrant the gels to be further developed as intrinsically antibacterial carriers for cutaneous drug administration.</t>
  </si>
  <si>
    <t>[Lai, Wing-Fu; Reddy, Obireddy Sreekanth; Zhang, Dahong] Zhejiang Prov Peoples Hosp, Hangzhou Med Coll, Affiliated Peoples Hosp, Dept Urol, Zhejiang, Peoples R China; [Lai, Wing-Fu; Reddy, Obireddy Sreekanth; Wu, Haicui; Wong, Wing-Tak] Hong Kong Polytech Univ, Dept Appl Biol &amp; Chem Technol, Hong Kong, Peoples R China; [Reddy, Obireddy Sreekanth] Sri Krishnadevaraya Univ, Dept Chem, Anantapur, India</t>
  </si>
  <si>
    <t>Hangzhou Medical College; Zhejiang Provincial People's Hospital; Hong Kong Polytechnic University; Sri Krishnadevaraya University</t>
  </si>
  <si>
    <t>Lai, WF (corresponding author), Zhejiang Prov Peoples Hosp, Hangzhou Med Coll, Affiliated Peoples Hosp, Dept Urol, Zhejiang, Peoples R China.;Lai, WF (corresponding author), Hong Kong Polytech Univ, Dept Appl Biol &amp; Chem Technol, Hong Kong, Peoples R China.</t>
  </si>
  <si>
    <t>rori0610@graduate.hku.hk</t>
  </si>
  <si>
    <t>OBIREDDY, SREEKANTH REDDY/ABA-2789-2021; Wong, Tak/D-3144-2009</t>
  </si>
  <si>
    <t>OBIREDDY, SREEKANTH REDDY/0000-0002-5825-9547;</t>
  </si>
  <si>
    <t>10.1080/14686996.2023.2167466</t>
  </si>
  <si>
    <t>9B2OX</t>
  </si>
  <si>
    <t>WOS:000934582800001</t>
  </si>
  <si>
    <t>Lau, ST; Siah, CJR; Loh, WL; Rusli, KDB; Schmidt, LT; Lim, FP; Liaw, SY</t>
  </si>
  <si>
    <t>Lau, Siew Tiang; Siah, Chiew Jiat Rosalind; Loh, Wen Liang; Rusli, Khairul Dzakirin Bin; Schmidt, Laura Tham; Lim, Fui Ping; Liaw, Sok Ying</t>
  </si>
  <si>
    <t>Enhancing professional competency in clinical procedures using head-mounted display virtual reality-a mixed method study</t>
  </si>
  <si>
    <t>Clinical competency; professional; nurses; procedures; virtual reality; refresher; head-mounted display; intravenous therapy; subcutaneous injection</t>
  </si>
  <si>
    <t>DELIBERATE-PRACTICE; NURSING-EDUCATION; SIMULATION</t>
  </si>
  <si>
    <t>Background The maintenance of nursing professional competency is essential to ensure patients' health outcomes. With the current shortage of nursing workforce, a novel approach is necessary to refresh clinical skills and update practice. Objective This study aims to examine the effectiveness of using head-mounted display virtual reality to refresh knowledge and skills and explore nurses' perceptions towards using this technology for refresher training. Design A pre-test post-test mixed-method experimental design was employed. Results Participants (n = 88) were registered nurses with a diploma in nursing. The intravenous therapy and subcutaneous injection procedures were implemented using head-mounted display virtual reality. The study showed significant improvement in knowledge for the procedures, cognitive absorption, online readiness, self-directed learning, and motivation for learning. In the qualitative focus group discussions, three themes were identified using thematic analyses: enjoyable way to refresh clinical knowledge; learning outside classroom and limitations in maneuver. Conclusion Using head-mounted display virtual reality is promising in refreshing clinical skills for nurses. Training and refresher courses can explore using this novel technology, which may be a viable alternative to ensure professional competence with reduced manpower and resources used by the healthcare institution.</t>
  </si>
  <si>
    <t>[Lau, Siew Tiang; Siah, Chiew Jiat Rosalind; Loh, Wen Liang; Rusli, Khairul Dzakirin Bin; Schmidt, Laura Tham; Lim, Fui Ping; Liaw, Sok Ying] Natl Univ Singapore, Alice Lee Ctr Nursing Studies, Yong Loo Lin Sch Med, Singapore, Singapore; [Lau, Siew Tiang] Natl Univ Singapore, Alice Lee Ctr Nursing Studies, Clin Res Ctr, Yong Loo Lin Sch Med, Level 2,Block MD11,10 Med Dr, Singapore 117597, Singapore</t>
  </si>
  <si>
    <t>National University of Singapore; National University of Singapore</t>
  </si>
  <si>
    <t>Lau, ST (corresponding author), Natl Univ Singapore, Alice Lee Ctr Nursing Studies, Clin Res Ctr, Yong Loo Lin Sch Med, Level 2,Block MD11,10 Med Dr, Singapore 117597, Singapore.</t>
  </si>
  <si>
    <t>nurlst@nus.edu.sg</t>
  </si>
  <si>
    <t>Rusli, Khairul Dzakirin Bin/AAK-3698-2020</t>
  </si>
  <si>
    <t>Rusli, Khairul Dzakirin Bin/0000-0002-8096-0006; Liaw, Sok Ying/0000-0002-8326-4049; Siah, Rosalind/0000-0003-4214-3133; Loh, Wen Liang/0000-0003-0564-5185</t>
  </si>
  <si>
    <t>Ministry of Education, Singapore, Tertiary Education Research Fund [MOE2020-TRF-053]</t>
  </si>
  <si>
    <t>Ministry of Education, Singapore, Tertiary Education Research Fund</t>
  </si>
  <si>
    <t>This study was supported by the Ministry of Education, Singapore, Tertiary Education Research Fund 2020 (MOE2020-TRF-053).=</t>
  </si>
  <si>
    <t>10.1080/10872981.2023.2232134</t>
  </si>
  <si>
    <t>K9JO6</t>
  </si>
  <si>
    <t>WOS:001019528100001</t>
  </si>
  <si>
    <t>Li, B; Peng, C; Wang, YL; Ma, R; Feng, Y</t>
  </si>
  <si>
    <t>Li, Bin; Peng, Cong; Wang, Yili; Ma, Rong; Feng, Ya</t>
  </si>
  <si>
    <t>The relationship between bile acids levels and the prognosis of patients with diabetes on maintenance hemodialysis: a retrospective study</t>
  </si>
  <si>
    <t>All-cause death; bile acid; prognosis; diabetes mellitus; glycolipid metabolism; maintenance hemodialysis; risk factors</t>
  </si>
  <si>
    <t>KIDNEY-DISEASE; RISK-FACTORS; MORTALITY; MECHANISMS; ALBUMIN; EVENTS</t>
  </si>
  <si>
    <t>Objective There is a paucity of research on the association between bile acids (BAs) levels and all-cause death in patients with diabetes mellitus (DM) on maintenance hemodialysis (MHD). This study aimed to investigate the clinical characteristics of patients with DM on MHD according to different BAs levels and their impact on prognosis. Methods A retrospective cohort of 1,081 patients on hemodialysis at Xindu People's Hospital and the First Affiliated Hospital of Chengdu Medical College were enrolled. Demographic and clinical characteristics were collected. The relationship between BAs and all-cause death risk was fitted using restricted cubic splines (RCS), and the BAs cutoff value was calculated. Patients were divided into low and high BAs groups based on the cutoff value. The primary endpoint was all-cause death and the secondary outcomes were deaths from cardiovascular events. Results Finally, 387 patients with DM on MHD were included. The median BAs level of all patients was 4.0 mu mol/L. The RCS-based BAs cutoff value was 3.5 mu mol/L. The BAs levels correlated negatively with total cholesterol, low-density lipoprotein, and blood calcium levels. During the follow-up, 21.7% of the patients died. The multivariate Cox regression analysis demonstrated that patients with DM on MHD with higher BAs were associated independently with a decreased risk of all-cause death (HR =0.55; 95% CI, 0.35-0.81, p = 0.01) compared to those with lower BAs levels. Conclusions Higher BAs levels were associated with lower lipid levels in patients with DM on MHD. BAs is an independent risk factor for all-cause death in patients with DM on MHD.</t>
  </si>
  <si>
    <t>[Li, Bin] Univ Elect Sci &amp; Technol, Sichuan Acad Sci &amp; Sichuan Prov Peoples Hosp, Dept Geriatr Endocrinol, Chengdu, Sichuan, Peoples R China; [Peng, Cong; Wang, Yili; Feng, Ya] Chengdu Med Coll, Affiliated Hosp 1, Chengdu, Sichuan, Peoples R China; [Ma, Rong] Xindu Peoples Hosp, Dept Nephrol &amp; Endocrinol, Chengdu, Sichuan, Peoples R China; [Ma, Rong] Xindu Peoples Hosp, Dept Nephrol &amp; Endocrinol, 199 Southern Yuying Rd, Chengdu 610500, Sichuan, Peoples R China; [Feng, Ya] Chengdu Med Coll, Affiliated Hosp 1, 278 Middle Sect Baoguang Ave, Chengdu 610500, Sichuan, Peoples R China</t>
  </si>
  <si>
    <t>University of Electronic Science &amp; Technology of China; Chengdu Medical College; Chengdu Medical College</t>
  </si>
  <si>
    <t>Ma, R (corresponding author), Xindu Peoples Hosp, Dept Nephrol &amp; Endocrinol, 199 Southern Yuying Rd, Chengdu 610500, Sichuan, Peoples R China.;Feng, Y (corresponding author), Chengdu Med Coll, Affiliated Hosp 1, 278 Middle Sect Baoguang Ave, Chengdu 610500, Sichuan, Peoples R China.</t>
  </si>
  <si>
    <t>53518951@qq.com; 18355228547@163.com</t>
  </si>
  <si>
    <t>10.1080/0886022X.2023.2226221</t>
  </si>
  <si>
    <t>J5QN3</t>
  </si>
  <si>
    <t>gold, Green Submitted, Green Published</t>
  </si>
  <si>
    <t>WOS:001010163000001</t>
  </si>
  <si>
    <t>Li, C; Yu, JW; Liao, DY; Su, XL; Yi, XC; Yang, X; He, J</t>
  </si>
  <si>
    <t>Li, Chao; Yu, Jianwei; Liao, Daoyong; Su, Xiaoling; Yi, Xinchao; Yang, Xue; He, Jun</t>
  </si>
  <si>
    <t>Annexin A2: the missing piece in the puzzle of pathogen-induced damage</t>
  </si>
  <si>
    <t>Annexin A2; S100A10; A2t; ligand; pathogen; therapeutic target</t>
  </si>
  <si>
    <t>HEPATITIS-B-VIRUS; HUMAN-PAPILLOMAVIRUS TYPE-16; CRYPTOCOCCUS-NEOFORMANS; BINDING-SITE; II BINDS; PROTEIN; REPLICATION; INFLUENZA; INHIBITORS; COMPLEX</t>
  </si>
  <si>
    <t>Annexin A2 is a Ca2+ regulated protein belonging to the Annexin family and is found in the cytoplasm and cell membrane. It can exist in a monomeric form or in a heterotetrameric form with the S100A10 dimer. The research on Annexin A2 in tumours is currently active, and studies on its role in pathogen infection are increasing. Annexin A2 plays a crucial role in the life cycle of viruses by mediating adhesion, internalization, uncoating, transport, and release. In the case of parasites, bacteria, mycoplasma, fungi, and other pathogens, Annexin A2 binds to the ligand on the pathogen, which mediates the pathogen's adhesion to the host cell, ultimately leading to infection and damage to the host. Furthermore, some studies have developed biological or chemical drugs that target Annexin A2, which have demonstrated promising anti-infective effects. Thus, targeting Annexin A2 may present a promising therapeutic approach for the treatment of diverse infectious diseases. In summary, this paper provides an overview of Annexin A2 and its role in various pathogens. It highlights its regulation of pathogen infection and its potential as a therapeutic target for the treatment of infectious diseases.</t>
  </si>
  <si>
    <t>[Li, Chao; Liao, Daoyong; Su, Xiaoling; Yi, Xinchao; He, Jun] Univ South China, Affiliated Nanhua Hosp, Hengyang Med Sch, Dept Clin Lab, Hengyang, Peoples R China; [Yu, Jianwei; Yang, Xue] Univ South China, Sch Publ Hlth, Hengyang Med Sch, Dept Publ Hlth Lab Sci, Hengyang, Hunan, Peoples R China</t>
  </si>
  <si>
    <t>University of South China; University of South China</t>
  </si>
  <si>
    <t>He, J (corresponding author), Univ South China, Affiliated Nanhua Hosp, Hengyang Med Sch, Dept Clin Lab, Hengyang, Peoples R China.</t>
  </si>
  <si>
    <t>junhe2008@163.com</t>
  </si>
  <si>
    <t>He, Jun/0000-0001-9356-3256</t>
  </si>
  <si>
    <t>10.1080/21505594.2023.2237222</t>
  </si>
  <si>
    <t>M7MY2</t>
  </si>
  <si>
    <t>WOS:001032034200001</t>
  </si>
  <si>
    <t>Li, C; Xiao, JF; Zhang, J; Wen, QQ</t>
  </si>
  <si>
    <t>Li, Cong; Xiao, Junfeng; Zhang, Jun; Wen, Qingqi</t>
  </si>
  <si>
    <t>The effect of dietary resveratrol supplementation on growth performance, carcase trait, meat quality and antioxidant status of Chinese indigenous chicken</t>
  </si>
  <si>
    <t>JOURNAL OF APPLIED ANIMAL RESEARCH</t>
  </si>
  <si>
    <t>Indigenous chicken; resveratrol; growth performance; carcase trait; meat quality; antioxidant status</t>
  </si>
  <si>
    <t>METABOLISM; MICROBIOTA; CAPACITY; STORAGE; MUSCLE</t>
  </si>
  <si>
    <t>This study was conducted to explore the effects of resveratrol on production performance of Chinese indigenous broilers. A total of 432 female broilers (1-day-old) with similar BW were selected and randomly allotted to 4 groups with 6 replicated of 18 birds each. These four groups were fed on a 0, 250, 500, or 1000 mg/kg resveratrol supplemented basic diet for 51 days. The results demonstrated that birds in the resveratrol treated groups exhibited higher final BW and ADG, and lower F/G ratio. The resveratrol treatments also resulted a higher breast and drumstick muscle rates, relative jejunum weight, relative jejunum length, and lower abdominal fat rate. The serum biochemical parameters were positively affected by each resveratrol treatment, including TP, GLB, TC, LDL, and ALP. The L*(45min) and shear force values of both breast and drumstick muscle tissues were significantly reduced in the resveratrol treatments, whilst resveratrol treatments induced higher a*(45min) in breast muscle tissue and lower b*(45min) in drumstick muscle tissue compared the basic diet treatment. In addition, dietary resveratrol supplementation significant reduced the MDA content and elevated the activity of anti-oxidative enzymes in serum and liver tissue, as well as up-regulated the mRNA expression of Nrf2 gene and antioxidant genes (HO-1, GPX, and CAT) in drumstick muscle tissues. Collectively, this study determined that dietary supplementation with 250 and 500 mg/kg resveratrol improved the growth performances, carcass characters, and meat quality of Chinese indigenous broiler chickens.</t>
  </si>
  <si>
    <t>[Wen, Qingqi] Jiangxi Agr Univ, Coll Anim Sci &amp; Technol, Nanchang 330045, Peoples R China; [Li, Cong; Xiao, Junfeng; Zhang, Jun] Fujian Aonong Biol Sci &amp; Technol Grp Co Ltd, Zhangzhou, Peoples R China</t>
  </si>
  <si>
    <t>Jiangxi Agricultural University</t>
  </si>
  <si>
    <t>Wen, QQ (corresponding author), Jiangxi Agr Univ, Coll Anim Sci &amp; Technol, Nanchang 330045, Peoples R China.</t>
  </si>
  <si>
    <t>wenqingqi08@163.com</t>
  </si>
  <si>
    <t>0971-2119</t>
  </si>
  <si>
    <t>0974-1844</t>
  </si>
  <si>
    <t>J APPL ANIM RES</t>
  </si>
  <si>
    <t>J. Appl. Anim. Res.</t>
  </si>
  <si>
    <t>10.1080/09712119.2023.2204135</t>
  </si>
  <si>
    <t>Agriculture, Dairy &amp; Animal Science</t>
  </si>
  <si>
    <t>Agriculture</t>
  </si>
  <si>
    <t>E3SF5</t>
  </si>
  <si>
    <t>WOS:000974768700001</t>
  </si>
  <si>
    <t>Li, GL; Li, HX; Lv, JY</t>
  </si>
  <si>
    <t>Li, Guolong; Li, Haixia; Lv, Jiyong</t>
  </si>
  <si>
    <t>Research on Intermittent Hypoxia Training in Sports Based on Graph Neural Network</t>
  </si>
  <si>
    <t>PERFORMANCE</t>
  </si>
  <si>
    <t>To enhance the efficacy of intermittent hypoxia training in sports, this study presents an intelligent training model that utilizes a graph neural network. The model incorporates the particle filter method to establish a real-time processing system for physiological signals generated during intermittent hypoxia training, enabling frequency tracking and network sorting. Additionally, an ARMA model is utilized to facilitate real-time carrier frequency estimation and time-hopping detection of physiological signals. An enhanced frequency tracking method is proposed based on the Graph Neural Network (GNN) and ARMA model to improve the accuracy of frequency tracking while minimizing algorithm complexity. The experimental results indicate that the fusion of the GNN and the proposed intermittent hypoxia training model can effectively enhance the effects of intermittent hypoxia training in sports.</t>
  </si>
  <si>
    <t>[Li, Guolong; Lv, Jiyong] Harbin Sport Univ, Coll Natl Tradit Sports, Harbin, Peoples R China; [Li, Haixia] Harbin Sport Univ, Coll Winter Olymp, Harbin, Peoples R China; [Li, Haixia] Harbin Sport Univ, Coll Winter Olymp, Harbin 150008, Peoples R China</t>
  </si>
  <si>
    <t>Harbin Sport University; Harbin Sport University; Harbin Sport University</t>
  </si>
  <si>
    <t>Li, HX (corresponding author), Harbin Sport Univ, Coll Winter Olymp, Harbin 150008, Peoples R China.</t>
  </si>
  <si>
    <t>lihaixia99@hrbipe.edu.cn</t>
  </si>
  <si>
    <t>Basic Scientific Research Operational Expenditure Project for Province-owned Universities [2020KYYWF-FC03]; Talent Introduction Scientific Research Start-up Fee Project at Harbin Institute of Physical Education [RC20-202116, RCYJ-2101]</t>
  </si>
  <si>
    <t>Basic Scientific Research Operational Expenditure Project for Province-owned Universities; Talent Introduction Scientific Research Start-up Fee Project at Harbin Institute of Physical Education</t>
  </si>
  <si>
    <t>This work was supported by Basic Scientific Research Operational Expenditure Project for Province-owned Universities (Project No. 2020KYYWF-FC03) and Talent Introduction Scientific Research Start-up Fee Project at Harbin Institute of Physical Education (Project No. RC20-202116, Project No. RCYJ-2101)</t>
  </si>
  <si>
    <t>10.1080/08839514.2023.2211462</t>
  </si>
  <si>
    <t>F9AO5</t>
  </si>
  <si>
    <t>WOS:000985202800001</t>
  </si>
  <si>
    <t>Li, JH; Ghosh, TS; McCann, R; Mallon, P; Hill, C; Draper, L; Schult, D; Fanning, LJ; Shannon, R; Sadlier, C; Horgan, M; O'Mahony, L; O'Toole, PW</t>
  </si>
  <si>
    <t>Li, Junhui; Ghosh, Tarini Shankar; McCann, Rachel; Mallon, Patrick; Hill, Colin; Draper, Lorraine; Schult, David; Fanning, Liam J.; Shannon, Robert; Sadlier, Corinna; Horgan, Mary; O'Mahony, Liam; O'Toole, Paul W.</t>
  </si>
  <si>
    <t>Robust cross-cohort gut microbiome associations with COVID-19 severity</t>
  </si>
  <si>
    <t>COVID; gut microbiome; meta-analysis; disease severity; microbiota-targeted diet; eukaryotic microorganisms; &gt;</t>
  </si>
  <si>
    <t>EGGERTHELLA-LENTA BACTEREMIA; GASTROINTESTINAL SYMPTOMS; DYNAMICS; DATABASE; MARKERS; RNA</t>
  </si>
  <si>
    <t>Although many recent studies have examined associations between the gut microbiome and COVID-19 disease severity in individual patient cohorts, questions remain on the robustness across international cohorts of the biomarkers they reported. Here, we performed a meta-analysis of eight shotgun metagenomic studies of COVID-19 patients (comprising 1,023 stool samples) and 23 &gt; 16S rRNA gene amplicon sequencing (16S) cohorts (2,415 total stool samples). We found that disease severity (as defined by the WHO clinical progression scale) was associated with taxonomic and functional microbiome differences. This alteration in gut microbiome configuration peaks at days 7-30 post diagnosis, after which the gut microbiome returns to a configuration that becomes more similar to that of healthy controls over time. Furthermore, we identified a core set of species that were consistently associated with disease severity across shotgun metagenomic and 16S cohorts, and whose abundance can accurately predict disease severity category of SARS-CoV-2 infected subjects, with Actinomyces oris abundance predicting population-level mortality rate of COVID-19. Additionally, we used relational diet-microbiome databases constructed from cohort studies to predict microbiota-targeted diet patterns that would modulate gut microbiota composition toward that of healthy controls. Finally, we demonstrated the association of disease severity with the composition of intestinal archaeal, fungal, viral, and parasitic communities. Collectively, this study has identified robust COVID-19 microbiome biomarkers, established accurate predictive models as a basis for clinical prognostic tests for disease severity, and proposed biomarker-targeted diets for managing COVID-19 infection.</t>
  </si>
  <si>
    <t>[Li, Junhui; Ghosh, Tarini Shankar; Hill, Colin; Draper, Lorraine; O'Mahony, Liam; O'Toole, Paul W.] Univ Coll Cork, Sch Microbiol, Cork, Ireland; [Li, Junhui; Ghosh, Tarini Shankar; Hill, Colin; Draper, Lorraine; O'Mahony, Liam; O'Toole, Paul W.] Univ Coll Cork, APC Microbiome Ireland, Cork, Ireland; [McCann, Rachel; Mallon, Patrick] Univ Coll Dublin, St Vincents Univ Hosp, Sch Med, Ctr Expt Pathogen Host Res, Dublin, Ireland; [Schult, David] Tech Univ Munich, Sch Med, Klinikum Rechts Isar, Dept Internal Med 2, Munich, Germany; [Fanning, Liam J.; Sadlier, Corinna; Horgan, Mary; O'Mahony, Liam] Univ Coll Cork, Dept Med, Cork, Ireland; [Shannon, Robert; Sadlier, Corinna; Horgan, Mary] Cork Univ Hosp, Dept Infect Dis, Cork, Ireland; [O'Toole, Paul W.] Univ Coll Cork, Sch Microbiol, APC Microbiome Ireland, FSB447, Western Rd, Cork T12K8AF, Ireland</t>
  </si>
  <si>
    <t>University College Cork; University College Cork; University College Dublin; Saint Vincent's University Hospital; Technical University of Munich; University College Cork; University College Cork; University College Cork</t>
  </si>
  <si>
    <t>O'Toole, PW (corresponding author), Univ Coll Cork, Sch Microbiol, APC Microbiome Ireland, FSB447, Western Rd, Cork T12K8AF, Ireland.</t>
  </si>
  <si>
    <t>pwotoole@ucc.ie</t>
  </si>
  <si>
    <t>liu, lin/JFK-3401-2023; qi, li/JFE-7167-2023; O'Mahony, Liam/AAG-5838-2019</t>
  </si>
  <si>
    <t>O'Mahony, Liam/0000-0003-4705-3583; Li, Junhui/0000-0003-3563-9114</t>
  </si>
  <si>
    <t>10.1080/19490976.2023.2242615</t>
  </si>
  <si>
    <t>O3WF7</t>
  </si>
  <si>
    <t>WOS:001043146800001</t>
  </si>
  <si>
    <t>Li, XJ; Du, HQ; Zhou, GM; Mao, FJ; Zhu, DE; Zhang, M; Xu, YX; Zhou, L; Huang, ZH</t>
  </si>
  <si>
    <t>Li, Xuejian; Du, Huaqiang; Zhou, Guomo; Mao, Fangjie; Zhu, Di'en; Zhang, Meng; Xu, Yanxin; Zhou, Lv; Huang, Zihao</t>
  </si>
  <si>
    <t>Spatiotemporal patterns of remotely sensed phenology and their response to climate change and topography in subtropical bamboo forests during 2001-2017: a case study in Zhejiang Province, China</t>
  </si>
  <si>
    <t>Bamboo forest; phenology; climate change; topographic effects</t>
  </si>
  <si>
    <t>LAND-SURFACE PHENOLOGY; VEGETATION PHENOLOGY; SPRING PHENOLOGY; GROWING-SEASON; HIGH-LATITUDES; MODIS DATA; MODEL; VARIABILITY; ALGORITHM; PRODUCTIVITY</t>
  </si>
  <si>
    <t>Vegetation phenology has long been adapted to environmental change and is highly sensitive to climate change. Shifts in phenology also affect feedbacks of vegetation to environmental factors such as topography and climate by influencing spatiotemporal fluctuations in productivity, carbon fixation, and the carbon water cycle. However, there are limited studies which explores the combined effects of the climate and terrain on phenology. Bamboo forests exhibit the outstanding phenological phenomena and play an important role in maintaining global carbon balance in climate change. Therefore, the interaction mechanisms of climate and topography on bamboo forest phenology were analyzed in Zhejiang Province, China during 2001-2017. The partial least squares path model was applied to clarify the interplay between the climate and terrain impacts on phenology under land cover/use change. The results revealed that the average start date of the growing season (SOS) significantly advanced by 0.81 days annually, the end date of the growing season (EOS) was delayed by 0.27 days annually, and the length of the growing season (LOS) increased by 1.08 days annually. There were obvious spatial differences in the partial correlation coefficients between the climate factors and phenological metrics. Although the SOS, EOS and LOS were affected by different climatic factors, precipitation was the dominant factor. Due to the sensitivity of the SOS and EOS to precipitation, a 100 mm increase in regional annual precipitation would cause the average SOS to advance by 0.18 days and the EOS to be delayed by 0.12 days. Regarding the terrain factors affecting climate conditions, there were clear differences in the influences of different altitudes, slopes and aspect gradients on bamboo forest phenology. This study further showed that topographic factors mainly affected the interannual variations in phenological metrics under land cover/use change by affecting precipitation. This study clarified the spatial pattern of bamboo forest phenology and the interactive mechanisms between vegetative phenology and environmental conditions, as this information is crucial in assessing the impact of phenological change on the carbon sequestration potential of bamboo forests.</t>
  </si>
  <si>
    <t>[Li, Xuejian; Du, Huaqiang; Zhou, Guomo; Mao, Fangjie; Xu, Yanxin; Huang, Zihao] Zhejiang A&amp;F Univ, State Key Lab Subtrop Silviculture, Hangzhou, Peoples R China; [Li, Xuejian; Du, Huaqiang; Zhou, Guomo; Mao, Fangjie; Xu, Yanxin; Huang, Zihao] Zhejiang A&amp;F Univ, Key Lab Carbon Cycling Forest Ecosyst &amp; Carbon Seq, Hangzhou, Peoples R China; [Li, Xuejian; Du, Huaqiang; Zhou, Guomo; Mao, Fangjie; Xu, Yanxin; Huang, Zihao] Zhejiang A&amp;F Univ, Sch Environm &amp; Resources Sci, Hangzhou, Peoples R China; [Zhu, Di'en; Zhang, Meng; Zhou, Lv] Beijing Forestry Univ, Coll Forestry, Beijing, Peoples R China</t>
  </si>
  <si>
    <t>Zhejiang A&amp;F University; Zhejiang A&amp;F University; Zhejiang A&amp;F University; Beijing Forestry University</t>
  </si>
  <si>
    <t>Du, HQ (corresponding author), Zhejiang A&amp;F Univ, State Key Lab Subtrop Silviculture, Hangzhou, Peoples R China.;Du, HQ (corresponding author), Zhejiang A&amp;F Univ, Key Lab Carbon Cycling Forest Ecosyst &amp; Carbon Seq, Hangzhou, Peoples R China.;Du, HQ (corresponding author), Zhejiang A&amp;F Univ, Sch Environm &amp; Resources Sci, Hangzhou, Peoples R China.</t>
  </si>
  <si>
    <t>dhqrs@126.com</t>
  </si>
  <si>
    <t>wang, yue/ISA-4119-2023; LI, Wenhui/JCD-9947-2023; liu, xy/JEP-3175-2023; Jiang, Yu/JEZ-9814-2023; liu, xinyu/IWD-6630-2023</t>
  </si>
  <si>
    <t>Huang, Zihao/0000-0002-7443-6515</t>
  </si>
  <si>
    <t>National Natural Science Foundation of China [32171785, 32201553, 31901310, U1809208]; Talent launching project of scientific research and development fund of Zhejiang A F University [2021LFR029]</t>
  </si>
  <si>
    <t>National Natural Science Foundation of China(National Natural Science Foundation of China (NSFC)); Talent launching project of scientific research and development fund of Zhejiang A F University</t>
  </si>
  <si>
    <t>The work was supported by the National Natural Science Foundation of China [32201553]; National Natural Science Foundation of China [31901310]; National Natural Science Foundation of China [U1809208]; Talent launching project of scientific research and development fund of Zhejiang A &amp; F University [2021LFR029]; National Natural Science Foundation of China [32171785].</t>
  </si>
  <si>
    <t>10.1080/15481603.2022.2163575</t>
  </si>
  <si>
    <t>7M3YY</t>
  </si>
  <si>
    <t>WOS:000906596300001</t>
  </si>
  <si>
    <t>Liang, YY; Zhang, LZ; Huang, LJ; Li, YL; Chen, JS; Bi, SL; Huang, MS; Tan, H; Lai, SY; Liang, JY; Gu, SF; Jia, JP; Wen, SW; Wang, ZJ; Cao, YL; Wang, SS; Xu, XY; Feng, L; Zhao, XL; Zhao, YY; Zhu, QY; Qi, HB; Zhang, LZ; Li, HT; Du, LL; Chen, DJ</t>
  </si>
  <si>
    <t>Liang, Yingyu; Zhang, Lizi; Huang, Lijun; Li, Yulian; Chen, Jingsi; Bi, Shilei; Huang, Minshan; Tan, Hu; Lai, Siying; Liang, Jingying; Gu, Shifeng; Jia, Jinping; Wen, Suiwen; Wang, Zhijian; Cao, Yinli; Wang, Shaoshuai; Xu, Xiaoyan; Feng, Ling; Zhao, Xianlan; Zhao, Yangyu; Zhu, Qiying; Qi, Hongbo; Zhang, Lanzhen; Li, Hongtian; Du, Lili; Chen, Dunjin</t>
  </si>
  <si>
    <t>Association between short inter-pregnancy interval and placenta previa and placenta accreta spectrum with respect to maternal age at first cesarean delivery</t>
  </si>
  <si>
    <t>Placenta previa; placenta accreta spectrum; inter-pregnancy interval; maternal age; cesarean delivery</t>
  </si>
  <si>
    <t>INTERPREGNANCY INTERVAL; PERINATAL OUTCOMES; UNITED-STATES; RISK-FACTORS; MANAGEMENT; MORBIDITY; CANADA; TRENDS; CHINA</t>
  </si>
  <si>
    <t>Objective To explore the association between inter-pregnancy intervals and placenta previa and placenta accreta spectrum among women who had prior cesarean deliveries with respect to maternal age at first cesarean delivery. Methods This retrospective study included clinical data from 9981 singleton pregnant women with a history of cesarean delivery at 11 public tertiary hospitals in seven provinces of China between January 2017 and December 2017. The study population was divided into four groups (&lt;2, 2-5, 5-10, &gt;= 10 years of the interval) according to the inter-pregnancy interval. The rate of placenta previa and placenta accreta spectrum among the four groups was compared, and multivariate logistic regression was used to analyze the relationship between inter-pregnancy interval and placenta previa and placenta accreta spectrum with respect to maternal age at first cesarean delivery. Results Compared to women aged 30-34 years old at first cesarean delivery, the risk of placenta previa (aRR, 1.48; 95% CI, 1.16-1.88) and placenta accreta spectrum (aRR, 1.74; 95% CI, 1.28-2.35) were higher among women aged 18-24. Multivariate regression results showed that women at 18-24 with &lt;2 years intervals exhibited a 5.05-fold increased risk for placenta previa compared with those with 2-5-year intervals (aRR, 5.05; 95% CI, 1.13-22.51). In addition, women aged 18-24 with less than 2 years intervals had an 8.44 times greater risk of developing PAS than women aged 30-34 with 2 to 5 years intervals (aRR, 8.44; 95% CI, 1.82-39.26). Conclusions The findings of this study suggested that short inter-pregnancy intervals were associated with increased risks for placenta previa, and placenta accreta spectrum for women under 25 years at first cesarean delivery, which may be partly attributed to obstetrical outcomes.</t>
  </si>
  <si>
    <t>[Liang, Yingyu; Huang, Lijun; Li, Yulian; Chen, Jingsi; Bi, Shilei; Huang, Minshan; Tan, Hu; Lai, Siying; Liang, Jingying; Gu, Shifeng; Du, Lili; Chen, Dunjin] Guangzhou Med Univ, Affiliated Hosp 3, Dept Obstet &amp; Gynecol, Key Lab Major Obstet Dis Guangdong Prov, Guangzhou, Peoples R China; [Zhang, Lizi; Wang, Zhijian] Southern Med Univ, Nanfang Hosp, Dept Obstet &amp; Gynecol, Guangzhou, Peoples R China; [Chen, Jingsi; Du, Lili; Chen, Dunjin] Guangdong Hong Kong Macao Greater Bay Area Higher, Guangzhou, Peoples R China; [Chen, Jingsi; Du, Lili; Chen, Dunjin] Guangdong Engn &amp; Technol Res Ctr Maternal Fetal Me, Guangzhou, Peoples R China; [Chen, Jingsi; Du, Lili; Chen, Dunjin] Key Lab Reprod &amp; Genet Guangdong Higher Educ Inst, 63 Duobao Rd, Guangzhou 510150, Guangdong, Peoples R China; [Jia, Jinping] Guangzhou Huadu Dist Maternal &amp; Child Hlth Hosp, Dept Obstet &amp; Gynecol, Guangzhou, Peoples R China; [Wen, Suiwen] Guangzhou Med Univ, Affiliated Hosp 6, Qingyuan Peoples Hosp, Dept Obstet &amp; Gynecol, Guangzhou, Peoples R China; [Cao, Yinli] Northwest Womens &amp; Childrens Hosp, Dept Obstet &amp; Gynecol, Xian, Peoples R China; [Wang, Shaoshuai; Xu, Xiaoyan; Feng, Ling] Huazhong Univ Sci &amp; Technol, Tongji Hosp, Tongji Med Coll, Dept Obstet &amp; Gynecol, Wuhan, Hubei, Peoples R China; [Zhao, Xianlan] Zhengzhou Univ, Affiliated Hosp 1, Dept Obstet &amp; Gynecol, Zhengzhou, Peoples R China; [Zhao, Yangyu] Peking Univ Third Hosp, Dept Obstet &amp; Gynecol, Beijing, Peoples R China; [Zhu, Qiying] Xinjiang Med Univ, Affiliated Hosp 1, Dept Obstet &amp; Gynecol, Urumqi, Peoples R China; [Qi, Hongbo] Chongqing Med Univ, Affiliated Hosp 1, Dept Obstet &amp; Gynecol, Chongqing, Peoples R China; [Zhang, Lanzhen] Guangzhou Med Univ, Affiliated Hosp 2, Dept Obstet &amp; Gynecol, Guangzhou, Peoples R China; [Li, Hongtian] Peking Univ, Hlth Sci Ctr, Inst Reprod &amp; Child Hlth, Natl Hlth Commiss Key Lab Reprod Hlth, Beijing, Peoples R China; [Chen, Dunjin] Guangzhou Med Univ, Affiliated Hosp 3, Dept Obstet &amp; Gynecol, Guangzhou, Peoples R China</t>
  </si>
  <si>
    <t>Guangzhou Medical University; Southern Medical University - China; Guangzhou Medical University; Huazhong University of Science &amp; Technology; Zhengzhou University; Xinjiang Medical University; Chongqing Medical University; Guangzhou Medical University; Peking University; Guangzhou Medical University</t>
  </si>
  <si>
    <t>Du, LL; Chen, DJ (corresponding author), Guangdong Hong Kong Macao Greater Bay Area Higher, Guangzhou, Peoples R China.;Du, LL; Chen, DJ (corresponding author), Guangdong Engn &amp; Technol Res Ctr Maternal Fetal Me, Guangzhou, Peoples R China.;Du, LL; Chen, DJ (corresponding author), Key Lab Reprod &amp; Genet Guangdong Higher Educ Inst, 63 Duobao Rd, Guangzhou 510150, Guangdong, Peoples R China.;Chen, DJ (corresponding author), Guangzhou Med Univ, Affiliated Hosp 3, Dept Obstet &amp; Gynecol, Guangzhou, Peoples R China.</t>
  </si>
  <si>
    <t>lilidugysy@gzhmu.edu.cn; gzdrchen@gzhmu.edu.cn</t>
  </si>
  <si>
    <t>Li, Ye/JBS-2949-2023; chen, jingsi/GZH-2904-2022; Zhao, Xianlan/O-1586-2016; wang, wenjuan/JGD-0428-2023; Qi, Hongbo/AAJ-5536-2020; Du, Lili/K-3853-2017</t>
  </si>
  <si>
    <t>chen, jingsi/0000-0001-5189-8891;</t>
  </si>
  <si>
    <t>10.1080/14767058.2023.2192853</t>
  </si>
  <si>
    <t>A1IH3</t>
  </si>
  <si>
    <t>WOS:000952729400001</t>
  </si>
  <si>
    <t>Liu, JY; He, Q; Gao, F; Bian, LL; Wang, Q; An, CQ; Song, LF; Zhang, JL; Liu, D; Song, ZY; Li, L; Bai, Y; Wang, ZF; Liang, ZL; Mao, QY; Xu, M</t>
  </si>
  <si>
    <t>Liu, Jianyang; He, Qian; Gao, Fan; Bian, Lianlian; Wang, Qian; An, Chaoqiang; Song, Lifang; Zhang, Jialu; Liu, Dong; Song, Ziyang; Li, Lu; Bai, Yu; Wang, Zhongfang; Liang, Zhenglun; Mao, Qunying; Xu, Miao</t>
  </si>
  <si>
    <t>Heterologous Omicron-adapted vaccine as a secondary booster promotes neutralizing antibodies against Omicron and its sub-lineages in mice</t>
  </si>
  <si>
    <t>COVID-19; Omicron variant; booster vaccine; neutralizing antibody; heterologous vaccination</t>
  </si>
  <si>
    <t>Over one billion people have received 2-3 dosages of an inactivated COVID-19 vaccine for basic immunization. Whether a booster dose should be delivered to protect against the Omicron variant and its sub-lineages, remains controversial. Here, we tested different vaccine platforms targeting the ancestral or Omicron strain as a secondary booster of the ancestral inactivated vaccine in mice. We found that the Omicron-adapted inactivated viral vaccine promoted a neutralizing antibody response against Omicron in mice. Furthermore, heterologous immunization with COVID-19 vaccines based on different platforms remarkably elevated the levels of cross- neutralizing antibody against Omicron and its sub-lineages. Omicron-adapted vaccines based on heterologous platforms should be prioritized in future vaccination strategies to control COVID-19.</t>
  </si>
  <si>
    <t>[Liu, Jianyang; He, Qian; Gao, Fan; Bian, Lianlian; Wang, Qian; An, Chaoqiang; Song, Lifang; Zhang, Jialu; Liu, Dong; Song, Ziyang; Li, Lu; Bai, Yu; Liang, Zhenglun; Mao, Qunying; Xu, Miao] Natl Inst Food &amp; Drug Control, Beijing, Peoples R China; [Wang, Zhongfang] Guangzhou Lab, Guangzhou, Peoples R China</t>
  </si>
  <si>
    <t>National Institute of Food &amp; Drug Control - China; Guangzhou Laboratory</t>
  </si>
  <si>
    <t>Mao, QY; Xu, M (corresponding author), Natl Inst Food &amp; Drug Control, Beijing, Peoples R China.</t>
  </si>
  <si>
    <t>maoqunying@126.com; xumiaobj@126.com</t>
  </si>
  <si>
    <t>LIU, HAO/JBI-9623-2023; Li, Ye/JBS-2949-2023; Yang, Tian/JFB-1008-2023; Chen, Xin/JDN-2017-2023; zhang, yan/JGL-8022-2023; Lu, Xiaomei/IUQ-2139-2023; Liu, Jianyang/IYJ-1829-2023; liu, xinyu/IWD-6630-2023; yang, yun/IZE-1092-2023; Liu, Yuan/JFB-4766-2023; yang, peng/JEZ-8452-2023; Liu, Jie/JCP-1070-2023; li, xiang/JCN-9316-2023; He, Qian/IZE-5827-2023; Zhang, Yunxuan/IXD-9283-2023; liu, lin/JFK-3401-2023; WANG, YANG/JFA-8821-2023; zhang, xiao/JCN-8822-2023; Liu, Yujie/IWU-6535-2023; ZHOU, YUE/IZE-6277-2023; yang, li/JGM-1009-2023; li, qing/JEF-9044-2023; Jiang, Yu/JEZ-9814-2023; zhang, yuyang/IVV-5089-2023; zhang, yue/JAC-3705-2023; li, jing/JEF-8436-2023; Zhang, Jingyi Chandler/JFK-8953-2023</t>
  </si>
  <si>
    <t>Liu, Yujie/0000-0002-1153-6156; Zhang, Jingyi Chandler/0000-0003-3015-4396; Wang, Zhongfang/0000-0003-3236-5170</t>
  </si>
  <si>
    <t>Emergency Key Program of Guangzhou Laboratory; [EKPG21-30-1]</t>
  </si>
  <si>
    <t>Emergency Key Program of Guangzhou Laboratory;</t>
  </si>
  <si>
    <t>This work was supported by the Emergency Key Program of Guangzhou Laboratory [No. EKPG21-30-1].</t>
  </si>
  <si>
    <t>e2143283</t>
  </si>
  <si>
    <t>10.1080/22221751.2022.2143283</t>
  </si>
  <si>
    <t>7B2RK</t>
  </si>
  <si>
    <t>WOS:000898987000001</t>
  </si>
  <si>
    <t>Liu, WK; He, YX; Wang, XL; Duan, ZM; Liang, W; Liu, YZ</t>
  </si>
  <si>
    <t>Liu, Wenkang; He, Yuxuan; Wang, Xiaoliang; Duan, Ziming; Liang, Wei; Liu, Yuzhen</t>
  </si>
  <si>
    <t>BFG: privacy protection framework for internet of medical things based on blockchain and federated learning</t>
  </si>
  <si>
    <t>CONNECTION SCIENCE</t>
  </si>
  <si>
    <t>Blockchain; federated learning; generative adversarial network; internet of medical things; privacy protection</t>
  </si>
  <si>
    <t>SCHEME</t>
  </si>
  <si>
    <t>The deep integration of Internet of Medical Things (IoMT) and Artificial intelligence makes the further development of intelligent medical services possible, but privacy leakage and data security problems hinder its wide application. Although the combination of IoMT and federated learning (FL) can achieve no direct access to the original data of participants, FL still can't resist inference attacks against model parameters and the single point of failure of the central server. In addition, malicious clients can disguise as benign participants to launch poisoning attacks, which seriously compromises the accuracy of the global model. In this paper, we design a new privacy protection framework (BFG) for decentralized FL using blockchain, differential privacy and Generative Adversarial Network. The framework can effectively avoid a single point of failure and resist inference attacks. In particular, it can limit the success rate of poisoning attacks to less than 26%. Moreover, the framework alleviates the storage pressure of the blockchain, achieves a balance between privacy budget and global model accuracy, and can effectively resist the negative impact of node withdrawal. Simulation experiments on image datasets show that the BFG framework has a better combined performance in terms of accuracy, robustness and privacy preservation.</t>
  </si>
  <si>
    <t>[Liu, Wenkang; He, Yuxuan; Wang, Xiaoliang; Liang, Wei; Liu, Yuzhen] Hunan Univ Sci &amp; Technol, Sch Comp Sci &amp; Engn, Xiangtan, Peoples R China; [Liu, Wenkang; He, Yuxuan; Wang, Xiaoliang; Liang, Wei; Liu, Yuzhen] Hunan Univ Sci &amp; Technol, Hunan Key Lab Serv Comp &amp; Novel Software Technol, Xiangtan, Peoples R China; [Duan, Ziming] Hunan Univ Sci &amp; Technol, Sch Business, Xiangtan, Peoples R China</t>
  </si>
  <si>
    <t>Hunan University of Science &amp; Technology; Hunan University of Science &amp; Technology; Hunan University of Science &amp; Technology</t>
  </si>
  <si>
    <t>Wang, XL (corresponding author), Hunan Univ Sci &amp; Technol, Sch Comp Sci &amp; Engn, Xiangtan, Peoples R China.;Wang, XL (corresponding author), Hunan Univ Sci &amp; Technol, Hunan Key Lab Serv Comp &amp; Novel Software Technol, Xiangtan, Peoples R China.</t>
  </si>
  <si>
    <t>fengwxl@163.com</t>
  </si>
  <si>
    <t>Scientific Research Foundation Of Human Provinicial Education Department [2019-291, 20A191]; Hunan University of Science and Technology [EK2104]</t>
  </si>
  <si>
    <t>Scientific Research Foundation Of Human Provinicial Education Department; Hunan University of Science and Technology</t>
  </si>
  <si>
    <t>This work was supported by the Scientific Research Foundation Of Human Provinicial Education Department (2019-291, 20A191), Hunan University of Science and Technology (EK2104).</t>
  </si>
  <si>
    <t>0954-0091</t>
  </si>
  <si>
    <t>1360-0494</t>
  </si>
  <si>
    <t>CONNECT SCI</t>
  </si>
  <si>
    <t>Connect. Sci.</t>
  </si>
  <si>
    <t>10.1080/09540091.2023.2199951</t>
  </si>
  <si>
    <t>Computer Science, Artificial Intelligence; Computer Science, Theory &amp; Methods</t>
  </si>
  <si>
    <t>Computer Science</t>
  </si>
  <si>
    <t>E4OU1</t>
  </si>
  <si>
    <t>WOS:000975359800001</t>
  </si>
  <si>
    <t>Luo, M; Wang, L; Xiao, C; Zhou, MS; Li, MH; Li, HJ</t>
  </si>
  <si>
    <t>Luo, Man; Wang, Lin; Xiao, Cheng; Zhou, Mengsi; Li, Minghui; Li, Hongjuan</t>
  </si>
  <si>
    <t>miR136 regulates proliferation and differentiation of small tail han sheep preadipocytes</t>
  </si>
  <si>
    <t>ADIPOCYTE</t>
  </si>
  <si>
    <t>miR136; differentiation; proliferation; sheep preadipocytes; intramuscular fat</t>
  </si>
  <si>
    <t>GROWTH-FACTOR-I; INSULIN</t>
  </si>
  <si>
    <t>Low meat performance is the defect of Small Tail Han sheep. Intramuscular fat affects meat quality and largely determined by adipogenesis. In previous study, miR136 was showed one of differentially expressed microRNAs between preadipocytes and mature adipocytes of Small Tail Han sheep but its role in adipogenesis is still not elucidated. Here, we investigated the effect of miR136 on adipogenesis and the underlying mechanism. qPCR data showed that miR136 level increased with preadipocytes proliferation while declined with preadipocytes differentiation. Moreover, miR136 mimics blocked lipid droplet formation, reduced lipid content and triglyceride accumulation while miR136 inhibitor showed the opposite effects, revealing that miR136 promoted preadipocytes proliferation but inhibited preadipocytes differentiation. Bioinformatics and biochemical validation manifested that PPARGC1B was a target of miR136. Furthermore, miR136 mimics decreased PPAR gamma and C/EBP alpha expression accompanied by PPARGC1B expression descending. Reverse effects were observed with miR136 inhibitor. Besides, overexpression of miR136 elevated IGF1 expression. Collectively, our data first exhibited a regulatory role of miR136 in adipogenesis, which is promoting preadipocytes proliferation through elevating IGF1 expression while inhibiting preadipocytes differentiation through targeting PPARGC1B and further declined PPAR gamma and C/EBP alpha expression. The modulation of PPARGC1B by miR136 may provide a new potential target for increasing intramuscular fat.</t>
  </si>
  <si>
    <t>[Luo, Man; Wang, Lin] Zhengzhou Univ, Metab Dis Res Ctr, Zhengzhou Cent Hosp, Zhengzhou, Peoples R China; [Luo, Man; Zhou, Mengsi; Li, Minghui; Li, Hongjuan] Zhengzhou Univ, Dept Obstet &amp; Gynecol, Zhengzhou Cent Hosp, 16 Tongbai North Rd, Zhengzhou 450001, Peoples R China; [Luo, Man] Zhengzhou Univ, Sch Basic Med Sci, Zhengzhou, Peoples R China; [Xiao, Cheng] Jilin Acad Agr Sci, Inst Anim Biotechnol, Gongzhuling, Peoples R China</t>
  </si>
  <si>
    <t>Zhengzhou University; Zhengzhou University; Zhengzhou University; Jilin Academy of Agricultural Sciences</t>
  </si>
  <si>
    <t>Li, HJ (corresponding author), Zhengzhou Univ, Dept Obstet &amp; Gynecol, Zhengzhou Cent Hosp, 16 Tongbai North Rd, Zhengzhou 450001, Peoples R China.</t>
  </si>
  <si>
    <t>juanhongli2022@126.com</t>
  </si>
  <si>
    <t>; Wang, Lin/HRA-8011-2023</t>
  </si>
  <si>
    <t>Luo, Man/0000-0002-9975-2434; Wang, Lin/0000-0002-9082-2686</t>
  </si>
  <si>
    <t>Health Commission of Henan Province [LHGJ20210766]; Zhengzhou Central Hospital Affiliated to Zhengzhou University [KYQDJJ2021002]</t>
  </si>
  <si>
    <t>Health Commission of Henan Province; Zhengzhou Central Hospital Affiliated to Zhengzhou University</t>
  </si>
  <si>
    <t>This work was supported by Health Commission of Henan Province (LHGJ20210766) and Zhengzhou Central Hospital Affiliated to Zhengzhou University (KYQDJJ2021002).</t>
  </si>
  <si>
    <t>2162-3945</t>
  </si>
  <si>
    <t>2162-397X</t>
  </si>
  <si>
    <t>Adipocyte</t>
  </si>
  <si>
    <t>10.1080/21623945.2023.2173966</t>
  </si>
  <si>
    <t>Endocrinology &amp; Metabolism</t>
  </si>
  <si>
    <t>8X3PN</t>
  </si>
  <si>
    <t>WOS:000931927700001</t>
  </si>
  <si>
    <t>Lusso, P</t>
  </si>
  <si>
    <t>Lusso, Paolo</t>
  </si>
  <si>
    <t>The quest for an HIV-1 vaccine: will mRNA deliver us from evil?</t>
  </si>
  <si>
    <t>Editorial Material</t>
  </si>
  <si>
    <t>HIV-1; Vaccine; mRNA; Virus-like particles; Primate models; Neutralizing antibodies; Protection; Heterologous tier-2 challenge</t>
  </si>
  <si>
    <t>[Lusso, Paolo] Natl Inst Allergy &amp; Infect Dis, Lab Immunoregulat, Bethesda, MD USA; [Lusso, Paolo] Natl Inst Allergy &amp; Infect Dis, Lab Immunoregulat, Bethesda, MD 20892 USA</t>
  </si>
  <si>
    <t>National Institutes of Health (NIH) - USA; NIH National Institute of Allergy &amp; Infectious Diseases (NIAID); National Institutes of Health (NIH) - USA; NIH National Institute of Allergy &amp; Infectious Diseases (NIAID)</t>
  </si>
  <si>
    <t>Lusso, P (corresponding author), Natl Inst Allergy &amp; Infect Dis, Lab Immunoregulat, Bethesda, MD 20892 USA.</t>
  </si>
  <si>
    <t>plusso@niaid.nih.gov</t>
  </si>
  <si>
    <t>National Institute of Allergy and Infectious Diseases (NIAID), Bethesda, Maryland</t>
  </si>
  <si>
    <t>This work was supported by the Intramural Research Program of the National Institute of Allergy and Infectious Diseases (NIAID), Bethesda, Maryland.</t>
  </si>
  <si>
    <t>10.1080/14760584.2023.2184803</t>
  </si>
  <si>
    <t>9N9YX</t>
  </si>
  <si>
    <t>WOS:000943264600001</t>
  </si>
  <si>
    <t>Maake, MMS; Antwi, MA</t>
  </si>
  <si>
    <t>Maake, M. M. S.; Antwi, M. A.</t>
  </si>
  <si>
    <t>Determinants of the acceptability of university agricultural extension in the Gauteng province of South Africa</t>
  </si>
  <si>
    <t>COGENT FOOD &amp; AGRICULTURE</t>
  </si>
  <si>
    <t>Acceptability; university extension; determinants</t>
  </si>
  <si>
    <t>WILLINGNESS-TO-PAY; SERVICES</t>
  </si>
  <si>
    <t>Universities offering agricultural programmes have the potential to complement public agricultural extension and advisory services because they are at the centre of knowledge generation-through research, teaching and community outreach programmes. The purpose of this study was to determine farmers' acceptability of university agricultural extension and the factors influencing their decision. Using probability sampling, a sample of 442 participants from Gauteng Province were selected for inclusion in the survey to collect data through face-to-face interviews. Primary data were subjected to descriptive statistical analysis and Exploratory Factor Analysis (EFA) found in IBM SPSS version 27. The results showed that a significant proportion of the respondents favoured the introduction of university agricultural extension to complement public extension services as part of a pluralistic extension system. Furthermore, most of the farmers were willing to pay for extension services and were optimistic about the perceived benefits of associating with universities. The exploratory factor analysis revealed that access to research resources, improved extension services and training, and diffusion of university research were the three factors underlying the acceptability of university agricultural extension. It is suggested that a formal framework for pluralistic extension system should be developed through a participatory process that involves all stakeholders.</t>
  </si>
  <si>
    <t>[Maake, M. M. S.; Antwi, M. A.] Univ South Africa, Dept Agr &amp; Anim Hlth, Florida Sci Campus,Private Bag X6, ZA-1710 Johannesburg, South Africa</t>
  </si>
  <si>
    <t>University of South Africa</t>
  </si>
  <si>
    <t>Maake, MMS (corresponding author), Univ South Africa, Dept Agr &amp; Anim Hlth, Florida Sci Campus,Private Bag X6, ZA-1710 Johannesburg, South Africa.</t>
  </si>
  <si>
    <t>maakems@unisa.ac.za</t>
  </si>
  <si>
    <t>The authors would like to acknowledge and convey gratitude to the College of Agriculture and Environmental Sciences (CAES) of the University of South Africa (Unisa) for funding the study through the College Research Fund. Moreover, we appreciate all farmer; College of Agriculture and Environmental Sciences (CAES) of the University of South Africa (Unisa); College Research Fund</t>
  </si>
  <si>
    <t>The authors would like to acknowledge and convey gratitude to the College of Agriculture and Environmental Sciences (CAES) of the University of South Africa (Unisa) for funding the study through the College Research Fund. Moreover, we appreciate all farmers in Gauteng province who participated in the study, Gauteng Department of Agriculture and Rural Development (GDARD) for granting permission to conduct the study, agricultural advisors from GDARD and research assistants who made it possible for the study to be conducted.</t>
  </si>
  <si>
    <t>2331-1932</t>
  </si>
  <si>
    <t>COGENT FOOD AGR</t>
  </si>
  <si>
    <t>Cogent Food Agr.</t>
  </si>
  <si>
    <t>10.1080/23311932.2023.2249951</t>
  </si>
  <si>
    <t>Agriculture, Multidisciplinary</t>
  </si>
  <si>
    <t>Q5XE6</t>
  </si>
  <si>
    <t>WOS:001058243000001</t>
  </si>
  <si>
    <t>Maestro, I; Madruga, E; Boya, P; Martínez, A</t>
  </si>
  <si>
    <t>Maestro, Ines; Madruga, Enrique; Boya, Patricia; Martinez, Ana</t>
  </si>
  <si>
    <t>Identification of a new structural family of SGK1 inhibitors as potential neuroprotective agents</t>
  </si>
  <si>
    <t>Protein kinase inhibitors; SGK1; virtual screening; mitophagy; neurodegeneration</t>
  </si>
  <si>
    <t>KINASE; SERUM; GLUCOCORTICOID-REGULATED-KINASE-1; CANCER; TAU</t>
  </si>
  <si>
    <t>SGK1 is a serine/threonine kinase involved in several neurodegenerative-related pathways such as apoptosis, neuroinflammation, ionic channel regulation, and autophagy, among others. Despite its potential role as a pharmacological target against this kind of diseases, there are no reported inhibitors able to cross the BBB so far, being a field yet to be explored. In this context, a structure-based virtual screening against this kinase was performed, pointing out the deazapurine moiety as an interesting and easy-to-derivatize scaffold. Moreover, these inhibitors are able to i) exert neuroprotection in an in vitro model of AD and ii) block mitophagy in a PRKN-independent manner, reinforcing the hypothesis of SGK1 inhibitors as neuroprotective chemical tools.</t>
  </si>
  <si>
    <t>[Maestro, Ines; Madruga, Enrique; Boya, Patricia; Martinez, Ana] Biol Margarita Salas CSIC, Ctr Invest, Madrid, Spain; [Maestro, Ines; Martinez, Ana] Inst Salud Carlos III, Ctr Invest Biomed Red Enfermedades Neurodegenerat, Madrid, Spain</t>
  </si>
  <si>
    <t>CIBERNED; Instituto de Salud Carlos III</t>
  </si>
  <si>
    <t>Martínez, A (corresponding author), CIB CSIC, Ramiro Maeztu 9, Madrid 28040, Spain.</t>
  </si>
  <si>
    <t>ana.martinez@csic.es</t>
  </si>
  <si>
    <t>Boya, Patricia/P-8345-2019; Martinez, Ana/L-6414-2014</t>
  </si>
  <si>
    <t>Boya, Patricia/0000-0003-3045-951X; Martinez, Ana/0000-0002-2707-8110; Madruga, Enrique/0000-0002-7012-9737</t>
  </si>
  <si>
    <t>10.1080/14756366.2022.2153841</t>
  </si>
  <si>
    <t>7U8TQ</t>
  </si>
  <si>
    <t>WOS:000912399600001</t>
  </si>
  <si>
    <t>Magwentshu, M; Chingwende, R; Jim, A; van Rooyen, J; Hajiyiannis, H; Naidoo, N; Orr, N; Menzel, J; Pearson, E</t>
  </si>
  <si>
    <t>Magwentshu, Makgoale; Chingwende, Rumbidzayi; Jim, Abongile; van Rooyen, Justine; Hajiyiannis, Helen; Naidoo, Nalini; Orr, Neil; Menzel, Jamie; Pearson, Erin</t>
  </si>
  <si>
    <t>Definitions, perspectives, and reasons for conscientious objection among healthcare workers, facility managers, and staff in South Africa: a qualitative study</t>
  </si>
  <si>
    <t>conscientious objection; South Africa; abortion; stigma; health provider attitudes</t>
  </si>
  <si>
    <t>ABORTION STIGMA; SAFE ABORTION; PROVIDERS; TERMINATION; PHYSICIANS; BARRIERS</t>
  </si>
  <si>
    <t>Conscientious objection (CO) on the part of healthcare providers is a growing threat to safe abortion access. In South Africa, evidence suggests that this legal clause may be manipulated as a justification for public-sector healthcare providers to exempt themselves from their duties to provide essential reproductive health services as required by national laws and protocols. This qualitative study improves our understanding of the definitions, perspectives, and use of CO among providers, staff, and facility managers in South Africa, and CO's effect on public-sector abortion availability. Using 18 focus group discussions and 23 in-depth interviews, we examined CO attitudes and behaviours of staff from health facilities that provide abortion care in Gauteng, Limpopo, KwaZulu-Natal, and Eastern Cape Provinces. We find that CO is invoked for a variety of reasons, some unrelated to the legal basis for objection. There have been progressive shifts in attitudes towards abortion over time, but stigma against women and girls who seek abortion remains substantial among staff at facilities providing abortion. Providers who offer abortion services also report high levels of discrimination and isolation from colleagues. Such factors, combined with operational barriers to offering quality abortion care (such as lack of training support or financial incentives) and lack of clarity on CO definitions and procedures, may incentivise some providers to invoke CO inappropriately. Dissemination of national guidelines on CO should be prioritised to reduce ambiguity, and interventions addressing abortion stigma should be considered for all facility staff to safeguard abortion availability in South Africa.</t>
  </si>
  <si>
    <t>[Magwentshu, Makgoale; Chingwende, Rumbidzayi; Jim, Abongile; van Rooyen, Justine] Ipas South Africa, Johannesburg, South Africa; [Hajiyiannis, Helen; Naidoo, Nalini; Orr, Neil] Ctr AIDS Dev Res &amp; Evaluat, Johannesburg, South Africa; [Menzel, Jamie] Ipas, Chapel Hill, NC USA; [Pearson, Erin] Ipas, Learning &amp; Innovat, Chapel Hill, NC 27514 USA</t>
  </si>
  <si>
    <t>Pearson, E (corresponding author), Ipas, Learning &amp; Innovat, Chapel Hill, NC 27514 USA.</t>
  </si>
  <si>
    <t>pearsone@ipas.org</t>
  </si>
  <si>
    <t>Pearson, Erin/0000-0002-6056-1454</t>
  </si>
  <si>
    <t>Ipas</t>
  </si>
  <si>
    <t>This work was supported by Ipas.</t>
  </si>
  <si>
    <t>10.1080/26410397.2023.2184291</t>
  </si>
  <si>
    <t>D3PQ7</t>
  </si>
  <si>
    <t>WOS:000967884300001</t>
  </si>
  <si>
    <t>Mahanty, B; Mishra, R; Joshi, RK</t>
  </si>
  <si>
    <t>Mahanty, Bijayalaxmi; Mishra, Rukmini; Joshi, Raj Kumar</t>
  </si>
  <si>
    <t>Cross-kingdom small RNA communication between plants and fungal phytopathogens-recent updates and prospects for future agriculture</t>
  </si>
  <si>
    <t>RNA BIOLOGY</t>
  </si>
  <si>
    <t>Fungal sRNA; plant mirnas; RNA interference; plant immunity; extracellular vesicles</t>
  </si>
  <si>
    <t>EXTRACELLULAR VESICLES; PATHOGEN; CELL; GENES; ARABIDOPSIS; BIOGENESIS; EXPRESSION; ENDOSOMES; MICRORNAS; IMMUNITY</t>
  </si>
  <si>
    <t>Small RNAs (sRNAs) are short non-coding regulatory RNA sequences that silence the complementary expressive transcripts through an endogenous RNA mediated interference mechanism (RNAi). These sRNAs typically move through plasmodesmata and phloem in plants to support disease resistance, and also through septal pores and vesicles in fungi to act as effector of pathogenicity. Notably, recent reports have shown the occurrence of a bidirectional trafficking of these sRNAs between the host plants and the attacking fungal phytopathogen which have significant implication in the nature of the infection. While the trans-species sRNAs from the pathogen can silence the host mRNAs and inhibit the host immunity genes, the sRNA modules from the host plants can silence the mRNA in the pathogen by impeding the expression of the pathogenicity-related genes. In the present review, we discuss the current state of sRNA trafficking between the plant and the pathogen with special emphasis on the mechanism of cross-kingdom communication which could contribute to the development of pathogen and pest control in future agriculture.</t>
  </si>
  <si>
    <t>[Mahanty, Bijayalaxmi; Joshi, Raj Kumar] Rama Devi Womens Univ, Dept Biotechnol, Bhubaneswar, Orissa, India; [Mishra, Rukmini] Centurion Univ Technol &amp; Management, Sch Appl Sci, Bhubaneswar, Orissa, India; [Joshi, Raj Kumar] Rama Devi Womens Univ, Dept Biotechnol, Vidya Vihar, Bhubaneswar 751022, Orissa, India</t>
  </si>
  <si>
    <t>Centurion University of Technology &amp; Management</t>
  </si>
  <si>
    <t>Joshi, RK (corresponding author), Rama Devi Womens Univ, Dept Biotechnol, Vidya Vihar, Bhubaneswar 751022, Orissa, India.</t>
  </si>
  <si>
    <t>rajkumar.joshi@yahoo.co.in</t>
  </si>
  <si>
    <t>JOSHI, RAJ KUMAR/S-8886-2019</t>
  </si>
  <si>
    <t>JOSHI, RAJ KUMAR/0000-0003-0505-2881</t>
  </si>
  <si>
    <t>Department of Biotechnology, Ministry of Science and Technology, India</t>
  </si>
  <si>
    <t>The work was supported by the Department of Biotechnology, Ministry of Science and Technology, India.</t>
  </si>
  <si>
    <t>1547-6286</t>
  </si>
  <si>
    <t>1555-8584</t>
  </si>
  <si>
    <t>RNA BIOL</t>
  </si>
  <si>
    <t>RNA Biol.</t>
  </si>
  <si>
    <t>10.1080/15476286.2023.2195731</t>
  </si>
  <si>
    <t>C2XO2</t>
  </si>
  <si>
    <t>WOS:000960608900001</t>
  </si>
  <si>
    <t>Malik, T; Sharma, R; Ameer, K; Bashir, O; Amin, T; Manzoor, S; Ahmed, IAM</t>
  </si>
  <si>
    <t>Malik, Tanu; Sharma, Ruchi; Ameer, Kashif; Bashir, Omar; Amin, Tawheed; Manzoor, Sobiya; Mohamed Ahmed, Isam A.</t>
  </si>
  <si>
    <t>Potential of high-pressure homogenization (HPH) in the development of functional foods</t>
  </si>
  <si>
    <t>Consumer's interests; Homogenization; High pressure processing; Functional foods; Probiotics</t>
  </si>
  <si>
    <t>HIGH-HYDROSTATIC-PRESSURE; SALIVARIUS SPP. SALIVARIUS; MICROBIAL SHELF-LIFE; RHEOLOGICAL PROPERTIES; ORANGE JUICE; LACTOBACILLUS-ACIDOPHILUS; ANTIOXIDANT PROPERTIES; SKIM MILK; PHYSICAL-PROPERTIES; CRESCENZA CHEESE</t>
  </si>
  <si>
    <t>The main problem on a global scale is the demand for functional foods among consumers in terms of healthy diets and wellbeing. In this context, high-pressure homogenization (HPH) is a new technology with a variety of potential uses in the food industry, such as the modification of food biopolymer structures to direct their functionalities, the creation of nanoemulsions, the inactivation of microorganisms and enzymes, and the disruption of cells for the extraction of intracellular components. Furthermore, new opportunities for homogenization processing have been opened up by recent developments in high-pressure homogenization technology. This has made it possible to produce novel products that can be recognized from traditional ones by sensory, structural, or functional attributes. The fact that the product experienced heavy mechanical stresses during the process, such as cavitation and shear forces, is the cause of all these consequences. It has been suggested that HPH may have a role in the creation of functional probiotic dairy products and other beverages with enhanced sensory qualities in the functional food industry. Additionally, it has been demonstrated that HPH can change the volatile-molecule profiles of milk and beverages, increase specific cellular enzymatic activities, inhibit microbial growth, strengthen the probiotic properties of bacterial strains, extend shelf-life through microbial inactivation, and extend shelf-life with minimal effects on nutritional value and sensory qualities. Therefore, this review compiles and summarizes the workings, benefits, and applications of HPH in the food industry.</t>
  </si>
  <si>
    <t>[Malik, Tanu; Bashir, Omar] Lovely Profess Univ, Dept Food Technol &amp; Nutr, Phagwara 144402, Punjab, India; [Sharma, Ruchi] Shoolini Univ, Sch Bioengn &amp; Food Technol, Solan, Himachal Prades, India; [Ameer, Kashif] Univ Sargodha, Inst Food Sci &amp; Nutr, Sargodha, Pakistan; [Amin, Tawheed; Manzoor, Sobiya] Sher e Kashmir Univ Agr Sci &amp; Technol Kashmir, Div Food Sci &amp; Technol, Jammu, Jammu &amp; Kashmir, India; [Mohamed Ahmed, Isam A.] Univ Khartoum, Fac Agr, Dept Food Sci &amp; Technol, Shambat 13314, Sudan; [Mohamed Ahmed, Isam A.] King Saud Univ, Coll Food &amp; Agr Sci, Dept Food Sci &amp; Nutr, Riyadh, Saudi Arabia</t>
  </si>
  <si>
    <t>Lovely Professional University; Shoolini University; University of Sargodha; Sher-e-Kashmir University of Agricultural Sciences &amp; Technology of Kashmir (SKUAST Kashmir); University of Khartoum; King Saud University</t>
  </si>
  <si>
    <t>Malik, T; Bashir, O (corresponding author), Lovely Profess Univ, Dept Food Technol &amp; Nutr, Phagwara 144402, Punjab, India.;Ahmed, IAM (corresponding author), Univ Khartoum, Fac Agr, Dept Food Sci &amp; Technol, Shambat 13314, Sudan.</t>
  </si>
  <si>
    <t>tanumalik1515@gmail.com; abuumi786@gmail.com; isamnawa@yahoo.com</t>
  </si>
  <si>
    <t>Mohamed Ahmed, Isam A./P-2717-2016</t>
  </si>
  <si>
    <t>Mohamed Ahmed, Isam A./0000-0002-6578-0795</t>
  </si>
  <si>
    <t>There was no funding received from any organization to complete this research.</t>
  </si>
  <si>
    <t>10.1080/10942912.2023.2249262</t>
  </si>
  <si>
    <t>Q0UG2</t>
  </si>
  <si>
    <t>WOS:001054746400001</t>
  </si>
  <si>
    <t>Mamo, A; Hizkiel, A</t>
  </si>
  <si>
    <t>Mamo, Addisu; Hizkiel, Abraham</t>
  </si>
  <si>
    <t>Reliability assessment and enhancement of Dangila distribution system with distribution generation</t>
  </si>
  <si>
    <t>Adequacy; distributed generation; DIgSILENT; expected energy not supplied; failure rate; interruptions reliability</t>
  </si>
  <si>
    <t>POWER-SYSTEM; IMPACT</t>
  </si>
  <si>
    <t>The reliability assessment helps to determine the existing power system reliability. Equipment failures may decrease reliability and the major contributory factors for power system unreliability. Therefore, the objective of this study was reliability assessment for distribution with distribution generation units and without distribution generation units, Dangila substation from 2020 to 2021. The base case reliability indices were 774.93, 1231.48, 1.589, 85.96%, and 14.04 for system average interruption frequency index, system average interruption duration index, customer average interruption duration index, average service availability index and average service unavailability index respectively. These indices are below the standards of Ethiopian Electric power set indices values of 20 system average interruption frequency index and 25 system average interruption duration index. Therefore, the system needs improvement to achieve the minimum system reliability standard. Distribution generation was used to improve the system reliability in this paper. Distribution generation was placed at five suggested locations of feeder seven from substation, 66kilometer, 80kilometer, 100kilometer, 113.3kilometer, and 146kilometer distances. The results shows that as distribution generation was placed further from Supply point the reliability of the power system will be improved more. The assessment result of feeder seven shows that the feeder had more outages with the base cases of 636, 833, and 1.311 system average interruption frequency index, system average interruption duration index, customer average interruption duration index respectively. The size of distribution generation for feeder seven was 3.13 MW to supply 50% of feeder peak load. After distribution generation placed at feeder seven the system average interruption frequency index, system average interruption duration index, customer average interruption duration index, and average service unavailability index indices were 20.0868, 25.109, 1.25, and 99.71%. This shows that the system reliability is improved as compared to the base case and the reliability standards of the country were achieved.</t>
  </si>
  <si>
    <t>[Mamo, Addisu] Debre Tabour Univ, Dept Elect &amp; Comp Engn, Coll Technol, Debre Tabour 26, Ethiopia; [Mamo, Addisu] Debre Tabour Univ, Dept Elect &amp; Comp Engn, Coll Technol, Debre Tabour, Ethiopia; [Hizkiel, Abraham] Bahir Dar Inst Technol, Fac Elect &amp; Comp Engn, Bahir Dar, Ethiopia</t>
  </si>
  <si>
    <t>Mamo, A (corresponding author), Debre Tabour Univ, Dept Elect &amp; Comp Engn, Coll Technol, Debre Tabour 26, Ethiopia.</t>
  </si>
  <si>
    <t>adisumamo2017@gmail.com</t>
  </si>
  <si>
    <t>10.1080/23311916.2023.2191375</t>
  </si>
  <si>
    <t>F0EA9</t>
  </si>
  <si>
    <t>WOS:000979154300001</t>
  </si>
  <si>
    <t>Mares, J; Postulková, E; Maly, O; Zezula, F; Sorf, M; Vseticková, L</t>
  </si>
  <si>
    <t>Mares, Jan; Postulkova, Eva; Maly, Ondrej; Zezula, Filip; Sorf, Michal; Vsetickova, Lucie</t>
  </si>
  <si>
    <t>Brewer's yeast as a diet supplement in carp aquaculture: impact on production coefficients and haematological and biochemical plasma parameters</t>
  </si>
  <si>
    <t>Fish haematological parameters; fish weight gain; probiotics; protein source; common carp</t>
  </si>
  <si>
    <t>COMMON CARP; GROWTH-PERFORMANCE; SACCHAROMYCES-CEREVISIAE; SOYBEAN-MEAL; FISH-MEAL; DIGESTIBILITY; PROBIOTICS; INDEXES; TILAPIA; L.</t>
  </si>
  <si>
    <t>While brewer's yeast (Saccharomyces cerevisiae), a rich source of proteins and B vitamins, is commonly used as an animal feed supplement, its use in aquaculture has been limited. Here, we assess its impact on 192 individuals of common carp (Cyprinus carpio) production and haematological and biochemical parameters from blood plasma using a control group fed commercial feed with 20% soybean meal and three test groups fed commercial feed with (i) 17.50% soybean + 2.50% brewer's yeast (group B-2.5), (ii) 15% soybean + 5% yeast (group B-5) and (iii) 10% soybean and 10% yeast (group B-10). At the end of the experiment, all fish were weighed and measured and subsequently blood samples were taken from eight fish in each tank. There was a significant increase in total length (3%) and weight (5.37%) in group B-5. While fish muscle nitrogenous matter and protein efficiency ratio increased slowly across experimental groups, Fulton's and Clark's condition factors changed minimally (range 2.73-2.89%). Apparent net protein utilisation increased to 17.63% in B-10, suggesting that increasing yeast levels result in improved nitrogen utilisation. All fish muscle fat levels were within optimal range (4.16-4.68%) and, while there was a significant increase in erythrocytes in B-5 (up 0.40 T.L-1), haemoglobin levels increased only slightly in B-5 and B-10 (average 4.50 g.L-1) and B-10 had the lowest number of leukocytes (6.8 G.L-1). No significant changes were recorded in blood plasma biochemical parameters. Our results suggest that a 5% brewer's yeast feed supplement represents a useful protein source for carp aquaculture.</t>
  </si>
  <si>
    <t>[Mares, Jan; Postulkova, Eva; Maly, Ondrej; Zezula, Filip; Sorf, Michal; Vsetickova, Lucie] Mendel Univ Brno, Ustav Zool Rybarstvi Hydrobiol &amp; Vcelarstvi, Agron Fak, Brno, Czech Republic</t>
  </si>
  <si>
    <t>Mendel University in Brno</t>
  </si>
  <si>
    <t>Vseticková, L (corresponding author), Mendel Univ Brno, Ustav Zool Rybarstvi Hydrobiol &amp; Vcelarstvi, Agron Fak, Brno, Czech Republic.</t>
  </si>
  <si>
    <t>lucie.vsetickova@mendelu.cz</t>
  </si>
  <si>
    <t>Malý, Ondřej/V-6222-2018; Šorf, Michal/H-1330-2014; Mares, Jan/R-3416-2017</t>
  </si>
  <si>
    <t>Malý, Ondřej/0000-0003-1983-3400; Šorf, Michal/0000-0002-9368-6421; Postulkova, Eva/0000-0001-8513-9930; Mares, Jan/0000-0001-5917-509X</t>
  </si>
  <si>
    <t>Project NAZV [QK1810296]; Project PROFISH [CZ.02.1.01/0.0/0.0/16_019/0000869]</t>
  </si>
  <si>
    <t>Project NAZV; Project PROFISH</t>
  </si>
  <si>
    <t>This study was supported through the Projects NAZV QK1810296 and PROFISH, CZ.02.1.01/0.0/0.0/16_019/0000869.</t>
  </si>
  <si>
    <t>10.1080/1828051X.2023.2214168</t>
  </si>
  <si>
    <t>I1RO1</t>
  </si>
  <si>
    <t>WOS:001000626900001</t>
  </si>
  <si>
    <t>McEwen, V; Esterlis, M; Lorello, RG; Sud, A; Englesakis, FM; Bhatia, A</t>
  </si>
  <si>
    <t>McEwen, Virginia; Esterlis, Mihal (Michelle); Lorello, R. Gianni; Sud, Abhimanyu; Englesakis, F. Marina; Bhatia, Anuj</t>
  </si>
  <si>
    <t>A Scoping Review of Gaps Identified by Primary Care Providers in Caring for Patients with Chronic Noncancer Pain</t>
  </si>
  <si>
    <t>CANADIAN JOURNAL OF PAIN-REVUE CANADIENNE DE LA DOULEUR</t>
  </si>
  <si>
    <t>scoping review; chronic noncancer pain; primary care providers; medical education</t>
  </si>
  <si>
    <t>MANAGEMENT; PHYSICIANS; EDUCATION; STRATEGIES; KNOWLEDGE; IMPROVE; CANADA</t>
  </si>
  <si>
    <t>Introduction/Aim: Primary care providers (PCPs), who provide the bulk of care for patients with chronic noncancer pain (CNCP), often report knowledge gaps, limited resources, and difficult patient encounters while managing chronic pain. This scoping review seeks to evaluate gaps identified by PCPs in providing care to patients with chronic pain.Methods: The Arksey and O'Malley framework was used for this scoping review. A broad literature search was conducted for relevant articles on gaps in knowledge and skills of PCPs and in their health care environment for managing chronic pain, with multiple search term derivatives for concepts of interest. Articles from the initial search were screened for relevance, yielding 31 studies. Inductive and deductive thematic analysis was adopted.Results: The studies included in this review reflected a variety of study designs, settings, and methods. However, consistent themes emerged with respect to gaps in knowledge and skills for assessment, diagnosis, treatment, and interprofessional roles in chronic pain, as well as broader systemic issues including attitudes toward CNCP. A general lack of confidence in tapering high dose or ineffective opioid regimes, professional isolation, challenges in managing patients with CNCP with complex needs, and limited access to pain specialists were reported by PCPs.Discussion/Conclusions: This scoping review revealed common elements across the selected studies that will be useful in guiding creation of targeted supports for PCPs to manage CNCP. This review also yielded insights for pain clinicians at tertiary centers for supporting their PCP colleagues as well as systemic reforms required to support patients with CNCP.</t>
  </si>
  <si>
    <t>[McEwen, Virginia] St Josephs Care Grp, Chron Pain Management Program, Thunder Bay, ON, Canada; [McEwen, Virginia] Thunder Bay Reg Hlth Sci Ctr, Intervent Pain Serv, Thunder Bay, ON, Canada; [McEwen, Virginia] Northern Ontario Sch Med Univ, Clin Sci Div, Thunder Bay, ON, Canada; [Esterlis, Mihal (Michelle)] Ryerson Univ, Dept Nursing, Toronto, ON, Canada; [Lorello, R. Gianni; Bhatia, Anuj] Univ Toronto, Dept Anesthesiol &amp; Pain Med, Toronto, ON, Canada; [Lorello, R. Gianni; Bhatia, Anuj] Univ Hlth Network, Toronto Western Hosp, Dept Anesthesia &amp; Pain Med, Toronto, ON, Canada; [Lorello, R. Gianni] Womens Coll Hosp, Womens Coll Res Inst, Toronto, ON, Canada; [Lorello, R. Gianni] Univ Toronto, Toronto Gen Hosp, Wilson Ctr, Toronto, ON, Canada; [Sud, Abhimanyu] Univ Toronto, Dept Family &amp; Community Med, Toronto, ON, Canada; [Sud, Abhimanyu] Humber River Hosp, Toronto, ON, Canada; [Sud, Abhimanyu] Univ Toronto, Inst Hlth Policy Management &amp; Evaluat, Toronto, ON, Canada; [Englesakis, F. Marina] Univ Hlth Network, Lib &amp; Informat Serv, Toronto, ON, Canada</t>
  </si>
  <si>
    <t>St. Joseph's Care Group; NOSM University; Toronto Metropolitan University; University of Toronto; University of Toronto; University Health Network Toronto; University of Toronto; Womens College Hospital; University of Toronto; University Health Network Toronto; Toronto General Hospital; University of Toronto; University of Toronto; University of Toronto; University Health Network Toronto</t>
  </si>
  <si>
    <t>McEwen, V (corresponding author), Northern Ontario Sch Med Univ, St Josephs Care Grp, CCFP Pain Med, 710 Victoria Ave E, Thunder Bay, ON P7C 5P7, Canada.;McEwen, V (corresponding author), Northern Ontario Sch Med Univ, Thunder Bay Reg Hlth Sci Ctr, 710 Victoria Ave, Thunder Bay, ON P7C 5P7, Canada.</t>
  </si>
  <si>
    <t>vmcewen@nosm.ca</t>
  </si>
  <si>
    <t>Englesakis, Marina/B-4162-2008</t>
  </si>
  <si>
    <t>Englesakis, Marina/0000-0002-2199-1056; Sud, Abhimanyu/0000-0001-8354-6153; Bhatia, Anuj/0000-0001-6292-8654; Lorello, Gianni/0000-0003-1387-1748</t>
  </si>
  <si>
    <t>2474-0527</t>
  </si>
  <si>
    <t>CAN J PAIN</t>
  </si>
  <si>
    <t>Can. J. Pain</t>
  </si>
  <si>
    <t>10.1080/24740527.2022.2145940</t>
  </si>
  <si>
    <t>Clinical Neurology</t>
  </si>
  <si>
    <t>Neurosciences &amp; Neurology</t>
  </si>
  <si>
    <t>9E5NS</t>
  </si>
  <si>
    <t>WOS:000936832900001</t>
  </si>
  <si>
    <t>Mi, S; Huang, F; Jiao, ML; Qian, Z; Han, MM; Miao, Z; Zhan, HQ</t>
  </si>
  <si>
    <t>Mi, Shan; Huang, Feng; Jiao, Mingli; Qian, Zhuang; Han, Mingming; Miao, Zheng; Zhan, Heqin</t>
  </si>
  <si>
    <t>Inhibition of MEG3 ameliorates cardiomyocyte apoptosis and autophagy by regulating the expression of miRNA-129-5p in a mouse model of heart failure</t>
  </si>
  <si>
    <t>REDOX REPORT</t>
  </si>
  <si>
    <t>Heart failure; ISO; oxidative stress; apoptosis; autophagy; MEG3; miRNA-129-5p; ATG14</t>
  </si>
  <si>
    <t>OXIDATIVE STRESS; CARDIAC DYSFUNCTION; FIBROSIS; PATHWAY; CELLS; RATS</t>
  </si>
  <si>
    <t>The long non-coding RNA, maternally expressed gene 3 (MEG3), are involved in myocardial fibrosis and compensatory hypertrophy, but its role on cardiomyocyte apoptosis and autophagy in heart failure (HF) remains unclear. The aim of this study was to investigate the effect of MEG3 on cardiomyocyte apoptosis and autophagy and the underlying mechanism. A mouse model of HF was established by subcutaneous injection of isoproterenol (ISO) for 14 days, and an in vitro oxidative stress injury model was replicated with H2O2 for 6 h. SiRNA-MEG3 was administered in mice and in vitro cardiomyocytes to knock down MEG3 expression. Our results showed that cardiac silencing of MEG3 can significantly ameliorate ISO-induced cardiac dysfunction, hypertrophy, oxidative stress, apoptosis, excessive autophagy and fibrosis induced by ISO. In addition, inhibition of MEG3 attenuated H2O2-induced cardiomyocyte oxidative stress, apoptosis and autophagy in vitro. Downregulation of MEG3 significantly inhibited excessive cardiomyocyte apoptosis and autophagy induced by ISO and H2O2 through miRNA-129-5p/ATG14/Akt signaling pathways, and reduced H2O2-induced cardiomyocyte apoptosis by inhibiting autophagy. In conclusion, inhibition of MEG3 ameliorates the maladaptive cardiac remodeling induced by ISO, probably by targeting the miRNA-129-5p/ATG14/Akt signaling pathway and may provide a tool for pharmaceutical intervention.</t>
  </si>
  <si>
    <t>[Mi, Shan; Huang, Feng; Jiao, Mingli; Han, Mingming; Miao, Zheng; Zhan, Heqin] Xinxiang Med Univ, Coll Pharm, Dept Pharmacol, Xinxiang, Henan, Peoples R China; [Jiao, Mingli] Xinxiang Med Univ, Expt Teaching Ctr Publ Hlth &amp; Prevent Med, Sch Publ Hlth, Xinxiang, Henan, Peoples R China; [Qian, Zhuang] Xinxiang Med Univ, Inst Hlth Cent Plains, Xinxiang, Henan, Peoples R China; [Zhan, Heqin] Xinxiang Med Univ, Coll Pharm, Dept Pharmacol, Xinxiang 453003, Henan, Peoples R China</t>
  </si>
  <si>
    <t>Xinxiang Medical University; Xinxiang Medical University; Xinxiang Medical University; Xinxiang Medical University</t>
  </si>
  <si>
    <t>Zhan, HQ (corresponding author), Xinxiang Med Univ, Coll Pharm, Dept Pharmacol, Xinxiang 453003, Henan, Peoples R China.</t>
  </si>
  <si>
    <t>xiaofei1@126.com</t>
  </si>
  <si>
    <t>Zhang, Yun/JCN-7026-2023</t>
  </si>
  <si>
    <t>science and technology key projects of Henan Province, China [212102310586]</t>
  </si>
  <si>
    <t>science and technology key projects of Henan Province, China</t>
  </si>
  <si>
    <t>This work was supported by Science and technology key projects of Henan Province, China: [Grant Number 212102310586].</t>
  </si>
  <si>
    <t>1351-0002</t>
  </si>
  <si>
    <t>1743-2928</t>
  </si>
  <si>
    <t>REDOX REP</t>
  </si>
  <si>
    <t>Redox Rep.</t>
  </si>
  <si>
    <t>10.1080/13510002.2023.2224607</t>
  </si>
  <si>
    <t>J5SA0</t>
  </si>
  <si>
    <t>WOS:001010201800001</t>
  </si>
  <si>
    <t>Miyamoto, R; Amari, S; Takiyama, H</t>
  </si>
  <si>
    <t>Miyamoto, Ryota; Amari, Shuntaro; Takiyama, Hiroshi</t>
  </si>
  <si>
    <t>Effects of Properties of Crystalline Particles on Mother Liquor Holdup in Crystal Cake and Residue Behaviors of Impurities</t>
  </si>
  <si>
    <t>JOURNAL OF CHEMICAL ENGINEERING OF JAPAN</t>
  </si>
  <si>
    <t>Melt crystallization; Solid-liquid separation; Mother liquor; Impurity; Crystal cake</t>
  </si>
  <si>
    <t>PURIFICATION; INCLUSIONS; KINETICS; GROWTH; PURITY</t>
  </si>
  <si>
    <t>In industrial crystallization, all impurity species need to be removed, regardless of the kind of impurity present in the raw materials. Removing the mother liquor is required because a crystal cake with mother liquor holdup is frequently formed by crystalline particles during solid-liquid separation in suspension-type melt crystallization. This study aims to make clear the relationship between the mother liquor holdup and the characteristics of the crystal cake, and the difference in residue behaviors of impurities based on the new concept for understanding the mother liquor holdup. As a result, the initial mother liquor holdup depended on the specific surface area of the crystal cake. Investigating the residue behavior of each impurity suggests that the impurity-based inclusion factors were different from the solvent-based inclusion factor depending on the kind of impurity. Furthermore, a certain impurity had a specific surface area dependence of the residual amount of impurity.</t>
  </si>
  <si>
    <t>[Miyamoto, Ryota; Amari, Shuntaro; Takiyama, Hiroshi] Tokyo Univ Agr &amp; Technol, Dept Chem Engn, 2 24 16 Naka cho,Koganei shi, Tokyo 1848588, Japan</t>
  </si>
  <si>
    <t>Tokyo University of Agriculture &amp; Technology</t>
  </si>
  <si>
    <t>Takiyama, H (corresponding author), Tokyo Univ Agr &amp; Technol, Dept Chem Engn, 2 24 16 Naka cho,Koganei shi, Tokyo 1848588, Japan.</t>
  </si>
  <si>
    <t>htakiyam@cc.tuat.ac.jp</t>
  </si>
  <si>
    <t>Amari, Shuntaro/D-2578-2019; Miyamoto, Ryota/AAS-4372-2021</t>
  </si>
  <si>
    <t>Amari, Shuntaro/0000-0001-9155-4014; Takiyama, Hiroshi/0000-0002-4564-0808</t>
  </si>
  <si>
    <t>0021-9592</t>
  </si>
  <si>
    <t>1881-1299</t>
  </si>
  <si>
    <t>J CHEM ENG JPN</t>
  </si>
  <si>
    <t>J. Chem. Eng. Jpn.</t>
  </si>
  <si>
    <t>10.1080/00219592.2023.2201309</t>
  </si>
  <si>
    <t>Engineering, Chemical</t>
  </si>
  <si>
    <t>F8PA3</t>
  </si>
  <si>
    <t>WOS:000984900600001</t>
  </si>
  <si>
    <t>Mlangeni, N; Malotle, M; Made, F; Ramodike, J; Sikweyiya, Y; Du Preez, C; Thompson, NS; Zungu, M</t>
  </si>
  <si>
    <t>Mlangeni, Nosimilo; Malotle, Molebogeng; Made, Felix; Ramodike, Jonathan; Sikweyiya, Yandisa; Du Preez, Christine; Thompson, Nikki Stuart; Zungu, Muzimkhulu</t>
  </si>
  <si>
    <t>Factors associated with TB screening among agricultural workers in Limpopo Province, South Africa</t>
  </si>
  <si>
    <t>Agricultural workers; occupational health; TB prevention; migrant health; access to healthcare; workers' health</t>
  </si>
  <si>
    <t>SOCIAL DETERMINANTS; TUBERCULOSIS; DISEASE; HEALTH; CARE; RISK</t>
  </si>
  <si>
    <t>Background Tuberculosis (TB) continues to be a public health issue of concern in South Africa. Workers in the agricultural sector are generally at increased risk of TB due to multiple interacting factors such as exposure to silica dust, co-worker infection, and occupations falling within the lower socio-economic sectors. Objective This study investigates factors associated with TB screening uptake for agricultural workers in Limpopo Province, South Africa. Method This cross-sectional study targeted a study population of 16,787 agricultural workers across 96 agricultural worksites in South Africa. A two-stage cluster random sampling design identified 24 agricultural worksites and a potential 2500 participants. The outcome variable was self-reported TB screening. Descriptive statistics and unadjusted and adjusted logistic regression analyses were performed to determine factors associated with TB screening. A literature review informed the selection of covariates as possible confounders. Results The final study sample comprised 2144 workers across 24 sites, with 55% being women. TB screening uptake was 1155 (56.3%). Factors such as living with human immunodeficiency virus (HIV) (AOR 3.16, 95% CI: 2.44-4.09), accessing health services in the workplace (AOR 1.94, 95% CI: 1.09-3.46), and having prior TB knowledge (AOR 18.45, 95% CI: 9.8-34.74) were positively associated with TB screening. Participants in the age group 36-49 years had significantly higher odds of self-reporting TB screening, compared with those aged 18-25 years (AOR 1.37, 95% CI 1.07-1.77). Migrant workers from Mozambique (OR 0.52, 95% CI: 0.34-0.79) and Zimbabwe (OR 0.71, 95% CI 0.57-0.89) were significantly less likely to self-report TB screening compared to their South African counterparts. Conclusion The findings underscore the importance of workplace health services in achieving end-TB targets. We recommend programs and interventions for preventing TB in South Africa that target the agricultural sector in general, and in particular migrant workers.</t>
  </si>
  <si>
    <t>[Mlangeni, Nosimilo; Malotle, Molebogeng; Made, Felix; Ramodike, Jonathan; Zungu, Muzimkhulu] Natl Inst Occupat Hlth, A Div Natl Hlth Lab Serv, Johannesburg, South Africa; [Mlangeni, Nosimilo] Stellenbosch Univ, Dept Global Hlth, Cape Town, South Africa; [Ramodike, Jonathan; Zungu, Muzimkhulu] Univ Pretoria, Sch Hlth Syst &amp; Publ Hlth, Pretoria, South Africa; [Sikweyiya, Yandisa] South African Med Res Council, Gender &amp; Hlth Res Unit, Pretoria, South Africa; [Sikweyiya, Yandisa] Univ Witwatersrand, Sch Publ Hlth, Johannesburg, South Africa; [Du Preez, Christine] Hoedspruit Training Trust Hlokomela, Hoedspruit, South Africa; [Thompson, Nikki Stuart] CHoiCe Trust, Tzaneen, South Africa; [Mlangeni, Nosimilo] Natl Inst Occupat Hlth, 25 Hosp St, Braamfontein 2001, South Africa</t>
  </si>
  <si>
    <t>Stellenbosch University; University of Pretoria; South African Medical Research Council; University of Witwatersrand</t>
  </si>
  <si>
    <t>Mlangeni, N (corresponding author), Natl Inst Occupat Hlth, 25 Hosp St, Braamfontein 2001, South Africa.</t>
  </si>
  <si>
    <t>NosimiloM@nioh.ac.za</t>
  </si>
  <si>
    <t>Mlangeni, Nosimilo/0000-0003-4130-7001</t>
  </si>
  <si>
    <t>National Institute for Occupational Health (NIOH); National Health Laboratory Service (NHLS)</t>
  </si>
  <si>
    <t>We would like to thank the National Institute for Occupational Health (NIOH) and the National Health Laboratory Service (NHLS) for providing a platform, including funding, to conduct this project. We also acknowledge the South African Medical Research Council (SAMRC), Hoedspruit training trust (Hlokomela), Centre for Positive Care (CPC), and Choice Trust for collaborating with us in this research project. We further acknowledge all farmers and agricultural worksites who permitted us to conduct research within their properties. Finally, we acknowledge and express our deep gratitude to all agricultural workers who participated in this study, and to Dr Cheryl Tosh (University of Pretoria) for editing the article.</t>
  </si>
  <si>
    <t>10.1080/16549716.2022.2162227</t>
  </si>
  <si>
    <t>8D2XT</t>
  </si>
  <si>
    <t>WOS:000918163000001</t>
  </si>
  <si>
    <t>Moglad, E; Elekhnawy, E; Negm, WA; Eliwa, D; Younis, SS; Elmansory, BM; Mahgoub, S; Ahmed, EA; Al-Fakhrany, OM</t>
  </si>
  <si>
    <t>Moglad, Ehssan; Elekhnawy, Engy; Negm, Walaa A.; Eliwa, Duaa; Younis, Salwa Sami; Elmansory, Basma Mohamed; Mahgoub, Sebaey; Ahmed, Eman A.; Momtaz Al-Fakhrany, Omnia</t>
  </si>
  <si>
    <t>Antibacterial and anti-Toxoplasma activities of Aspergillus niger endophytic fungus isolated from Ficus retusa: in vitro and in vivo approach</t>
  </si>
  <si>
    <t>Chemical profiling; Klebsiella pneumoniae; membrane depolarization; tachyzoites; anti-biofilm; ultrastructure</t>
  </si>
  <si>
    <t>TOXOPLASMOSIS; NANOPARTICLES; EPIDEMIOLOGY; PNEUMONIAE</t>
  </si>
  <si>
    <t>Emergent records propose that Aspergillus niger endophytic fungus is a vital source for various bioactive molecules possessing many biological properties. The current study was designed to inspect the antibacterial and anti-Toxoplasma potentials of Ficus retusa-derived endophytic fungi. After isolation and identification (using 18S rRNA gene sequencing) of A. niger endophytic fungus, LC/MS was utilized for identification and authentication of the chemical profile of the A. niger endophyte extract. Then, the fungal extract was assessed for its antibacterial and antibiofilm activities against Klebsiella pneumoniae clinical isolates. Additionally, its efficacy against Toxoplasma gondii was elucidated in vivo. The fungal extract displayed antibacterial activity against K. pneumoniae isolates with minimum inhibitory concentration values of 64-512 mu g/mL. It also possessed a membrane potential dissipating effect using flow cytometry. Moreover, it formed distorted cells with rough surfaces and deformed shapes using a scanning electron microscope (SEM). Regarding its antibiofilm activity, it resulted in a dysregulation of the genes encoding biofilm formation (fimH, mrkA and mrkD) using qRT-PCR in nine K. pneumoniae isolates. The in vivo anti-Toxoplasma potential was demonstrated by decreasing the mortality rate of mice and reducing the tachyzoites' count in the peritoneal fluids and liver impression smears of mice. In addition, the deformities of the parasite decreased, as revealed by SEM and the inflammation in tissues diminished. Thus, A. niger endophytic fungi could be a valuable source of antibacterial and anti-Toxoplasma compounds.</t>
  </si>
  <si>
    <t>[Moglad, Ehssan] Prince Sattam Bin Abdulaziz Univ, Coll Pharm, Dept Pharmaceut, Al Kharj, Saudi Arabia; [Elekhnawy, Engy; Momtaz Al-Fakhrany, Omnia] Tanta Univ, Fac Pharm, Dept Pharmaceut Microbiol, Tanta, Egypt; [Negm, Walaa A.; Eliwa, Duaa] Tanta Univ, Fac Pharm, Dept Pharmacognosy, Tanta, Egypt; [Younis, Salwa Sami] Alexandria Univ, Fac Med, Dept Med Parasitol, Alexandria, Egypt; [Elmansory, Basma Mohamed] Tanta Univ, Fac Med, Dept Med Parasitol, Tanta, Egypt; [Mahgoub, Sebaey; Ahmed, Eman A.] Childrens Canc Hosp, Dept Basic Res, Prote &amp; Metabol Res Program, Cairo 57357, Egypt; [Ahmed, Eman A.] Suez Canal Univ, Fac Vet Med, Dept Pharmacol, Ismailia, Egypt</t>
  </si>
  <si>
    <t>Prince Sattam Bin Abdulaziz University; Egyptian Knowledge Bank (EKB); Tanta University; Egyptian Knowledge Bank (EKB); Tanta University; Egyptian Knowledge Bank (EKB); Alexandria University; Egyptian Knowledge Bank (EKB); Tanta University; Children's Cancer Hospital 57357; Egyptian Knowledge Bank (EKB); Suez Canal University</t>
  </si>
  <si>
    <t>Elekhnawy, E (corresponding author), Tanta Univ, Fac Pharm, Dept Pharmaceut Microbiol, Tanta, Egypt.</t>
  </si>
  <si>
    <t>engy.ali@pharm.tanta.edu.eg</t>
  </si>
  <si>
    <t>Negm, Walaa A/AAM-1396-2021; Moglad, Ehssan H/ABC-5463-2020; Al-Fakharany, Omnia/ABG-2784-2021</t>
  </si>
  <si>
    <t>Negm, Walaa A/0000-0003-0463-8047; Moglad, Ehssan H/0000-0002-1076-9740; Al-Fakharany, Omnia/0000-0002-4114-0478; Elekhnawy, Engy/0000-0001-8287-1026; Eliwa, Duaa/0000-0003-0039-492X</t>
  </si>
  <si>
    <t>10.1080/21691401.2023.2215531</t>
  </si>
  <si>
    <t>G9WP3</t>
  </si>
  <si>
    <t>WOS:000992576300001</t>
  </si>
  <si>
    <t>Mohammed, SS; Schaefer, D; Milisavljevic-Syed, J</t>
  </si>
  <si>
    <t>Mohammed, Shehu Sani; Schaefer, Dirk; Milisavljevic-Syed, Jelena</t>
  </si>
  <si>
    <t>Towards pre-emptive resilience in military supply chains: A compromise decision support model-based approach</t>
  </si>
  <si>
    <t>PRODUCTION AND MANUFACTURING RESEARCH-AN OPEN ACCESS JOURNAL</t>
  </si>
  <si>
    <t>resilience; disruptions; decision support; military supply chain; solution space exploration</t>
  </si>
  <si>
    <t>DISRUPTIONS</t>
  </si>
  <si>
    <t>The complex and dynamic nature of military supply chains (MSC) requires constant vigilance to sense potential vulnerabilities. Several studies have employed decision support models for the optimization of their operations. These models are often limited to a best single-point solution unsuitable for complex MSC constellations. In this article, the authors present a novel approach based on decision support models to explore a range of satisficing solutions against disruptions in MSCs using a compromise Decision Support Problem (cDSP) construct and Decision Support in the Design of Engineered Systems (DSIDES). Two cases were evaluated: (1) a baseline scenario with no disruption and (2) with disruption to achieve target values of three goals: (1) minimizing lead time, (2) maximizing demand fulfilment and (3) maximizing vehicle utilization. The results obtained in Case 1 identified a more stable solution space with minimal deviations from the target value, while in Case 2 the solution space was unstable with deviations from the target values</t>
  </si>
  <si>
    <t>[Mohammed, Shehu Sani; Milisavljevic-Syed, Jelena] Cranfield Univ, Sch Aerosp Transport &amp; Mfg, Sustainable Mfg Syst Ctr SMSC, Bedford, England; [Schaefer, Dirk] Univ Lincoln, Sch Engn, Lincoln, England</t>
  </si>
  <si>
    <t>Cranfield University; University of Lincoln</t>
  </si>
  <si>
    <t>Milisavljevic-Syed, J (corresponding author), Cranfield Univ, Sch Aerosp Transport &amp; Mfg, Sustainable Mfg Syst Ctr SMSC, Bedford, England.</t>
  </si>
  <si>
    <t>jelenams@cranfield.ac.uk</t>
  </si>
  <si>
    <t>Milisavljevic Syed, Jelena/H-3083-2018</t>
  </si>
  <si>
    <t>Milisavljevic Syed, Jelena/0000-0003-2957-8933; Mohammed sani, shehu/0000-0001-9892-994X</t>
  </si>
  <si>
    <t>2169-3277</t>
  </si>
  <si>
    <t>PROD MANUF RES</t>
  </si>
  <si>
    <t>Prod. Manuf. Res.</t>
  </si>
  <si>
    <t>10.1080/21693277.2023.2220768</t>
  </si>
  <si>
    <t>Engineering, Industrial</t>
  </si>
  <si>
    <t>I5WR7</t>
  </si>
  <si>
    <t>WOS:001003489300001</t>
  </si>
  <si>
    <t>Monari, F; Menichini, D; Salerno, C; Gei, V; Facchinetti, F; Neri, I</t>
  </si>
  <si>
    <t>Monari, Francesca; Menichini, Daniela; Salerno, Cristina; Gei, Valentina; Facchinetti, Fabio; Neri, Isabella</t>
  </si>
  <si>
    <t>Women's perception of fetal movements and perinatal outcomes: results of a prospective cohort study</t>
  </si>
  <si>
    <t>Active fetal movements; snoring; stillbirth; adverse perinatal outcomes late pregnancy</t>
  </si>
  <si>
    <t>MATERNAL PERCEPTION; STILLBIRTH</t>
  </si>
  <si>
    <t>Background: Active fetal movements (AFMs) are a sign of the well-being of the baby during pregnancy and suggests the integrity of the cardiovascular, musculoskeletal, and nervous systems of the fetus. The abnormal perception of AFMs is associated with an increased risk of adverse perinatal outcomes such as stillbirth (SB) and brain damage. Several definitions of decreased fetal movements have been proposed, but none of them has been universally accepted. The aim of the study is to investigate the perinatal outcomes in relation to AFMs frequency and perception in term pregnancy with an ad hoc questionnaire administered to the women before delivery. Study design: This was a prospective case-control study on pregnant women at term referring to the Obstetric Unit of the University Hospital of Modena, Italy, between January 2020 and March 2020. A validated questionnaire was administered to women who agreed to participate in the study. Therefore, women were subdivided into the case and control groups: cases included women who experienced adverse perinatal outcomes (APO) such as perinatal mortality (SB and early neonatal mortality), operative delivery (cesarean section or vacuum) due to fetal distress, Apgar 5'&lt;7, neonatal resuscitation at birth and NICU Admission, while controls were women who experienced delivery and birth without APO in the same period. Results: Seventy-seven cases and 178 controls that compiled the questionnaire were included in the analysis. Characteristics significantly associated with APO were low education (OR 1.57, CI 95% 1.11-2.22), nulliparity (OR 1.76, CI 95% 1.20-2.58), obesity (OR 1.55, CI 95% 1.10-2.17), neonatal male gender (OR 1.92 CI95% 1.33-2.78) and centile at birth (&lt; 10 degrees and &gt;90 degrees) (OR 2.77, 95%CI 2.17, 3.55). There was no association between any answer about strengths, frequency and vigor of perceived fetal movements and APO. Even any maternal perception of fetal hiccups or uterine contractions wasn't associated with APO. On the other hand, women who referred to frequent change positions during sleep (OR 1.55 CI95% 1.05-2.30) and women who snore (OR 1.43 CI95% 1.01-2.05) showed a statistically significant increase of APO. Conclusions: Our data confirm the significant association between modifiable risk factors (such as obesity and low education) and APO. Thus, healthcare providers should be aware of the importance of intervention in reducing obesity, therefore snoring and related sleep apnea syndrome. Finally, changing position during sleep while not the perception of modified/reduced fetal movements significantly could induce the worst obstetric outcomes.</t>
  </si>
  <si>
    <t>[Monari, Francesca; Salerno, Cristina; Gei, Valentina; Facchinetti, Fabio; Neri, Isabella] Univ Hosp Policlin Modena, Mother Infant Dept, Obstet Unit, Modena, Italy; [Menichini, Daniela] Univ Modena, Int Doctorate Sch Clin &amp; Expt Med, Dept Biomed Metab &amp; Neural Sci, Modena, Italy; [Monari, Francesca] Univ Modena &amp; Reggio Emilia, Mother Infant &amp; Adult Dept Med &amp; Surg Sci, Unit Obstet &amp; Gynecol, Via Pozzo 71, I-41125 Modena, Italy</t>
  </si>
  <si>
    <t>Universita di Modena e Reggio Emilia; Universita di Modena e Reggio Emilia Hospital; Universita di Modena e Reggio Emilia; Universita di Modena e Reggio Emilia</t>
  </si>
  <si>
    <t>Monari, F (corresponding author), Univ Modena &amp; Reggio Emilia, Mother Infant &amp; Adult Dept Med &amp; Surg Sci, Unit Obstet &amp; Gynecol, Via Pozzo 71, I-41125 Modena, Italy.</t>
  </si>
  <si>
    <t>frmonari@unimore.it</t>
  </si>
  <si>
    <t>Monari, Francesca/0000-0002-1831-3086; Menichini, Daniela/0000-0002-8531-7124</t>
  </si>
  <si>
    <t>10.1080/14767058.2023.2193664</t>
  </si>
  <si>
    <t>D5RP8</t>
  </si>
  <si>
    <t>WOS:000969307200001</t>
  </si>
  <si>
    <t>Mphande, J; Hasimuna, OJ; Kikamba, E; Maulu, S; Nawanzi, K; Phiri, D; Chibesa, M; Siankwilimba, E; Phiri, CJ; Hampuwo, BM; Muhala, V; Siavwapa, S</t>
  </si>
  <si>
    <t>Mphande, Joseph; Hasimuna, Oliver J. J.; Kikamba, Edwin; Maulu, Sahya; Nawanzi, Kundananji; Phiri, Darius; Chibesa, Moses; Siankwilimba, Enock; Phiri, Chisomo J. J.; Hampuwo, Buumba M. M.; Muhala, Valdemiro; Siavwapa, Sillah</t>
  </si>
  <si>
    <t>Application of anaesthetics in fish hatcheries to promote broodstock and fish seed welfare in Zambia</t>
  </si>
  <si>
    <t>Anaesthetics; fingerlings; fish hatcheries; stress management; fish handling; Zambia</t>
  </si>
  <si>
    <t>AQUACULTURE PRODUCTION; AFRICAN AQUACULTURE; STRESS; FISHERIES; CORTISOL</t>
  </si>
  <si>
    <t>This study investigated the application of anaesthetics in 23 private and government-owned hatcheries in 10 provinces of Zambia. The study employed both qualitative and quantitative research designs and used a structured questionnaire to collect data from the respondents. The results showed that most hatcheries (65%) were not using anaesthetics in handling fish and all (100%) that were using anaesthetics (35%) used clove powder as the only type. Most respondents (61%) were not sure or did not have information about the availability of the anaesthetic substances in their localities while only 26% reported wider availability but 13% had a divergent claim. The mortality rate for fingerlings in hatcheries that applied anaesthetics ranged between 15-30% with consistently high demand while those that did not use anaesthetics reported mortality rates of more than 50% and had low demand. The majority of the respondents (53%) had received training up to certificate level, followed by those who had attained up to a diploma qualification (27%) while those that attained up to a degree (13%) and general skills (7%) levels were in the minority. Furthermore, most respondents (35%) did not know the importance of fish anaesthetics. We conclude that the use of fish anaesthetics in Zambian hatcheries is very low and could partly be the cause of high fingerling mortalities, and there is an urgent need to address the situation.</t>
  </si>
  <si>
    <t>[Mphande, Joseph] Minist Fisheries &amp; Livestock, Dept Fisheries, Ndola, Zambia; [Mphande, Joseph; Hasimuna, Oliver J. J.] Lilongwe Univ Agr &amp; Nat Resources LUANAR, Fac Nat Resources, Dept Fisheries &amp; Aquaculture, Bunda Campus, Lilongwe, Malawi; [Mphande, Joseph] Univ Stirling, Inst Aquaculture, Stirling, Scotland; [Hasimuna, Oliver J. J.; Kikamba, Edwin; Phiri, Chisomo J. J.] Minist Fisheries &amp; Livestock, Dept Fisheries, Natl Aquaculture Res &amp; Dev Ctr, Kitwe, Zambia; [Maulu, Sahya] Ctr Innovat Approach Zambia CIAZ, Lusaka, Zambia; [Maulu, Sahya] Univ Plymouth, Fac Sci &amp; Engn, Sch Biol &amp; Marine Sci, Plymouth, England; [Nawanzi, Kundananji; Siavwapa, Sillah] Copperbelt Univ, Dept Agr &amp; Aquat Sci, Kapasa Makasa Univ Campus, Chinsali, Zambia; [Phiri, Darius] Copperbelt Univ, Sch Nat Resources, Dept Plant &amp; Environm Sci, Kitwe, Zambia; [Chibesa, Moses] Copperbelt Univ, Sch Nat Resources, Dept Zool &amp; Aquat Sci, Kitwe, Zambia; [Siankwilimba, Enock] Univ Zambia, Grad Sch Business, Lusaka, Zambia; [Siankwilimba, Enock] Musika Dev Initiat Zambia Ltd, Lusaka, Zambia; [Hampuwo, Buumba M. M.] Univ Nat Resources &amp; Life Sci, Inst Hydrobiol, Gregor Mendel St 33, A-1180 Vienna, Austria; [Muhala, Valdemiro] Higher Polytech Inst Gaza, Div Agr, Chokwe, Mozambique; [Muhala, Valdemiro] Fed Univ Para, Inst Coastal Studies, Lab Evolut, Braganca, Portugal</t>
  </si>
  <si>
    <t>Lilongwe University of Agriculture &amp; Natural Resources; University of Stirling; University of Plymouth; Copperbelt University; Copperbelt University; Copperbelt University; University of Zambia; University of Natural Resources &amp; Life Sciences, Vienna</t>
  </si>
  <si>
    <t>Mphande, J (corresponding author), Minist Fisheries &amp; Livestock, Dept Fisheries, Ndola, Zambia.;Mphande, J (corresponding author), Lilongwe Univ Agr &amp; Nat Resources LUANAR, Fac Nat Resources, Dept Fisheries &amp; Aquaculture, Bunda Campus, Lilongwe, Malawi.;Mphande, J (corresponding author), Univ Stirling, Inst Aquaculture, Stirling, Scotland.</t>
  </si>
  <si>
    <t>josephmphande90@gmail.com</t>
  </si>
  <si>
    <t>Siankwilimba, Enock/IXW-7039-2023</t>
  </si>
  <si>
    <t>Siankwilimba, Enock/0000-0003-0483-9412; Hasimuna, Oliver Jolezya/0000-0003-0842-8389; HAMPUWO, BUUMBA/0000-0002-3399-879X</t>
  </si>
  <si>
    <t>10.1080/23311932.2023.2211845</t>
  </si>
  <si>
    <t>F9UP6</t>
  </si>
  <si>
    <t>WOS:000985728400001</t>
  </si>
  <si>
    <t>Mukucha, P; Chari, F</t>
  </si>
  <si>
    <t>Mukucha, Paul; Chari, Felix</t>
  </si>
  <si>
    <t>The moderating role of vendor managed inventory on the bullwhip effect in the COVID-19 pandemic</t>
  </si>
  <si>
    <t>Bullwhip effect; vendor-managed inventory; form postponement</t>
  </si>
  <si>
    <t>SUPPLY CHAIN; MASS CUSTOMIZATION; REPLENISHMENT; INDUSTRY; IMPACT</t>
  </si>
  <si>
    <t>The study sought to determine the role of vendor-managed inventory and form postponement in mitigating against the bullwhip effect in the bakery industry. The bullwhip effect is referred to as demand distortions along the upstream supply chain that is caused by variances between supply and demand. The bullwhip effect was conceptualized by its indicators that are overstocking, obsolescence, and inventory holding costs. A survey of conveniently chosen 100 bakeries was conducted in the city of Harare, the capital city of Zimbabwe. The informants for individual bakeries were competent bookkeepers or qualified accountants. A factorial MANOVA and follow-up ANOVAs using the Bonferroni method were conducted. The study indicated statistically significant main effects and interaction effects for all the factors and concluded that all the indicators of the bullwhip effect can be mitigated if bakery businesses pursued either or both of the vendor-management inventory and the form postponement strategies. The managerial implications of this study were that bakery businesses can avoid the consequences of the bullwhip effect through investing in plant and equipment that enables form postponement, and strengthen the widely practiced vendor-management strategy.</t>
  </si>
  <si>
    <t>[Mukucha, Paul] Bindura Univ Sci Educ, Dept Mkt, P Bag 1020, Bindura, Zimbabwe; [Chari, Felix] Bindura Univ Sci Educ, Dept Econ, P Bag 1020, Bindura, Zimbabwe</t>
  </si>
  <si>
    <t>Chari, F (corresponding author), Bindura Univ Sci Educ, Dept Econ, P Bag 1020, Bindura, Zimbabwe.</t>
  </si>
  <si>
    <t>charifelix93@gmail.com</t>
  </si>
  <si>
    <t>Chari, Felix/IVU-9870-2023</t>
  </si>
  <si>
    <t>10.1080/23311975.2022.2158604</t>
  </si>
  <si>
    <t>8B0ZU</t>
  </si>
  <si>
    <t>WOS:000916662000001</t>
  </si>
  <si>
    <t>Muroke, V; Jalanko, M; Haukka, J; Pätilä, T; Hartikainen, J; Tahvanainen, A; Ukkonen, H; Ylitalo, K; Anttila, V; Pihkala, J; Sinisalo, J</t>
  </si>
  <si>
    <t>Muroke, Valtteri; Jalanko, Mikko; Haukka, Jari; Patila, Tommi; Hartikainen, Juha; Tahvanainen, Anna; Ukkonen, Heikki; Ylitalo, Kari; Anttila, Vesa; Pihkala, Jaana; Sinisalo, Juha</t>
  </si>
  <si>
    <t>Atrial septal defect patients have an elevated risk for infective endocarditis</t>
  </si>
  <si>
    <t>SCANDINAVIAN CARDIOVASCULAR JOURNAL</t>
  </si>
  <si>
    <t>Atrial septal defect; endocarditis; congenital heart disease</t>
  </si>
  <si>
    <t>CONGENITAL HEART-DISEASE; SHEAR-STRESS; PREDICTORS; MORTALITY; CHILDREN; ADULTS</t>
  </si>
  <si>
    <t>Background. It has been unclear whether simple atrial septal defect (ASD) is an independent risk factor for infective endocarditis (IE). This study aimed to untangle the risk of endocarditis in a large nationwide cohort. Methods. We acquired data from the Finnish hospital discharge register on all individuals with ASD diagnosis from 1969 to 2019. Patients with complex congenital cardiac abnormalities were ruled out. Five individualized controls from the general population were matched to the ASD patient's birth year, sex, and residence at the index date. All the patients with ICD-8, -9, or -10 diagnosis codes for IE were gathered from the hospital discharge registry. Results. Altogether, 8322 patients with ASD and 39,237 individualized controls were enrolled in the study. Median follow-up was 21.6 years (IQR 11.8-36.9) from the first hospital contact. In total, 24 (16 male) cases of infective endocarditis among ASD patients and 10 (8 male) cases among controls were diagnosed during the follow-up. The incidence of endocarditis was 0.11 per 1000 person-years in the patients with ASD and 0.011 per 1000 person-years in the controls. The adjusted risk ratio for endocarditis was 13.51 (95% CI: 6.20-29.46) in patients with ASD compared to the control cohort. Patients with ASD and endocarditis had higher long-term mortality than individualized control patients (MRR 2.25, 95% CI: 1.23-4.11). Conclusions. The incidence of IE in patients with ASD was higher than in the general population. Mortality associated with IE was higher in patients with ASD compared to controls.</t>
  </si>
  <si>
    <t>[Muroke, Valtteri; Jalanko, Mikko; Sinisalo, Juha] Helsinki Univ Hosp, Dept Cardiol, Helsinki, Finland; [Haukka, Jari] Univ Helsinki, Dept Publ Hlth, Helsinki, Finland; [Patila, Tommi] Univ Helsinki, Helsinki Univ Hosp, New Childrens Hosp, Dept Cardiac Surg, Helsinki, Finland; [Hartikainen, Juha] Kuopio Univ Hosp, Heart Ctr, Kuopio, Finland; [Tahvanainen, Anna] Tampere Univ Hosp, Dept Cardiol, Tampere, Finland; [Ukkonen, Heikki] Turku Univ Hosp, Heart Ctr, Turku, Finland; [Ylitalo, Kari] Oulu Univ Hosp, Dept Cardiol, Oulu, Finland; [Anttila, Vesa] Univ Helsinki, Helsinki Univ Hosp, New Childrens Hosp, Dept Cardiol, Helsinki, Finland; [Pihkala, Jaana] Turku Univ Hosp, Dept Cardiothorac Surg, Turku, Finland</t>
  </si>
  <si>
    <t>University of Helsinki; Helsinki University Central Hospital; University of Helsinki; University of Helsinki; Helsinki University Central Hospital; Kuopio University Hospital; University of Eastern Finland; Tampere University; Tampere University Hospital; University of Turku; University of Oulu; University of Helsinki; Helsinki University Central Hospital; University of Turku</t>
  </si>
  <si>
    <t>Muroke, V (corresponding author), Helsinki Univ Hosp, Dept Cardiol, Helsinki, Finland.</t>
  </si>
  <si>
    <t>valtteri.muroke@helsinki.fi</t>
  </si>
  <si>
    <t>; Haukka, Jari/G-1484-2014</t>
  </si>
  <si>
    <t>Sinisalo, Juha/0000-0002-0169-5137; Haukka, Jari/0000-0003-1450-6208</t>
  </si>
  <si>
    <t>Emil Aaltosen Foundation; Paeivikki and Sakari Sohlberg Foundation; Foundation for Pediatric Research</t>
  </si>
  <si>
    <t>This work was supported by the Emil Aaltosen Foundation, Paeivikki and Sakari Sohlberg Foundation, and The Foundation for Pediatric Research.</t>
  </si>
  <si>
    <t>1401-7431</t>
  </si>
  <si>
    <t>1651-2006</t>
  </si>
  <si>
    <t>SCAND CARDIOVASC J</t>
  </si>
  <si>
    <t>Scand. Cardiovasc. J.</t>
  </si>
  <si>
    <t>10.1080/14017431.2023.2215490</t>
  </si>
  <si>
    <t>Cardiac &amp; Cardiovascular Systems</t>
  </si>
  <si>
    <t>I0JX2</t>
  </si>
  <si>
    <t>WOS:000999734700001</t>
  </si>
  <si>
    <t>Nagarajah, N</t>
  </si>
  <si>
    <t>Nagarajah, Nanthini</t>
  </si>
  <si>
    <t>The geography of sustainability transition and materiality: grid-tied solar photovoltaic technology in Sri Lanka</t>
  </si>
  <si>
    <t>geography of sustainability transition; absolute materiality; relational materiality; solar photovoltaic; land; Sri Lanka; &gt;</t>
  </si>
  <si>
    <t>ENERGY TRANSITIONS; PERSPECTIVE; POLICY; FUTURE; PV; INNOVATION; DYNAMICS; POLITICS; JUSTICE; SYSTEM</t>
  </si>
  <si>
    <t>The geography of sustainability transition (GeoST) literature views solar photovoltaic (PV) as an off-the-shelf, footloose, absolute technology for bringing about a technological shift in locations with high solar irradiation. Herein, I argue against viewing solar technology in these ways, highlighting that consideration should also be given to the configuration of solar PV that suits the contextual conditions. To this end, I offer empirical evidence for the need to approach solar PV diffusion through a relational perspective. Accordingly, different solar PV technology formats may become necessary for its successful implementation in diverse contexts. Supportive empirical evidence comes from Sri Lanka's large-scale grid-tied solar PV implementation. I conclude the paper with an analytical consideration of the influence of material factors as being as important within GeoST as that of intangible factors, and that technological shift should be pursued within a location's contextual relational materiality.</t>
  </si>
  <si>
    <t>[Nagarajah, Nanthini] Western Norway Univ Appl Sci, Bergen, Norway</t>
  </si>
  <si>
    <t>Western Norway University of Applied Sciences</t>
  </si>
  <si>
    <t>Nagarajah, N (corresponding author), Western Norway Univ Appl Sci, Bergen, Norway.</t>
  </si>
  <si>
    <t>nnag@hvl.no</t>
  </si>
  <si>
    <t>Norwegian Ministry of Foreign Affairs [LKA-3182/LKA-16/0001]</t>
  </si>
  <si>
    <t>Norwegian Ministry of Foreign Affairs</t>
  </si>
  <si>
    <t>This work was supported by the Norwegian Ministry of Foreign Affairs [grant number LKA-3182/LKA-16/0001].</t>
  </si>
  <si>
    <t>10.1080/21681376.2023.2231508</t>
  </si>
  <si>
    <t>O3VX6</t>
  </si>
  <si>
    <t>WOS:001043138700001</t>
  </si>
  <si>
    <t>Neslusan, C; Chen, YW; Sharma, M; Voelker, J</t>
  </si>
  <si>
    <t>Neslusan, Cheryl; Chen, Yen-Wen; Sharma, Mohit; Voelker, Jennifer</t>
  </si>
  <si>
    <t>Unmet need in major depressive disorder and acute suicidal ideation or behavior: findings from a longitudinal electronic health record data analysis</t>
  </si>
  <si>
    <t>JOURNAL OF MEDICAL ECONOMICS</t>
  </si>
  <si>
    <t>Longitudinal patient care; major depressive disorder; suicidal ideation; EHR database; mental health screening</t>
  </si>
  <si>
    <t>BURDEN; PHQ-9</t>
  </si>
  <si>
    <t>Aims Using a national electronic health records (EHR) database, the current study describes treatments, depression severity, and health care resource utilization (HRU) among patients with major depressive disorder (MDD) and acute suicidal ideation or behavior (MDSI) prior to, during, and following a suicide-related event in the United States. Materials and methods This retrospective matched cohort study used data collected from the Optum EHR de-identified database for patients with diagnosis codes for MDD and acute suicidal ideation or behavior and a propensity score-matched cohort of patients without MDD or a suicide-related event. The study period was 31 October 2015-30 September 2019. MDD-related treatments and 9-item Patient Health Questionnaire (PHQ-9) scores, when available, were assessed at the first health care encounter for a suicide-related event (index period), 12 months before (pre-period), and 6 months after (post-period). All-cause and MDD-related HRU were assessed during the post-period. Results The mean (standard deviation) age of patients with MDSI was 39 (16) years; 55.0% were female. Index events occurred as follows: inpatient stay, 38.9%; observation unit stay, 4.6%; emergency department (ED) visit, 46.5%; and outpatient visit, 10.1%. Antidepressants and psychotherapy were the most common pharmacologic and nonpharmacologic treatments, respectively, prescribed during the pre- (31.3%, 9.5%, respectively) and index (41.2%, 18.7%, respectively) periods. Post-period data (n = 40,261) revealed only 43.4% received an antidepressant and 20.5% had psychotherapy after the suicide-related event. Few patients had PHQ-9 scores recorded during the pre- (4.4%), index (1.3%), and post- (7.6%) periods. During the post-period, 11.8%, 5.0%, and 33.1% of patients had &gt;= 1 all-cause inpatient stay, observation unit stay, and ED visit, respectively; 61.0% had &gt;= 1 all-cause and 33.4% &gt;= 1 MDD-related outpatient visit. Most patients with MDSI and an inpatient encounter or ED visit were discharged to home or self-care (65.4%). Odds of an all-cause hospital encounter during the post-period were higher for patients with versus without MDSI (by 30.1, 33.5, and 33.9 times for inpatient stay, ED visit, and observation unit stay, respectively). Conclusion This analysis highlights an opportunity to improve outcomes for this vulnerable population. More complete data on patient outcomes is needed to inform strategies designed to optimize screening and treatment.</t>
  </si>
  <si>
    <t>[Neslusan, Cheryl; Chen, Yen-Wen; Voelker, Jennifer] Janssen Sci Affairs LLC, Titusville, NJ 08560 USA; [Sharma, Mohit] Mu Sigma Business Solut Pvt Ltd, Bengaluru, India</t>
  </si>
  <si>
    <t>Johnson &amp; Johnson; Janssen Pharmaceuticals</t>
  </si>
  <si>
    <t>Neslusan, C (corresponding author), Janssen Sci Affairs LLC, Titusville, NJ 08560 USA.</t>
  </si>
  <si>
    <t>cneslusa@its.jnj.com</t>
  </si>
  <si>
    <t>Neslusan, Cheryl/0000-0002-9984-5905</t>
  </si>
  <si>
    <t>Janssen Scientific Affairs, LLC, Titusville, NJ</t>
  </si>
  <si>
    <t>This study was sponsored by Janssen Scientific Affairs, LLC, Titusville, NJ (Ringgold ID: 155044; grant number: not applicable).</t>
  </si>
  <si>
    <t>1369-6998</t>
  </si>
  <si>
    <t>1941-837X</t>
  </si>
  <si>
    <t>J MED ECON</t>
  </si>
  <si>
    <t>J. Med. Econ.</t>
  </si>
  <si>
    <t>10.1080/13696998.2022.2133321</t>
  </si>
  <si>
    <t>Economics; Health Care Sciences &amp; Services; Health Policy &amp; Services; Medicine, General &amp; Internal</t>
  </si>
  <si>
    <t>Business &amp; Economics; Health Care Sciences &amp; Services; General &amp; Internal Medicine</t>
  </si>
  <si>
    <t>6X9SL</t>
  </si>
  <si>
    <t>WOS:000896746300001</t>
  </si>
  <si>
    <t>Niero, G; Thomas, SA; Mouratidou, K; Visentin, G; De Marchi, M; Penasa, M; Cassandro, M</t>
  </si>
  <si>
    <t>Niero, Giovanni; Thomas, Steffi Anna; Mouratidou, Kassiani; Visentin, Giulio; De Marchi, Massimo; Penasa, Mauro; Cassandro, Martino</t>
  </si>
  <si>
    <t>Lactoferrin concentration in bovine milk: validation of radial immunodiffusion technique, sources of variation, and association to udder health status</t>
  </si>
  <si>
    <t>lactoferrin; cow; somatic cell count; radial immunodiffusion; mastitis</t>
  </si>
  <si>
    <t>GENETIC-VARIABILITY; PROTEIN-COMPOSITION; CELL COUNT; INDICATORS; PREDICTION; COMPONENTS; LACTOSE; RAW</t>
  </si>
  <si>
    <t>The present study aimed to evaluate analytical performances of radial immunodiffusion (RID) technique for the quantification of milk lactoferrin (LF), and to investigate the main sources of variation of LF concentration in individual milk samples of Holstein Friesian (HF, n = 1516) and Simmental (SI, n = 230) cows. Repeatability (RSDr) and reproducibility (RSDR) of RID method were assessed as relative standard deviation of 15 measurements within the same day and 45 measurements across 3 d, respectively. Sources of variation of milk LF were investigated through a mixed linear model which included the fixed effects of classes of stage of lactation and parity (and their interaction), cow breed, udder health status (UHS, based on somatic cell count and differential somatic cell count), and the random effects of the herd-test day nested within breed and the residual. Method performances were satisfactory in terms of repeatability (RSDr &lt; 9%) and reproducibility (RSDR &lt; 8%), suggesting that the RID can be considered as a consistent cow-side test for the quantification of milk LF. Milk LF was positively associated with somatic cell score (r = 0.40) and negatively with lactose content (r = -0.33). Lower concentration of LF was observed in milk of 'healthy' and 'susceptible' cows (13.03 and 12.87 mg/dL, respectively) compared to 'mastitic' and 'chronic' cows (17.91 and 17.33 mg/dL, respectively). In this light, milk LF has the potential to be a useful biomarker to detect early mastitis. Further research is advisable to deepen the association between milk LF content and observed clinical mastitis.</t>
  </si>
  <si>
    <t>[Niero, Giovanni; Thomas, Steffi Anna; Mouratidou, Kassiani; De Marchi, Massimo; Penasa, Mauro; Cassandro, Martino] Univ Padua, Dipartimento Agron Animali Alimenti isorse natural, Legnaro, Italy; [Visentin, Giulio] Univ Bologna, Dipartimento Sci Med Veterinarie, Alma Mater Studiorum, Ozzano Dellemilia, Italy; [Cassandro, Martino] Assoc Nazl Allevatori Razza Frisona, Bruna &amp; Jersey Italiana, Cremona, Italy</t>
  </si>
  <si>
    <t>University of Padua; University of Bologna</t>
  </si>
  <si>
    <t>Visentin, G (corresponding author), Univ Bologna, Dipartimento Sci Med Veterinarie, Alma Mater Studiorum, Ozzano Dellemilia, Italy.</t>
  </si>
  <si>
    <t>giulio.visentin@unibo.it</t>
  </si>
  <si>
    <t>Visentin, Giulio/AAU-8279-2021</t>
  </si>
  <si>
    <t>Visentin, Giulio/0000-0003-0869-5516</t>
  </si>
  <si>
    <t>Projects COVID-MILK 2020 (Breeders Association of Veneto Region; ARAV, Vicenza, Italy)</t>
  </si>
  <si>
    <t>Funding was provided by the projects COVID-MILK 2020 (Breeders Association of Veneto Region; ARAV, Vicenza, Italy).</t>
  </si>
  <si>
    <t>10.1080/1828051X.2023.2180440</t>
  </si>
  <si>
    <t>9L8XY</t>
  </si>
  <si>
    <t>WOS:000941828500001</t>
  </si>
  <si>
    <t>Nitta, KH</t>
  </si>
  <si>
    <t>Nitta, Koh-hei</t>
  </si>
  <si>
    <t>On a thermodynamic foundation of Eyring rate theory for plastic deformation of polymer solids</t>
  </si>
  <si>
    <t>PHILOSOPHICAL MAGAZINE LETTERS</t>
  </si>
  <si>
    <t>Fluctuation theorem; non-equilibrium thermodynamics; continuum mechanics; polymer; Eyring rate theory</t>
  </si>
  <si>
    <t>2ND LAW VIOLATIONS; NONEQUILIBRIUM MEASUREMENTS; INTERNAL VARIABLES; LOCAL-EQUILIBRIUM; MECHANICS; BEHAVIOR</t>
  </si>
  <si>
    <t>The plastic deformation of almost all solid polymers can be represented by a thermally activated rate process involving the motion of cooperative mobile elements over potential barriers, based on the Eyring activated rate theory. The present study shows that the governing equations for the Eyring rate theory can be completely derived based on the principle of microscopic reversibility in the framework of non-equilibrium dynamics.</t>
  </si>
  <si>
    <t>[Nitta, Koh-hei] Kanazawa Univ, Inst Sci &amp; Engn, Polymer Phys Lab, Kanazawa, Japan; [Nitta, Koh-hei] Kanazawa Univ, Inst Sci &amp; Engn, Polymer Phys Lab, Kanazawa 9201192, Japan</t>
  </si>
  <si>
    <t>Kanazawa University; Kanazawa University</t>
  </si>
  <si>
    <t>Nitta, KH (corresponding author), Kanazawa Univ, Inst Sci &amp; Engn, Polymer Phys Lab, Kanazawa 9201192, Japan.</t>
  </si>
  <si>
    <t>nitta@se.kanazawa-u.ac.jp</t>
  </si>
  <si>
    <t>0950-0839</t>
  </si>
  <si>
    <t>1362-3036</t>
  </si>
  <si>
    <t>PHIL MAG LETT</t>
  </si>
  <si>
    <t>Philos. Mag. Lett.</t>
  </si>
  <si>
    <t>10.1080/09500839.2023.2186190</t>
  </si>
  <si>
    <t>Materials Science, Multidisciplinary; Metallurgy &amp; Metallurgical Engineering; Physics, Applied; Physics, Condensed Matter</t>
  </si>
  <si>
    <t>Materials Science; Metallurgy &amp; Metallurgical Engineering; Physics</t>
  </si>
  <si>
    <t>A1ZH5</t>
  </si>
  <si>
    <t>WOS:000953178100001</t>
  </si>
  <si>
    <t>Nugent, WH; Carr, DA; Friedman, J; Song, BK</t>
  </si>
  <si>
    <t>Nugent, William H. H.; Carr, Danuel A. A.; Friedman, Joel; Song, Bjorn K. K.</t>
  </si>
  <si>
    <t>Novel transdermal curcumin therapeutic preserves endothelial barrier function in a high-dose LPS rat model</t>
  </si>
  <si>
    <t>Microcirculation; sepsis; endothelium; glycocalyx; curcumin; extravasation; endotoxemia</t>
  </si>
  <si>
    <t>OXIDATIVE STRESS; OXYGEN CARRIER; SEVERE SEPSIS; SEPTIC SHOCK; DYSFUNCTION; SUPPLEMENTATION; MORTALITY</t>
  </si>
  <si>
    <t>Sepsis is a devastating complication of infection and injury that, through widespread endothelial dysfunction, can cause perfusion deficits and multi-organ failure. To address the recognised need for therapeutics targetting the endothelial barrier, a topical formulation (CUR; VASCEPTOR (TM); Vascarta Inc, Summit, NJ) was developed to transdermally deliver bio-active concentrations of curcumin-an anti-inflammatory and nitric oxide promoter. Male, Sprague Dawley rats were treated daily with lipopolysaccharide (LPS, 10 mg/kg, IP) to induce endotoxemia, and topical applications of Vehicle Control (LPS + VC; N = 7) or Curcumin (LPS + CUR; N = 7). A third group received neither LPS nor treatment (No-LPS; N = 8). After 72 h, animals were surgically prepared for measurements of physiology and endothelial dysfunction in the exteriorised spinotrapezius muscle through the extravasation of 67 kDa TRITC-BSA (albumin) and 500 kDa FITC-dextran (dextran). At 72 h, LPS + VC saw weight loss, and increases to pulse pressure, lactate, pCO(2), CXCL5 (vs No-LPS) and IL-6 (vs 0 h; p &lt; 0.05). LPS + CUR was similar to No-LPS, but with hypotension. Phenylephrine response was increased in LPS + CUR. Regarding endothelial function, LPS + CUR albumin and dextran extravasation were significantly reduced versus LPS + VC suggesting that Curcumin mitigated endotoxemic endothelial dysfunction. The speculated mechanisms are nitric oxide modulation of the endothelium and/or an indirect anti-inflammatory effect.</t>
  </si>
  <si>
    <t>[Nugent, William H. H.; Carr, Danuel A. A.; Song, Bjorn K. K.] Song Biotechnol LLC, Cockeysville, MD USA; [Friedman, Joel] Albert Einstein Coll Med, Dept Physiol &amp; Biophys, Bronx, NY USA; [Friedman, Joel; Song, Bjorn K. K.] Vascarta Inc, Summit, NJ USA; [Song, Bjorn K. K.] Vascarta Inc, Song Biotechnol LLC, 7 Charamal Court,Cockeysville, Summit, NJ 21030 USA</t>
  </si>
  <si>
    <t>Yeshiva University; Albert Einstein College of Medicine</t>
  </si>
  <si>
    <t>Song, BK (corresponding author), Vascarta Inc, Song Biotechnol LLC, 7 Charamal Court,Cockeysville, Summit, NJ 21030 USA.</t>
  </si>
  <si>
    <t>bjorn@songbiotechnologies.com</t>
  </si>
  <si>
    <t>Nugent, William/0000-0003-0637-0398</t>
  </si>
  <si>
    <t>FJC; Foundation of Philanthropic Funds; VASCARTA, Inc.; Song Biotechnologies, LLC.</t>
  </si>
  <si>
    <t>This work was funded by: Direct funds to JF from The FJC, A Foundation of Philanthropic Funds. Direct funds to Song Biotechnologies, LLC from VASCARTA, Inc. Internal funding from Song Biotechnologies, LLC.</t>
  </si>
  <si>
    <t>10.1080/21691401.2022.2164584</t>
  </si>
  <si>
    <t>7Z1KH</t>
  </si>
  <si>
    <t>WOS:000915323300001</t>
  </si>
  <si>
    <t>Ocansey, DKW; Hang, SH; Yuan, XY; Qian, H; Zhou, MJ; Olovo, CV; Zhang, X; Mao, F</t>
  </si>
  <si>
    <t>Ocansey, Dickson Kofi Wiredu; Hang, Sanhua; Yuan, Xinyi; Qian, Hua; Zhou, Mengjiao; Olovo, Chinasa Valerie; Zhang, Xu; Mao, Fei</t>
  </si>
  <si>
    <t>The diagnostic and prognostic potential of gut bacteria in inflammatory bowel disease</t>
  </si>
  <si>
    <t>Gut bacteria; diagnosis; prognosis; inflammatory bowel disease; gastrointestinal disease; microbiota</t>
  </si>
  <si>
    <t>ESCHERICHIA-COLI; INTESTINAL MICROBIOTA; CROHNS-DISEASE; MULTI-OMICS; MUCOSA; DYSBIOSIS; HEALTH; IBD; METAGENOMICS; PATHOGENESIS</t>
  </si>
  <si>
    <t>The gut microbiome serves as a signaling hub that integrates environmental inputs with genetic and immune signals to influence the host's metabolism and immunity. Gut bacteria are intricately connected with human health and disease state, with specific bacteria species driving the characteristic dysbiosis found in gastrointestinal conditions such as inflammatory bowel disease (IBD); thus, gut bacteria changes could be harnessed to improve IBD diagnosis, prognosis, and treatment. The advancement in next-generation sequencing techniques such as 16S rRNA and whole-genome shotgun sequencing has allowed the exploration of the complexity of the gut microbial ecosystem with high resolution. Current microbiome data is promising and appears to perform better in some studies than the currently used fecal inflammation biomarker, calprotectin, in predicting IBD from healthy controls and irritable bowel syndrome (IBS). This study reviews current data on the differential potential of gut bacteria within IBD cohorts, and between IBD and other gastrointestinal diseases.</t>
  </si>
  <si>
    <t>[Ocansey, Dickson Kofi Wiredu; Yuan, Xinyi; Zhou, Mengjiao; Olovo, Chinasa Valerie; Zhang, Xu; Mao, Fei] Jiangsu Univ, Sch Med, Key Lab Med Sci &amp; Lab Med Jiangsu Prov, 301 Xuefu Rd, Zhenjiang 212013, Jiangsu, Peoples R China; [Ocansey, Dickson Kofi Wiredu] Univ Cape Coast, Directorate Univ Hlth Serv, Cape Coast, Ghana; [Hang, Sanhua] Nantong Univ, Affiliated Danyang Hosp, Peoples Hosp Danyang, Zhenjiang, Peoples R China; [Qian, Hua] Jiangsu Univ, Affiliated Hosp, Zhenjiang, Peoples R China; [Olovo, Chinasa Valerie] Univ Nigeria, Dept Microbiol, Nsukka, Nigeria</t>
  </si>
  <si>
    <t>Jiangsu University; University of Cape Coast; Nantong University; Jiangsu University; University of Nigeria</t>
  </si>
  <si>
    <t>Mao, F (corresponding author), Jiangsu Univ, Sch Med, Key Lab Med Sci &amp; Lab Med Jiangsu Prov, 301 Xuefu Rd, Zhenjiang 212013, Jiangsu, Peoples R China.</t>
  </si>
  <si>
    <t>maofei2003@ujs.edu.cn</t>
  </si>
  <si>
    <t>Ocansey, Dickson WK/AAO-5984-2020</t>
  </si>
  <si>
    <t>Ocansey, Dickson WK/0000-0003-3547-0857</t>
  </si>
  <si>
    <t>2022 Jiangsu Excellent postdoctoral program [2022ZB634]; National Natural Science Fund of China [82250410378]; project of Zhenjiang key research and development plan (social development) [SH2019025, SH2021066]; open project of clinical medical research center of Gynecology and Traditional Chinese Medicine of Zhenjiang [ss202204-KFC01]; innovation training program for English-taught international undergraduates of Jiangsu University in 2022</t>
  </si>
  <si>
    <t>2022 Jiangsu Excellent postdoctoral program; National Natural Science Fund of China(National Natural Science Foundation of China (NSFC)); project of Zhenjiang key research and development plan (social development); open project of clinical medical research center of Gynecology and Traditional Chinese Medicine of Zhenjiang; innovation training program for English-taught international undergraduates of Jiangsu University in 2022</t>
  </si>
  <si>
    <t>This study was sponsored by the 2022 Jiangsu Excellent postdoctoral program (Grant no. 2022ZB634), the National Natural Science Fund of China (Grant no. 82250410378), the project of Zhenjiang key research and development plan (social development) (Grant no. SH2019025 and SH2021066), the open project of clinical medical research center of Gynecology and Traditional Chinese Medicine of Zhenjiang (Grant no. ss202204-KFC01) and the innovation training program for English-taught international undergraduates of Jiangsu University in 2022.</t>
  </si>
  <si>
    <t>10.1080/19490976.2023.2176118</t>
  </si>
  <si>
    <t>9E5IY</t>
  </si>
  <si>
    <t>WOS:000936820500001</t>
  </si>
  <si>
    <t>Octavia, A; Jovanka, D; Alqahtani, TM; Wijaya, TT; Habibi, A</t>
  </si>
  <si>
    <t>Octavia, Ade; Jovanka, Della Raymena; Alqahtani, Turki Mesfer; Wijaya, Tommy Tanu; Habibi, Akhmad</t>
  </si>
  <si>
    <t>Key factors of educational CRM success and institution performance: A SEM analysis</t>
  </si>
  <si>
    <t>educational customer relationship management; institution performance; path analysis; higher education institution</t>
  </si>
  <si>
    <t>CUSTOMER-RELATIONSHIP MANAGEMENT; TECHNOLOGY; PLS; ADOPTION; ORIENTATION; INNOVATION; INTENTION; FRAMEWORK; QUALITY; IMPACT</t>
  </si>
  <si>
    <t>Customer relationship management (CRM) success is vital in today's growing business practice, including in higher education institutions (HEIs). Within this study context, educational customer relationship management (EdCRM) is utilized to manage the interaction between educational institutions and their future and current students. This study aimed at determining the predicting role of institutional capability (IC), student orientation (SO), digital technology (DT), and facilitating condition (FC) to EdCRM success. The study also assessed FC and EdCRM success as factors affecting institution performance (IP). The instrument of the current study was adapted from prior studies and piloted; the pilot data were validated through explanatory factor analysis (EFA). The main data were gathered from 537 respondents. Partial least squares structural equation modeling (PLS-SEM) procedures were used to examine the hypotheses. Findings indicated that the EdCRM success was significantly predicted by IC, SO, and DT. Meanwhile, FC was reported to insignificantly predict EdCRM success. FC and EdCRM success strongly predicted IP. Recommendations were proposed for the betterment of EdCRM success and IP in HEIs.</t>
  </si>
  <si>
    <t>[Octavia, Ade] Univ Jambi, Dept Management, Fac Econ &amp; Business, Jambi, Indonesia; [Jovanka, Della Raymena] Univ Terbuka, Dept Early Childhood Teacher Educ, Tangerang Selatan, Banten, Indonesia; [Alqahtani, Turki Mesfer] Jazan Univ, Dept Instruct Technol, Jazan, Saudi Arabia; [Wijaya, Tommy Tanu] Beijing Normal Univ, Sch Math Sci, Beijing, Peoples R China; [Habibi, Akhmad] Univ Jambi, Dept Magister Educ Technol, Jambi, Indonesia; [Jovanka, Della Raymena] Univ Terbuka, Jalan Cabe Raya, Tangerang Selatan 15418, Banten, Indonesia</t>
  </si>
  <si>
    <t>Universitas Jambi; Universitas Terbuka; Jazan University; Beijing Normal University; Universitas Jambi; Universitas Terbuka</t>
  </si>
  <si>
    <t>Jovanka, D (corresponding author), Univ Terbuka, Jalan Cabe Raya, Tangerang Selatan 15418, Banten, Indonesia.</t>
  </si>
  <si>
    <t>dla@ecampus.ut.ac.id</t>
  </si>
  <si>
    <t>Habibi, Akhmad/O-9195-2018; Tanu Wijaya, Tommy/AAZ-4460-2020</t>
  </si>
  <si>
    <t>Habibi, Akhmad/0000-0001-7687-2858; Tanu Wijaya, Tommy/0000-0001-6840-3875</t>
  </si>
  <si>
    <t>10.1080/23311975.2023.2196786</t>
  </si>
  <si>
    <t>C4NS8</t>
  </si>
  <si>
    <t>WOS:000961706300001</t>
  </si>
  <si>
    <t>Oluwole, I; Tan, JBC; DeSouza, S; Hutchinson, M; Leigh, RM; Cha, MH; Rodriguez, A; Hou, GA; Rao, SS; Narang, A; Chou, FS</t>
  </si>
  <si>
    <t>Oluwole, Izabela; Tan, John B. C.; DeSouza, Shirin; Hutchinson, Matthew; Leigh, Rebekah M.; Cha, Minha; Rodriguez, Abigail; Hou, Gina; Rao, Srinandini S. S.; Narang, Arvind; Chou, Fu-Sheng</t>
  </si>
  <si>
    <t>The association between bronchopulmonary dysplasia grade and risks of adverse neurodevelopmental outcomes among preterm infants born at less than 30 weeks of gestation</t>
  </si>
  <si>
    <t>Bronchopulmonary dysplasia; neurodevelopmental outcome; prematurity; very low gestational age newborn; Bayley scales of infant and toddler development</t>
  </si>
  <si>
    <t>LOW-BIRTH-WEIGHT; CEREBRAL-PALSY; MORTALITY; CHILDREN; AGE</t>
  </si>
  <si>
    <t>Background Bronchopulmonary dysplasia (BPD) is a multifactorial disease with neurodevelopmental implications. This study aims to quantify the risks of adverse neurodevelopmental outcomes for each BPD grade among preterm infants born at less than 30 weeks' gestation. Methods We retrospectively studied infants who received care in our institution until at least 36 weeks postmenstrual age and had a formal neurodevelopmental assessment in our infant follow-up clinic using the Bayley Scales for Infant and Toddler Development (BSID). We assessed the association between BPD grade and adverse neurodevelopmental outcomes using descriptive statistics and regression models. Results Two hundred and fifty infants, including 89 (35.6%), 87 (34.8%), 65 (20.6%), and 9 (3.6%) with No BPD, Grade 1, Grade 2, and Grade 3 BPD, were included in the study. Small for gestational age, late pulmonary hypertension, dexamethasone administration, and adverse neurodevelopmental outcomes were more common as BPD grade increased. In a logistic regression analysis, Grades 2 and 3, but not Grade 1, BPD were associated with increased odds of a composite adverse neurodevelopmental outcome by 2.7 and 7.2 folds, respectively. A BSID domain-specific analysis showed that higher grades were associated with lower scores in the cognitive, gross motor, and fine motor domains. Conclusions Grades 2 and 3 BPD, but not Grade 1, correlate with risks of adverse neurodevelopmental outcomes at a grade-dependent manner in our single-center cohort retrospective study. Further validation using a multi-center large cohort is warranted.</t>
  </si>
  <si>
    <t>[Oluwole, Izabela; Tan, John B. C.; Hou, Gina; Rao, Srinandini S. S.; Chou, Fu-Sheng] Loma Linda Univ, Dept Pediat, Div Neonatol, Sch Med, Loma Linda, CA USA; [Tan, John B. C.] Huckleberry Labs Inc, Irvine, CA USA; [DeSouza, Shirin] Loma Linda Univ, Sch Med, Dept Pediat, Div Gen Pediat &amp; Pediat Hosp Med, Loma Linda, CA USA; [Hutchinson, Matthew; Leigh, Rebekah M.; Cha, Minha; Rodriguez, Abigail] Loma Linda Univ, Sch Med, Loma Linda, CA USA; [Narang, Arvind] Loma Linda Univ Hlth, Business Intelligence &amp; Data Governance, Loma Linda, CA USA; [Chou, Fu-Sheng] Southern Calif Permanente Med Grp, Clinician Investigator Program, Pasadena, CA USA; [Chou, Fu-Sheng] Kaiser Permanente Riverside Med Ctr, Dept Neonatal Perinatal Med, Riverside, CA 92505 USA; [Chou, Fu-Sheng] Kaiser Permanente Riverside Med Ctr, Clinician Investigator Program, Southern Calif Permanente Med Grp, 10800 Magnolia Ave, Riverside, CA 92505 USA</t>
  </si>
  <si>
    <t>Loma Linda University; Loma Linda University; Loma Linda University; Loma Linda University; Permanente Medical Groups; Kaiser Permanente; Permanente Medical Groups; Kaiser Permanente</t>
  </si>
  <si>
    <t>Chou, FS (corresponding author), Kaiser Permanente Riverside Med Ctr, Clinician Investigator Program, Southern Calif Permanente Med Grp, 10800 Magnolia Ave, Riverside, CA 92505 USA.</t>
  </si>
  <si>
    <t>fu-sheng.x.chou@kp.org</t>
  </si>
  <si>
    <t>10.1080/14767058.2023.2167074</t>
  </si>
  <si>
    <t>8C8LC</t>
  </si>
  <si>
    <t>Green Submitted, hybrid</t>
  </si>
  <si>
    <t>WOS:000917853000001</t>
  </si>
  <si>
    <t>Ono, T; Takebayashi, Y; Kashiwagi, T; Sue, K</t>
  </si>
  <si>
    <t>Ono, Takumi; Takebayashi, Yoshihiro; Kashiwagi, Tsuneo; Sue, Kiwamu</t>
  </si>
  <si>
    <t>Data-Driven Optimization of Au Nanoparticle Synthesis with Automated Flow Microreaction System</t>
  </si>
  <si>
    <t>Nanoparticle; Data driven; Machine learning; Flow microreaction; Micromixer</t>
  </si>
  <si>
    <t>GOLD NANOPARTICLES; MAGNETIC-PROPERTIES; SIZE; REDUCTION; GRAPHENE</t>
  </si>
  <si>
    <t>We developed a flow microreaction system automated by a LabVIEW-based program enabling a control of flow rates of four pumps, an in-line UV-visible spectroscopic monitoring, and a process data logging including the pump pressures. The system was applied to the synthesis of gold nanoparticles (NPs) by a reduction of hydrogen tetrachloroaurate (III) (HAuCl4) with sodium tetrahydroborate (NaBH4) in the presence of trisodium citrate (Na3C6H5O7). Concentrations of the three reagents were controlled by changing the flow rates and were optimized so that the spectrum of the NPs gave higher peak at shorter wavelength. A gradual change in the concentrations from the dilute condition according to decision-tree algorithm as well as a careful monitoring of the pump pressures were shown to be effective for the optimization without clogging of the particles in the reactor.</t>
  </si>
  <si>
    <t>[Ono, Takumi; Takebayashi, Yoshihiro; Sue, Kiwamu] Natl Inst Adv Ind Sci &amp; Technol, Res Inst Chem Proc Technol, 1 1 1, Higashi, Tsukuba, Ibaraki 3058565, Japan; [Kashiwagi, Tsuneo] Res Assoc High Throughput Design &amp; Dev Adv Funct M, Higashi 1 1 1, Tsukuba, Ibaraki 3058565, Japan; [Kashiwagi, Tsuneo] Kon Minolta Inc, Ishikawa Machi 2970, Hachioji, Tokyo 1928505, Japan</t>
  </si>
  <si>
    <t>National Institute of Advanced Industrial Science &amp; Technology (AIST); Konica Minolta Inc.</t>
  </si>
  <si>
    <t>Sue, K (corresponding author), Natl Inst Adv Ind Sci &amp; Technol, Res Inst Chem Proc Technol, 1 1 1, Higashi, Tsukuba, Ibaraki 3058565, Japan.</t>
  </si>
  <si>
    <t>k.sue@aist.go.jp</t>
  </si>
  <si>
    <t>Sue, Kiwamu/H-6620-2018</t>
  </si>
  <si>
    <t>Sue, Kiwamu/0000-0001-9124-100X</t>
  </si>
  <si>
    <t>New Energy and Industrial Technology Development Organization (NEDO), Japan [JPNP16010]</t>
  </si>
  <si>
    <t>New Energy and Industrial Technology Development Organization (NEDO), Japan(New Energy and Industrial Technology Development Organization (NEDO))</t>
  </si>
  <si>
    <t>This work is based on the results obtained from a project (JPNP16010) commissioned by the New Energy and Industrial Technology Development Organization (NEDO), Japan.</t>
  </si>
  <si>
    <t>10.1080/00219592.2023.2211125</t>
  </si>
  <si>
    <t>H3TN6</t>
  </si>
  <si>
    <t>WOS:000995226200001</t>
  </si>
  <si>
    <t>Orr, PH; Larcombe, L</t>
  </si>
  <si>
    <t>Orr, Pamela H.; Larcombe, Linda</t>
  </si>
  <si>
    <t>Measurements in circumpolar populations: applying a questioning mind</t>
  </si>
  <si>
    <t>Measurement; circumpolar; inuit; first nations; indigenous; health; &gt;</t>
  </si>
  <si>
    <t>INUIT; GREENLANDERS</t>
  </si>
  <si>
    <t>[Orr, Pamela H.; Larcombe, Linda] Univ Manitoba, Dept Internal Med, Winnipeg, MB, Canada; [Orr, Pamela H.; Larcombe, Linda] Univ Manitoba, Dept Med Microbiol, Winnipeg, MB, Canada; [Orr, Pamela H.; Larcombe, Linda] Univ Manitoba, Dept Community Hlth Sci, Winnipeg, MB, Canada; [Larcombe, Linda] Univ Manitoba, Dept Anthropol, Winnipeg, MB, Canada</t>
  </si>
  <si>
    <t>University of Manitoba; University of Manitoba; University of Manitoba; University of Manitoba</t>
  </si>
  <si>
    <t>Orr, PH (corresponding author), Univ Manitoba, Dept Internal Med, Winnipeg, MB, Canada.;Orr, PH (corresponding author), Univ Manitoba, Dept Med Microbiol, Winnipeg, MB, Canada.;Orr, PH (corresponding author), Univ Manitoba, Dept Community Hlth Sci, Winnipeg, MB, Canada.</t>
  </si>
  <si>
    <t>POrr@hsc.mb.ca</t>
  </si>
  <si>
    <t>10.1080/22423982.2023.2238911</t>
  </si>
  <si>
    <t>N2MH2</t>
  </si>
  <si>
    <t>WOS:001035410500001</t>
  </si>
  <si>
    <t>Osei-Owusu, BA; Baidoo, MF; Arthur, R; Oduro-Kwarteng, S</t>
  </si>
  <si>
    <t>Osei-Owusu, Blissbern Appiagyei; Baidoo, Martina Francisca; Arthur, Richard; Oduro-Kwarteng, Sampson</t>
  </si>
  <si>
    <t>Physico-chemical characterization of selected feedstocks as co-substrates for household biogas generation in Ghana</t>
  </si>
  <si>
    <t>INTERNATIONAL JOURNAL OF SUSTAINABLE ENGINEERING</t>
  </si>
  <si>
    <t>Anaerobic co-digestion; biogas; feedstock; human excreta; food waste; biogas potential</t>
  </si>
  <si>
    <t>TRACE-ELEMENT SUPPLEMENTATION; FOOD WASTE; ANAEROBIC-DIGESTION; HEAVY-METALS; DAIRY MANURE; PERFORMANCE; INHIBITION; MOLYBDENUM; PARAMETERS; BIOMETHANE</t>
  </si>
  <si>
    <t>Substituting biogas for Liquefied Petroleum Gas (LPG) in households is a long-awaited sustainable solution for the increasing cost of energy and large amounts of household human-generated waste. Nevertheless, a study of the characteristics of feedstocks is essential to maximise their energy potential. Consequently, this study examined the physico-chemical properties of Human Excreta (HE), Food Leftovers (FLO), Kitchen Residue (KR) and Cow Dung (CD) of Ghanaian origin adhering to recommended standards. Results for volatile to total solid ratios (VS/TS) were 0.81 +/- 0.001, 0.97 +/- 0.001,0.89 +/- 0.001 and 0.85 +/- 0.001 for HE, FLO, KR and CD, respectively. The results showed that all feedstocks had high biodegradable content, making them desirable for biogas production. The carbon-to-nitrogen (C/N) ratios determined from the elemental compositions were 8.29 +/- 0.09, 22.14 +/- 0.26, 23.34 +/- 0.25 and 26.19 +/- 0.47 for HE, FLO, KR and CD, respectively. Although the C/N ratios for FLO, KR and CD were within the optimal range, that of HE was significantly low. With a mean alkalinity of 1219.67 +/- 1.53, 630.00 +/- 0.58, 590.00 +/- 2.08 and 15,730.00 +/- 6.00 mg CaCO3 eq./L for HE, FLO, KR and CD, it was observed that only CD has the optimal alkalinity value for anaerobic digestion. This brings into perspective the need for co-digestion and the choice of potential co-substrates for household biogas production.</t>
  </si>
  <si>
    <t>[Osei-Owusu, Blissbern Appiagyei] Kwame Nkrumah Univ Sci &amp; Technol, Reg Water &amp; Environm Sanitat Ctr, Dept Civil Engn, Kumasi Rwesck, Kumasi, Ghana; [Baidoo, Martina Francisca] Kwame Nkrumah Univ Sci &amp; Technol, Dept Chem Engn, Kumasi, Ghana; [Arthur, Richard] Koforidua Tech Univ, Dept Energy Syst Engn, Koforidua, Ghana; [Oduro-Kwarteng, Sampson] Kwame Nkrumah Univ Sci &amp; Technol, Dept Civil Engn, Kumasi, Ghana</t>
  </si>
  <si>
    <t>Kwame Nkrumah University Science &amp; Technology; Kwame Nkrumah University Science &amp; Technology; Kwame Nkrumah University Science &amp; Technology</t>
  </si>
  <si>
    <t>Osei-Owusu, BA (corresponding author), Kwame Nkrumah Univ Sci &amp; Technol, Reg Water &amp; Environm Sanitat Ctr, Dept Civil Engn, Kumasi Rwesck, Kumasi, Ghana.</t>
  </si>
  <si>
    <t>blissbernowusupeprah@gmail.com</t>
  </si>
  <si>
    <t>Arthur, Richard/0000-0002-0531-1786; Baidoo, Martina Francisca/0000-0002-1459-4407</t>
  </si>
  <si>
    <t>Regional Water and Environmental Sanitation Centre Kumasi (RWESCK) at the Kwame Nkrumah University of Science and Technology (KNUST), Kumasi; Ghana Government through the World Bank under the Africa Centers of Excellence project</t>
  </si>
  <si>
    <t>This work was supported by the Regional Water and Environmental Sanitation Centre Kumasi (RWESCK) at the Kwame Nkrumah University of Science and Technology (KNUST), Kumasi with funding from the Ghana Government through the World Bank under the Africa Centers of Excellence project.</t>
  </si>
  <si>
    <t>1939-7038</t>
  </si>
  <si>
    <t>1939-7046</t>
  </si>
  <si>
    <t>INT J SUSTAIN ENG</t>
  </si>
  <si>
    <t>Int. J. Sustain. Eng.</t>
  </si>
  <si>
    <t>10.1080/19397038.2023.2214167</t>
  </si>
  <si>
    <t>Green &amp; Sustainable Science &amp; Technology</t>
  </si>
  <si>
    <t>H0VJ8</t>
  </si>
  <si>
    <t>WOS:000993222300001</t>
  </si>
  <si>
    <t>Osman, A; Osafo, ELK; Attoh-Kotoku, V; Yunus, AA</t>
  </si>
  <si>
    <t>Osman, Alhassan; Osafo, Emmanuel Lartey Kwame; Attoh-Kotoku, Victoria; Yunus, Abdul Aziz</t>
  </si>
  <si>
    <t>Effects of supplementing probiotics and concentrate on intake, growth performance and blood profile of intensively kept Sahelian does fed a basal diet of Brachiaria decumbens grass</t>
  </si>
  <si>
    <t>Probiotics; concentrate; growth performance; blood; Brachiaria decumbens</t>
  </si>
  <si>
    <t>BIOCHEMICAL PARAMETERS; LOW-QUALITY; DIGESTION; GOATS</t>
  </si>
  <si>
    <t>The study was conducted to determine the effects of supplementing probiotics and concentrates on intake and growth performance of Sahelian does fed Brachiaria decumbens grass. Twenty-four Sahelian does averaging one year and weighing 13.3 +/- 1.16 kg were assigned randomly in a 2 x 2 factorial arrangement to four treatments in a Completely Randomized Design with 6 replicates and used to measure intake and live weight changes for 14 weeks. The factors were levels of concentrate and probiotics. Blood samples were taken for the determination of haematological and biochemical parameters. The results revealed differences (P &lt; 0.05) in total dry matter intake, live weight changes and feed conversion ratio attributable to treatment effects. The differences observed in total dry matter intake led to improvements in average daily gain, feed conversion ratio and growth rate. All blood haematological indices with the exception of mean cell volume were impacted positively by treatment effects. White blood cell and total protein contents improved linearly with probiotics and higher level of concentrate supplementation, while total cholesterol content declined (P &lt; 0.05). The results highlighted the positive impact of probiotics and higher level of concentrate supplementation on growth performance and blood profile of growing Sahelian does on a basal diet of Brachiaria decumbens grass.</t>
  </si>
  <si>
    <t>[Osman, Alhassan; Osafo, Emmanuel Lartey Kwame; Attoh-Kotoku, Victoria; Yunus, Abdul Aziz] Kwame Nkrumah Univ Sci &amp; Technol, Dept Anim Sci, Kumasi, Ghana; [Osman, Alhassan] Kwame Nkrumah Univ Sci &amp; Technol, Dept Anim Sci, Univ PO,PMB, Kumasi, Ghana</t>
  </si>
  <si>
    <t>Kwame Nkrumah University Science &amp; Technology; Kwame Nkrumah University Science &amp; Technology</t>
  </si>
  <si>
    <t>Osman, A (corresponding author), Kwame Nkrumah Univ Sci &amp; Technol, Dept Anim Sci, Univ PO,PMB, Kumasi, Ghana.</t>
  </si>
  <si>
    <t>osmahass@yahoo.com</t>
  </si>
  <si>
    <t>Osman, Alhassan/IWU-4885-2023</t>
  </si>
  <si>
    <t>10.1080/09712119.2023.2211652</t>
  </si>
  <si>
    <t>H0VG1</t>
  </si>
  <si>
    <t>WOS:000993218600001</t>
  </si>
  <si>
    <t>Ouattara, ZA; Kabo-Bah, AT; Dongo, K; Akpoti, K</t>
  </si>
  <si>
    <t>Ouattara, Zie Adama; Kabo-Bah, Amos T.; Dongo, Kouassi; Akpoti, Komlavi</t>
  </si>
  <si>
    <t>A Review of sewerage and drainage systems typologies with case study in Abidjan, Cote d'Ivoire: failures, policy and management techniques perspectives</t>
  </si>
  <si>
    <t>Decision support tools; sewerage systems; drainage systems; ageing infrastructure; management systems</t>
  </si>
  <si>
    <t>CORROSION; INSPECTION; SEWAGE; MODEL; NEEDS</t>
  </si>
  <si>
    <t>The failure of sewage and drainage systems in SubSaharan African cities is frequent and can be considered as a critical issue, both from an environmental standpoint and in terms of associated maintenance costs. This study analyzes the state of the sanitation systems, the elements behind the failures, the environmental concepts used to classify the problems, and the tools and methodological alternatives for ranking the various management solutions. This research illustrates the causes that contribute to the dysfunctions in the sewage systems of Abidjan as a typical example of sewerage systems management challenges in SubSaharan Africa's large cities. Poor solid waste and wastewater management practices by residents, e.g., illegal dumping of solid waste into the sewers, unauthorized and defective connections to the network, structural dysfunctions related to the age of the network (cracked, denuded, or broken), urban agriculture in the vicinity of the channels, natural phenomena such as erosion, landslides in the undeveloped parts, and the high concentration of vegetation in the network, wholly contribute to the degradation of the network. A variety of decision support systems for the management of the assets of the urban sewage network were presented. The instruments have been categorized based on their capacity and functionality. The operating concept of each of these tools has been outlined, as well as their respective data needs. In addition, the study analyzes challenges related to the usage of existing decision support systems and provides an outlook on future research requirements in this area. This study offers a detailed analysis of the issues of sanitation management and could serve as a reference for other emerging nations in SubSaharan Africa.</t>
  </si>
  <si>
    <t>[Ouattara, Zie Adama] Univ Energy &amp; Nat Resources, Reg Ctr Energy &amp; Environm Sustainabil, Sunyani, Ghana; [Ouattara, Zie Adama; Kabo-Bah, Amos T.; Akpoti, Komlavi] Univ Energy &amp; Nat Resources, Dept Civil &amp; Environm Engn, Sunyani 214, Ghana; [Dongo, Kouassi] Univ Felix Houphouet Boigny Cocody, UFR Sci Terre &amp; Ressources Minieres, Sunyani, Cote Ivoire; [Dongo, Kouassi] Ctr Suisse Rech Sci Cote Ivoire, Abidjan, Cote Ivoire; [Akpoti, Komlavi] Int Water Management Inst IWMI, Cantonments Accra, Sunyani, Ghana</t>
  </si>
  <si>
    <t>CGIAR; International Water Management Institute (IWMI)</t>
  </si>
  <si>
    <t>Ouattara, ZA (corresponding author), Univ Energy &amp; Nat Resources, Dept Civil &amp; Environm Engn, Sunyani 214, Ghana.</t>
  </si>
  <si>
    <t>zie.ouattara.stu@uenr.edu.gh</t>
  </si>
  <si>
    <t>Akpoti, Komlavi/AAF-3251-2019</t>
  </si>
  <si>
    <t>Akpoti, Komlavi/0000-0001-6435-5116; Ouattara, Zie Adama/0000-0001-8030-6680</t>
  </si>
  <si>
    <t>Regional Center for Energy and Environmental Sustainability (RCEES) of the University of Energy; Natural Resources under the African Higher Education Centers of Excellence (ACE Impact) Project of World Bank</t>
  </si>
  <si>
    <t>This study was supported by the Regional Center for Energy and Environmental Sustainability (RCEES) of the University of Energy and Natural Resources under the African Higher Education Centers of Excellence (ACE Impact) Project of World Bank.</t>
  </si>
  <si>
    <t>10.1080/23311916.2023.2178125</t>
  </si>
  <si>
    <t>9W9VK</t>
  </si>
  <si>
    <t>WOS:000949424700001</t>
  </si>
  <si>
    <t>Pablo-Marti, F; Romanillos, G</t>
  </si>
  <si>
    <t>Pablo-Marti, Federico; Romanillos, Gustavo</t>
  </si>
  <si>
    <t>The naive map of the sixteenth century roads in Spain</t>
  </si>
  <si>
    <t>Road network; Philip II; capital city; Spain; naive map; &gt;</t>
  </si>
  <si>
    <t>This paper presents a naive map that attempts to reflect the vision that Philip II and his advisors probably had of the Spanish road network in the second half of the sixteenth century, a crucial aspect for the choice of the seat of the capital of the kingdom. The elaboration of the naive map was carried out in two phases: in the first, the road network was reconstructed based on a thorough revision of the primary sources that have survived to the present day. As these sources showed evident problems of completeness, the network was completed using mathematical methods, which were statistically contrasted. The analysis carried out is an important novelty since it shows that most of the transport in the Iberian Peninsula was channeled through the center following a radial structure with six principal axes two centuries before what has been traditionally considered.</t>
  </si>
  <si>
    <t>[Pablo-Marti, Federico] Univ Alcal, Complex Syst Social Sci SCCS, Madrid, Spain; [Pablo-Marti, Federico; Romanillos, Gustavo] Univ Complutense Madrid, Transport Infrastructure &amp; Terr tGIS Res Grp, Madrid, Spain; [Pablo-Marti, Federico] Univ Alcala, Fac Ciencias Econ Empresariales &amp; Turismo, Plazade Victoria 3, Madrid 28802, Spain</t>
  </si>
  <si>
    <t>Universidad de Alcala; Complutense University of Madrid; Universidad de Alcala</t>
  </si>
  <si>
    <t>Pablo-Marti, F (corresponding author), Univ Alcala, Fac Ciencias Econ Empresariales &amp; Turismo, Plazade Victoria 3, Madrid 28802, Spain.</t>
  </si>
  <si>
    <t>federico.pablo@uah.es</t>
  </si>
  <si>
    <t>10.1080/17445647.2023.2232360</t>
  </si>
  <si>
    <t>M3HI3</t>
  </si>
  <si>
    <t>WOS:001029118500001</t>
  </si>
  <si>
    <t>Palermo, TM; Davis, KD; Bouhassira, D; Hurley, RW; Katz, JD; Keefe, FJ; Schatman, M; Turk, DC; Yarnitsky, D</t>
  </si>
  <si>
    <t>Palermo, Tonya. M. M.; Davis, Karen Deborah; Bouhassira, Didier; Hurley, Robert. W. W.; Katz, Joel. D. D.; Keefe, Francis. J. J.; Schatman, Michael; Turk, Dennis. C. C.; Yarnitsky, David</t>
  </si>
  <si>
    <t>Promoting inclusion, diversity, and equity in pain science</t>
  </si>
  <si>
    <t>SEX; GENDER; ETHNICITY</t>
  </si>
  <si>
    <t>[Palermo, Tonya. M. M.; Katz, Joel. D. D.; Turk, Dennis. C. C.; Yarnitsky, David] Univ Washington, Dept Anesthesiol &amp; Pain Med, Seattle, WA 98195 USA; [Davis, Karen Deborah] Univ Toronto, Dept Surg, Toronto, ON, Canada; [Davis, Karen Deborah] Univ Toronto, Univ Hlth Network, Inst Med Sci, Krembil Brain Inst, Toronto, ON, Canada; [Bouhassira, Didier] Paris Saclay Univ, UVSQ, Inserm, U987,Ambroise Pare Hosp,APHP, Boulogne Billancourt, Paris, France; [Hurley, Robert. W. W.] Wake Forest Univ, Bowman Gray Sch Med, Dept Anesthesiol Neurobiol &amp; Anat, Winston Salem, NC USA; [Katz, Joel. D. D.; Yarnitsky, David] Rambam Med Ctr, Dept Neurol, Haifa, Israel; [Katz, Joel. D. D.; Yarnitsky, David] Technion, Fac Med, Lab Clin Neurophysiol, Haifa, Israel; [Keefe, Francis. J. J.] Duke Univ, Sch Med, Dept Psychiat &amp; Behav Sci, Durham, NC USA; [Schatman, Michael] NYU, Grossman Sch Med, Dept Anesthesiol Perioperat Care &amp; Pain Med, New York, NY USA; [Schatman, Michael] NYU, Grossman Sch Med, Dept Populat Hlth, Div Med Ethics, New York, NY USA; [Yarnitsky, David] Technion Fac Med, Rambam Med Ctr, Lab Clin Neurophysiol, Haifa, Israel</t>
  </si>
  <si>
    <t>University of Washington; University of Washington Seattle; University of Toronto; Krembil Research Institute; University of Toronto; University Health Network Toronto; Assistance Publique Hopitaux Paris (APHP); Hopital Universitaire Ambroise-Pare - APHP; Institut National de la Sante et de la Recherche Medicale (Inserm); UDICE-French Research Universities; Universite Paris Saclay; Wake Forest University; Wake Forest Baptist Medical Center; Rambam Health Care Campus; Technion Israel Institute of Technology; Rappaport Faculty of Medicine; Duke University; New York University; New York University; Technion Israel Institute of Technology; Rappaport Faculty of Medicine; Rambam Health Care Campus</t>
  </si>
  <si>
    <t>Palermo, TM (corresponding author), Univ Washington, Dept Anesthesiol &amp; Pain Med, Seattle, WA 98195 USA.</t>
  </si>
  <si>
    <t>tonya.palermo@seattlechildrens.org</t>
  </si>
  <si>
    <t>10.1080/24740527.2022.2161272</t>
  </si>
  <si>
    <t>9E9LB</t>
  </si>
  <si>
    <t>WOS:000937098500001</t>
  </si>
  <si>
    <t>Pan, JJ; Zou, YS; Tong, ML; Wang, J; Zhou, XY; Cheng, R; Yang, Y</t>
  </si>
  <si>
    <t>Pan, Jing-jing; Zou, Yun-su; Tong, Mei-ling; Wang, Jing; Zhou, Xiao-yu; Cheng, Rui; Yang, Yang</t>
  </si>
  <si>
    <t>Dose pulmonary hemorrhage increase the risk of bronchopulmonary dysplasia in very low birth weight infants?</t>
  </si>
  <si>
    <t>Pulmonary hemorrhage; bronchopulmonary dysplasia; very low birth weight; mechanical ventilation</t>
  </si>
  <si>
    <t>OUTCOMES</t>
  </si>
  <si>
    <t>Objective To evaluate the association between pulmonary hemorrhage and bronchopulmonary dysplasia (BPD) in very low birth weight infants (VLBWIs). Methods The study participants were all VLBW newborns admitted from January 1, 2019 to December 31, 2021. The BPD subjects finally included were VLBWIs who survived until the diagnosis was established. This study was divided into pulmonary hemorrhage group (PH group, n = 35) and non-pulmonary hemorrhage group (Non-PH group, n = 190). Results By univariate analysis it was found that premature rupture of membranes, tracheal intubation in the delivery room, duration of mechanical ventilation, course of invasive ventilation (&gt;= 3 courses), pulmonary surfactant (&gt;1 dose), medically and surgically treated patent ductus arteriosus, grade III-IV RDS, early onset sepsis, BPD and moderate to severe BPD showed significant differences between groups (p &lt; .05). By Multivariate analysis, pulmonary hemorrhage did not increase the risks of BPD and moderate to severe BPD (adjusted OR for BPD = 1.710, 95% CI 0.581-5.039; adjusted OR for moderate to severe BPD = 2.401, 95% CI 0.736-7.834). Conclusion It suggests that pulmonary hemorrhage is not associated with the development of BPD and moderate to severe BPD in VLBWIs.</t>
  </si>
  <si>
    <t>[Pan, Jing-jing] Jiangsu Prov Maternal &amp; Child Hlth Hosp, Dept Neonates, Nanjing, Jiangsu, Peoples R China; [Zou, Yun-su; Zhou, Xiao-yu; Cheng, Rui; Yang, Yang] Nanjing Med Univ, Childrens Hosp, Dept Neonates, Nanjing, Jiangsu, Peoples R China; [Tong, Mei-ling; Wang, Jing; Yang, Yang] Nanjing Med Univ, Nanjing Matern &amp; Child Hlth Care Hosp, Womens Hosp, Dept Child Healthcare, Nanjing, Jiangsu, Peoples R China; [Yang, Yang] Nanjing Med Univ, Childrens Hosp, Dept Neonates, Nanjing 210008, Jiangsu, Peoples R China</t>
  </si>
  <si>
    <t>Nanjing Medical University; Nanjing Medical University; Nanjing Medical University</t>
  </si>
  <si>
    <t>Yang, Y (corresponding author), Nanjing Med Univ, Childrens Hosp, Dept Neonates, Nanjing 210008, Jiangsu, Peoples R China.</t>
  </si>
  <si>
    <t>yy860507@126.com</t>
  </si>
  <si>
    <t>10.1080/14767058.2023.2206941</t>
  </si>
  <si>
    <t>E5WY8</t>
  </si>
  <si>
    <t>WOS:000976256800001</t>
  </si>
  <si>
    <t>Park, YS; Kim, J; Ryu, YS; Moon, JH; Shin, YJ; Kim, JH; Hong, SW; Jung, SA; Lee, S; Kim, SM; Lee, DH; Kim, DY; Yun, H; You, JE; Yoon, DI; Kim, CH; Koh, DI; Jin, DH</t>
  </si>
  <si>
    <t>Park, Yoon Sun; Kim, Joseph; Ryu, Yea Seong; Moon, Jai-Hee; Shin, Yu Jin; Kim, Jeong Hee; Hong, Seung-Woo; Jung, Soo-A; Lee, Seul; Kim, Seung-Mi; Lee, Dae Hee; Kim, Do Yeon; Yun, Hyeseon; You, Ji-Eun; Yoon, Dong Il; Kim, Chul Hee; Koh, Dong-In; Jin, Dong-Hoon</t>
  </si>
  <si>
    <t>Mutant PIK3CA as a negative predictive biomarker for treatment with a highly selective PIM1 inhibitor in human colon cancer</t>
  </si>
  <si>
    <t>PIM1; PIK3CA; mutant KRAS; colorectal cancer; predictive marker</t>
  </si>
  <si>
    <t>SERINE/THREONINE KINASE-ACTIVITY; I PI3 KINASE; REGULATES GLYCOLYSIS; ACQUIRED-RESISTANCE; TUMOR-GROWTH; OPEN-LABEL; THERAPY; PATHWAY; IDENTIFICATION; POTENT</t>
  </si>
  <si>
    <t>Significant improvement in targeted therapy for colorectal cancer (CRC) has occurred over the past few decades since the approval of the EGFR inhibitor cetuximab. However, cetuximab is used only for patients possessing the wild-type oncogene KRAS, NRAS, and BRAF, and even most of these eventually acquire therapeutic resistance, via activation of parallel oncogenic pathways such as RAS-MAPK or PI3K/Akt/mTOR. The two aforementioned pathways also contribute to the development of therapeutic resistance in CRC patients, due to compensatory and feedback mechanisms. Therefore, combination drug therapies (versus monotherapy) targeting these multiple pathways may be necessary for further efficacy against CRC. In this study, we identified PIK3CA mutant (PIK3CA MT) as a determinant of resistance to SMI-4a, a highly selective PIM1 kinase inhibitor, in CRC cell lines. In CRC cell lines, SMI-4a showed its effect only in PIK3CA wild type (PIK3CA WT) cell lines, while PIK3CA MT cells did not respond to SMI-4a in cell death assays. In vivo xenograft and PDX experiments confirmed that PIK3CA MT is responsible for the resistance to SMI-4a. Inhibition of PIK3CA MT by PI3K inhibitors restored SMI-4a sensitivity in PIK3CA MT CRC cell lines. Taken together, these results demonstrate that sensitivity to SMI-4a is determined by the PIK3CA genotype and that co-targeting of PI3K and PIM1 in PIK3CA MT CRC patients could be a promising and novel therapeutic approach for refractory CRC patients.</t>
  </si>
  <si>
    <t>[Park, Yoon Sun; Kim, Joseph; Ryu, Yea Seong; Moon, Jai-Hee; Shin, Yu Jin; Kim, Jeong Hee; Hong, Seung-Woo; Jung, Soo-A; Lee, Seul; Kim, Seung-Mi; Lee, Dae Hee; Kim, Do Yeon; Yun, Hyeseon; You, Ji-Eun; Yoon, Dong Il; Kim, Chul Hee; Koh, Dong-In] Asan Med Ctr, Asan Inst Life Sci, Seoul, South Korea; [Park, Yoon Sun; Kim, Joseph; Kim, Do Yeon; Yun, Hyeseon; You, Ji-Eun; Yoon, Dong Il; Kim, Chul Hee] Univ Ulsan, Asan Med Inst Convergence Sci &amp; Technol, Asan Med Ctr, Dept Med Sci,Coll Med, Seoul, South Korea; [Jin, Dong-Hoon] Univ Ulsan, Dept Pharmacol, Coll Med, Seoul, South Korea; [Jin, Dong-Hoon] Asan Med Ctr, Asan Inst Life Sci, Dept Convergence Med, Seoul, South Korea</t>
  </si>
  <si>
    <t>University of Ulsan; Asan Medical Center; University of Ulsan; Asan Medical Center; University of Ulsan; University of Ulsan; Asan Medical Center</t>
  </si>
  <si>
    <t>Jin, DH (corresponding author), Asan Med Ctr, Asan Inst Life Sci, Dept Convergence Med, Seoul, South Korea.</t>
  </si>
  <si>
    <t>inno183@amc.seoul.kr</t>
  </si>
  <si>
    <t>10.1080/15384047.2023.2246208</t>
  </si>
  <si>
    <t>Q0RI1</t>
  </si>
  <si>
    <t>WOS:001054669300001</t>
  </si>
  <si>
    <t>Pekcan, MK; Tokmak, A; Ulubasoglu, H; Kement, M; Özaksit, G</t>
  </si>
  <si>
    <t>Pekcan, Meryem Kuru; Tokmak, Aytekin; Ulubasoglu, Hasan; Kement, Mervenur; Ozaksit, Gulnur</t>
  </si>
  <si>
    <t>The importance of infertility duration and follicle size according to pregnancy success in women undergoing ovulation induction with gonadotropins and intrauterine insemination</t>
  </si>
  <si>
    <t>Follicle size; gonadotropin; infertility duration; intrauterine insemination; live birth; pregnancy</t>
  </si>
  <si>
    <t>UNEXPLAINED INFERTILITY; CLOMIPHENE CITRATE; CYCLES; TIME</t>
  </si>
  <si>
    <t>In this study, we aimed to evaluate the effect of infertility duration and dominant follicle size measured on the day of human chorionic gonadotropin (HCG) administration on pregnancy rates in infertile women undergoing ovulation induction (OI) with gonadotropin (GND). A total of 352 patients aged 20 to 41 years who were diagnosed with unexplained infertility or polycystic ovary syndrome (PCOS) were included in this study. Patients with a history of multifollicular development or follicle stimulating hormone (FSH) value more than 12 IU/ml were excluded from the study. The demographic and clinical features of the patients were obtained from the patients' files and hospital automation system and recorded for each woman. The demographic and clinical features of the patients were recorded. Patients were divided into two groups as live birth (group 1, n = 47) and non-live birth groups (group 2, n = 305). There were no statistically significant differences in regard to age, infertility type, follicle stimulating hormone (FSH) level, oestradiol (E2) level, antral follicle count (AFC), cycle characteristics, GND type, number of follicles, E2 level and endometrial thickness on HCG day, total GND dose, dominant follicle size (p &gt; 0.05). Infertility duration in group 1 was 3.5 +/- 2.1; in group 2, 4.7 +/- 3.9 years. This difference was statistically significant (p = .014). According to this study, live birth rates after GND + IUIs(intrauterine insemination) were significantly affected by the duration of infertility. But the dominant follicle size and endometrial thickness measured on HCG day in GND and IUI cycles did not have a significant effect on pregnancy rates. IMPACT STATEMENT What is already known on the subject? It is thought that the timing of the ovarian triggering is vital for the success of intrauterine insemmination (IUI) treatment. What do the results of this study add? According to our results live birth rates after GND + IUIs were significantly affected by the duration of infertility. What are the implications of these findings for clinical practice and/or further research? It is determined that the duration of infertility is significant and patients should be encouraged to the treatment as soon as possible.</t>
  </si>
  <si>
    <t>[Pekcan, Meryem Kuru; Tokmak, Aytekin; Ulubasoglu, Hasan; Kement, Mervenur; Ozaksit, Gulnur] Univ Hlth Sci, Ankara City Hosp, Ankara, Turkiye</t>
  </si>
  <si>
    <t>City Hospital Ankara; University of Health Sciences Turkey</t>
  </si>
  <si>
    <t>Pekcan, MK (corresponding author), Univ Hlth Sci, Ankara City Hosp, Dept Reprod Endocrinol, Ankara, Turkiye.</t>
  </si>
  <si>
    <t>meryemkuru@gmail.com</t>
  </si>
  <si>
    <t>Tokmak, Aytekin/K-8296-2016; KURU PEKCAN, MERYEM/IWU-8749-2023; Pekcan, Meryem Kuru/I-3578-2018</t>
  </si>
  <si>
    <t>Tokmak, Aytekin/0000-0001-5739-5689; Pekcan, Meryem Kuru/0000-0002-4144-2900; Kement, Mervenur/0000-0002-4806-5642</t>
  </si>
  <si>
    <t>10.1080/01443615.2023.2173058</t>
  </si>
  <si>
    <t>9W4NN</t>
  </si>
  <si>
    <t>WOS:000949055200001</t>
  </si>
  <si>
    <t>Pendleton, AA; Dutta, R; Shukla, M; Jayaram, A; Gadgil, A; Hembram, S; Roy, N; Raykar, NP</t>
  </si>
  <si>
    <t>Pendleton, Anna Alaska; Dutta, Rohini; Shukla, Minal; Jayaram, Anusha; Gadgil, Anita; Hembram, Sasmita; Roy, Nobhojit; Raykar, Nakul P. P.</t>
  </si>
  <si>
    <t>What to scale first? A cross-sectional analysis of factors affecting cesarean delivery rates at first referral units in Bihar, India</t>
  </si>
  <si>
    <t>Cesarean delivery; task-sharing; India; obstetric capacity; EmOC</t>
  </si>
  <si>
    <t>Background Low rates of caesarean delivery (CD) (&lt;10%) hinder access to a lifesaving procedure for the most vulnerable populations in low-resource settings, but there is a paucity of data regarding which factors contribute most to CD rates. Objectives We aimed to determine caesarean delivery rates at Bihar's first referral units (FRUs) stratified by facility level (regional, sub-district, district). The secondary aim was to identify facility-level factors associated with caesarean delivery rates. Methods This cross-sectional study used open-source national datasets from government FRUs in Bihar, India, from April 2018-March 2019. Multivariate Poisson regression analysed association of infrastructure and workforce factors with CD rates. Results Of 546,444 deliveries conducted at 149 FRUs, 16961 were CDs, yielding a state-wide FRU CD of 3.1%. There were 67 (45%) regional hospitals, 45 (30%) sub-district hospitals, and 37 (25%) district hospitals. Sixty-one percent of FRUs qualified as having intact infrastructure, 84% had a functioning operating room, but only 7% were LaQshya (Labour Room Quality Improvement Initiative) certified. Considering workforce, 58% had an obstetrician-gynaecologist (range 0-10), 39% had an anaesthetist (range 0-5), and 35% had a provider trained in Emergency Obstetric Care (EmOC) (range 0-4) through a task-sharing initiative. The majority of regional hospitals lack the essential workforce and infrastructure to perform CDs. Multivariate regression including all FRUs performing deliveries demonstrated that presence of a functioning operating room (IRR = 21.0, 95%CI 7.9-55.8, p &lt; 0.001) and the number of obstetrician-gynaecologists (IRR = 1.3, 95%CI 1.1-1.4, p = 0.001) and EmOCs (IRR = 1.6, 95%CI 1.3-1.9, p &lt; 0.001) were associated with facility-level CD rates. Conclusion Only 3.1% of the institutional childbirths in Bihar's FRUs were by CD. The presence of a functional operating room, obstetrician, and task-sharing provider (EmOC) was strongly associated with CD. These factors may represent initial investment priorities for scaling up CD rates in Bihar.</t>
  </si>
  <si>
    <t>[Pendleton, Anna Alaska; Dutta, Rohini; Jayaram, Anusha; Raykar, Nakul P. P.] Harvard Med Sch, Dept Global Hlth &amp; Social Med, Program Global Surg &amp; Social Change, Boston, MA USA; [Pendleton, Anna Alaska] Massachusetts Gen Hosp Boston, Dept Vasc &amp; Endovasc Surg, Boston, MA USA; [Dutta, Rohini; Gadgil, Anita; Hembram, Sasmita; Roy, Nobhojit] WHO, Collaborating Ctr Res Surg Care Delivery Low &amp; Mid, Mumbai, India; [Shukla, Minal] Care India, Patna, India; [Jayaram, Anusha] Tufts Univ, Sch Med, Boston, MA USA; [Roy, Nobhojit] Karolinska Inst, Dept Publ Hlth Syst, SE-17177 Stockholm, Sweden; [Raykar, Nakul P. P.] Brigham &amp; Womens Hosp, Dept Surg, Div Trauma Emergency Surg Surg Crit Care, Boston, MA USA</t>
  </si>
  <si>
    <t>Harvard University; Harvard Medical School; Harvard University; Massachusetts General Hospital; World Health Organization; Tufts University; Karolinska Institutet; Harvard University; Brigham &amp; Women's Hospital</t>
  </si>
  <si>
    <t>Roy, N (corresponding author), Karolinska Inst, Dept Publ Hlth Syst, SE-17177 Stockholm, Sweden.</t>
  </si>
  <si>
    <t>nobhojit.roy@ki.se</t>
  </si>
  <si>
    <t>Dutta, Rohini/AAS-6962-2021</t>
  </si>
  <si>
    <t>Dutta, Rohini/0000-0002-9674-0067; Raykar, Nakul/0000-0003-1825-7333; Roy, Nobhojit/0000-0003-2022-7416; Jayaram, Anusha/0000-0003-3776-7419</t>
  </si>
  <si>
    <t>10.1080/16549716.2023.2202465</t>
  </si>
  <si>
    <t>F1CX2</t>
  </si>
  <si>
    <t>WOS:000979806700001</t>
  </si>
  <si>
    <t>Peng, Q; Ge, SY; Li, WY; Xiao, LS; Fu, J; Yu, Q; Zhao, ZY; Gao, J</t>
  </si>
  <si>
    <t>Peng, Qian; Ge, Shiya; Li, Weiyue; Xiao, Lishan; Fu, Jing; Yu, Qiang; Zhao, Zhenyu; Gao, Jun</t>
  </si>
  <si>
    <t>Identification of densely populated-informal settlements and their role in Chinese urban sustainability assessment</t>
  </si>
  <si>
    <t>SDG 11.1; multi-source geographic information data; machine learning; densely populated-informal settlements; localization indicators</t>
  </si>
  <si>
    <t>LAND-USE; VILLAGES; URBANIZATION; IMAGERY; COVER; CLASSIFICATION; EXTRACTION; NDVI; CITY</t>
  </si>
  <si>
    <t>China's National Plan on Implementation of the 2030 Agenda for Sustainable Development identified the upgrading of urban shantytowns, urban villages, and dilapidated houses as an important initiative to implement the Sustainable Development Goal (SDG) 11.1. However, informal housing being used as temporary housing by low-income families (especially in megacities) has resulted in informal settlements that are usually densely populated, dilapidated, and disorganized. Identifying targets based on deep learning and single very high-resolution images remains a challenging task. Here, we used multi-source geographic information data and machine-learning methods to identify and compare the distribution of densely populated?informal settlements (DPISs) and measured population ratios within the urban areas of three Chinese first-tier cities: Beijing, Shanghai, and Guangzhou. Our results indicate that DPISs occupy 1.98%, 0.67%, and 3.95% of the total area in these study regions, with population densities of 42,800 people/km2, 7,100 people/km2, and 20,800 people/km2, respectively. Further, significant variability existed in the distribution of DPISs, population ratios, and composition of the study areas. DPISs reflected the rapid urbanization process in China and the planning of the city, which can be used as an indicator of sustainable urban development in China.KEY POLICY HIGHLIGHTS? Localizing SDGs indicators to study areas and incorporating regional variations and specific characteristics enhanced the understanding of their role in regional sustainable development.? DPISs were introduced in this study; the similarities and differences were made between DPIS and SDG indicators.? Contrasting distribution patterns of DPISs in Beijing, Shanghai, and Guangzhou revealed distinct regional disparities and urban development dynamics.? Integration of multi-source remote sensing data enabled comprehensive analysis of complex features and spatial patterns of DPISs.? Exploration of the intricate relationship between DPISs and urbanization unveiled challenges and potential opportunities for inclusive urban development.</t>
  </si>
  <si>
    <t>[Peng, Qian; Ge, Shiya; Li, Weiyue; Xiao, Lishan; Fu, Jing; Yu, Qiang; Zhao, Zhenyu; Gao, Jun] Shanghai Normal Univ, Dept Geog &amp; Environm Sci, Shanghai, Peoples R China; [Li, Weiyue; Gao, Jun] Shanghai Yangtze River Delta Urban Wetland Ecosyst, Shanghai, Peoples R China</t>
  </si>
  <si>
    <t>Shanghai Normal University</t>
  </si>
  <si>
    <t>Li, WY; Yu, Q (corresponding author), Shanghai Normal Univ, Dept Geog &amp; Environm Sci, Shanghai, Peoples R China.;Li, WY (corresponding author), Shanghai Yangtze River Delta Urban Wetland Ecosyst, Shanghai, Peoples R China.</t>
  </si>
  <si>
    <t>lwy326@shnu.edu.cn; yuqiang@shnu.edu.cn</t>
  </si>
  <si>
    <t>We thank many students (including Jingbo Wang, Yi Du, Xun Yu, and Kunqin Liu) from the Department of Geography and Environmental Sciences, Shanghai Normal University for their hard work in processing remote sensing images and extracting densely populated?i</t>
  </si>
  <si>
    <t>We thank many students (including Jingbo Wang, Yi Du, Xun Yu, and Kunqin Liu) from the Department of Geography and Environmental Sciences, Shanghai Normal University for their hard work in processing remote sensing images and extracting densely populated?informal settlements.</t>
  </si>
  <si>
    <t>10.1080/15481603.2023.2249748</t>
  </si>
  <si>
    <t>P9OE1</t>
  </si>
  <si>
    <t>WOS:001053891000001</t>
  </si>
  <si>
    <t>Prianti, DD</t>
  </si>
  <si>
    <t>Prianti, Desi Dwi</t>
  </si>
  <si>
    <t>When images hurt hyper-reality and symbolic violence in Indonesian men's lifestyle magazines</t>
  </si>
  <si>
    <t>symbolic violence; hyper-reality; doxa; colonialism; men's magazines; practice of looking</t>
  </si>
  <si>
    <t>PATTERNS; BODY</t>
  </si>
  <si>
    <t>In Western culture, the practice of looking has traditionally been perceived as an act of dominance. Enacted by the male gaze, looking implies an active position, whilst to be looked at implies a passive position. However, in the case of Indonesian men's lifestyle magazines, these practices of looking fuel the internalisation of inferiority on the part of Indonesian subjects. Emerging from its colonial past, contemporary Indonesia continues to be confronted with a persistent colonial order of things-an imaginary structure that is highly hierarchical and rooted in the colonial legacy. Notably, this colonial discourse also impacts men and masculinity. By analysing seven different men's lifestyle magazines spanning the period from the earliest magazines published in the mid-1970s until 2015 and providing analyses of other sociocultural practices in Indonesian society, in this article I interrogate the internalisation of this colonial discourse and the symbolic violence that Indonesians enact upon themselves in the process. In order to untangle the deep-rooted and complex inlander mentality marked by colonialism, I demonstrate how doxa, in the form of hyper-reality, produce symbolic violence between spectators and spectacles.</t>
  </si>
  <si>
    <t>[Prianti, Desi Dwi] Univ Brawijaya, Fak Ilmu Sosial &amp; Ilmu Polit, Jurusan Ilmu Komunikasi, Jalan Vet, Malang 65145, Indonesia; [Prianti, Desi Dwi] Univ Brawijaya, Ctr Culture &amp; Frontier Studies CCFS, Malang, Indonesia; [Prianti, Desi Dwi] Univ Brawijaya, Commun Sci Dept, Malang, Indonesia</t>
  </si>
  <si>
    <t>Brawijaya University; Brawijaya University; Brawijaya University</t>
  </si>
  <si>
    <t>Prianti, DD (corresponding author), Univ Brawijaya, Fak Ilmu Sosial &amp; Ilmu Polit, Jurusan Ilmu Komunikasi, Jalan Vet, Malang 65145, Indonesia.</t>
  </si>
  <si>
    <t>desidwip@ub.ac.id</t>
  </si>
  <si>
    <t>Prianti, Desi/0000-0001-7101-1864</t>
  </si>
  <si>
    <t>10.1080/23311886.2023.2194737</t>
  </si>
  <si>
    <t>C0UP3</t>
  </si>
  <si>
    <t>WOS:000959176900001</t>
  </si>
  <si>
    <t>Pu, XX; Xu, QW; Wang, JX; Liu, BY</t>
  </si>
  <si>
    <t>Pu, Xiaoxin; Xu, Qinwei; Wang, Jinxiang; Liu, Baoyi</t>
  </si>
  <si>
    <t>The continuing discovery on the evidence for RNA editing in SARS-CoV-2</t>
  </si>
  <si>
    <t>Evidence; C-to-U RNA editing; SARS-CoV-2; evolution; APOBEC motif</t>
  </si>
  <si>
    <t>Recent studies have presented strong evidence that C-to-U RNA editing is the driving force that fuels severe acute respiratory syndrome coronavirus 2 (SARS-CoV-2) evolution. The findings finally ended the long-term debate on the evolutionary driving force behind SARS-CoV-2 evolution. Here, we would first acknowledge the breakthroughs made by the recent works, such as using the global SARS-CoV-2 data to demonstrate the major mutation source of this virus. Meanwhile, we would raise a few concerns on the accuracy of their interpretation on C-to-U RNA editing. By re-analysing the SARS-CoV-2 population data, we found that the editing frequency on C-to-U sites did not perfectly correlate with the binding motif of the editing enzyme APOBEC, suggesting that there might be false-positive sites among the C-to-U mutations or the original data did not fully represent the novel mutation rate. We hope our work could help people understand the molecular basis underlying SARS-CoV-2 mutation and also be useful to guide future studies on SARS-CoV-2 evolution.</t>
  </si>
  <si>
    <t>[Pu, Xiaoxin; Xu, Qinwei; Wang, Jinxiang] Shandong Univ, Qilu Hosp Qingdao, Cheeloo Coll Med, Dept Resp &amp; Crit Care Med, Qingdao, Peoples R China; [Liu, Baoyi] Shandong Univ, Qilu Hosp, Cheeloo Coll Med, Dept Resp &amp; Crit Care Med, Jinan, Peoples R China; [Pu, Xiaoxin] Shandong Univ, Qilu Hosp Qingdao, Cheeloo Coll Med, Dept Resp &amp; Crit Care Med, Qingdao 266000, Peoples R China</t>
  </si>
  <si>
    <t>Shandong University; Shandong University; Shandong University</t>
  </si>
  <si>
    <t>Pu, XX (corresponding author), Shandong Univ, Qilu Hosp Qingdao, Cheeloo Coll Med, Dept Resp &amp; Crit Care Med, Qingdao 266000, Peoples R China.</t>
  </si>
  <si>
    <t>shirleypu1989@163.com</t>
  </si>
  <si>
    <t>10.1080/15476286.2023.2214437</t>
  </si>
  <si>
    <t>G4YO0</t>
  </si>
  <si>
    <t>WOS:000989230200001</t>
  </si>
  <si>
    <t>Purboadji, A</t>
  </si>
  <si>
    <t>Purboadji, Aristo</t>
  </si>
  <si>
    <t>Can theosis deradicalize Christian fundamentalism?</t>
  </si>
  <si>
    <t>Theosis; deradicalization; fundamentalism mindsets; Pratt's typology; religious education</t>
  </si>
  <si>
    <t>There has been a lot of concerns about the rise of fundamentalism in Christianity lately, especially since the January 6 Capitol Hill storming, that many see as the line in the sand as far as far-right is concerned. Consequently, the need to deradicalize that particular group within Christianity has been brought up to the fore. This study suggests that the doctrine of theosis can be utilized as Religious-Education-form of Deradicalization of Christian fundamentalism as has been done by Papanikolaou , whose work I view as an effort to deradicalize the Radical Orthodoxy in its rejection of liberal democracy. This study concludes that theosis combined with hermeneutics of charity has the potential to deradicalize five fundamentalism mindsets within Christianity and advocates it beyond Orthodoxy.</t>
  </si>
  <si>
    <t>[Purboadji, Aristo] STT Tiberias Jakarta,Ruko Roxy Mas Blok D1, Kota Jakarta Pusat, Indonesia</t>
  </si>
  <si>
    <t>Purboadji, A (corresponding author), STT Tiberias Jakarta,Ruko Roxy Mas Blok D1, Kota Jakarta Pusat, Indonesia.</t>
  </si>
  <si>
    <t>aristo78@icloud.com</t>
  </si>
  <si>
    <t>10.1080/23311983.2022.2160580</t>
  </si>
  <si>
    <t>7B1VZ</t>
  </si>
  <si>
    <t>WOS:000898931200001</t>
  </si>
  <si>
    <t>Raina, AA; Patel, M; Somagond, A; Jeyakumar, S; Selvan, RPT; Gowane, GR; Krishnaswamy, N; Joyappa, DH; Ramesha, K; Vijayapillai, U; Bhanuprakash, V; Gaur, GK; Dutt, T</t>
  </si>
  <si>
    <t>Raina, Aamir Ahmad; Patel, Manjunatha; Somagond, Arun; Jeyakumar, Sakthivel; Selvan, Ramasamy Periyasamy Tamil; Gowane, Gopal Ramdasji; Krishnaswamy, Narayanan; Joyappa, Dechamma Hosur; Ramesha, Kerekoppa; Vijayapillai, Umapathi; Bhanuprakash, Veerakyathappa; Gaur, Gyanendra Kumar; Dutt, Triveni</t>
  </si>
  <si>
    <t>Effect of foot-and-mouth disease vaccination on acute phase response and milk production in the Holstein-Friesian crossbred cow</t>
  </si>
  <si>
    <t>Foot-and-mouth disease; vaccination; milk; haptoglobin; cow; &gt;</t>
  </si>
  <si>
    <t>STRESS; IMPACT; VIRUS</t>
  </si>
  <si>
    <t>The study investigated the effects of FMD vaccination on acute phase response and milk composition in the HF crossbred cows (n = 12) using a cross-over experimental design. In trial 1, one group (n = 6) received inactivated trivalent oil-adjuvanted FMD vaccine [day post-vaccination, (dpv) 0], while the mock-vaccinated group received saline (n = 6). After a cooling period of 15 days, the trial was repeated by swapping groups. The body temperature, dry matter intake (DMI) and milk yield were recorded. Haemato-biochemical parameters, haptoglobin and cortisol concentrations were also assessed. A significant (p &lt; 0.05) increase in the neutralizing antibody response to FMDV serotype O and Asia1 indicated a positive immune response. A significant (p &lt; 0.05) increase of 0.4 &amp; DEG; to 0.6 &amp; DEG;C in the body temperature, decrease of 0.7-0.8 kg in DMI along with an increase in the serum haptoglobin, total leukocyte count and neutrophils within dpv 2 indicated acute phase response in the FMD vaccinated group. Among the milk constituents, only milk fat (p = 0.053) was significant. It was concluded that FMD vaccination induced acute phase response within dpv 3 in the crossbred cows and caused a non-significant reduction in the milk yield on the day of vaccination.</t>
  </si>
  <si>
    <t>[Raina, Aamir Ahmad; Somagond, Arun; Gaur, Gyanendra Kumar; Dutt, Triveni] Indian Vet Res Inst IVRI, Indian Council Agr Res ICAR, Livestock Prod &amp; Management Sect, Izatnagar, India; [Patel, Manjunatha; Selvan, Ramasamy Periyasamy Tamil; Krishnaswamy, Narayanan; Joyappa, Dechamma Hosur; Vijayapillai, Umapathi; Bhanuprakash, Veerakyathappa] ICAR IVRI, Hebbal Campus, Bengaluru 560024, Karnataka, India; [Jeyakumar, Sakthivel; Ramesha, Kerekoppa] ICAR Natl Dairy Res Inst NDRI, Southern Reg Stn, Bengaluru, India; [Gowane, Gopal Ramdasji] ICAR NDRI, Karnal, India</t>
  </si>
  <si>
    <t>Indian Council of Agricultural Research (ICAR); ICAR - Indian Veterinary Research Institute; Indian Council of Agricultural Research (ICAR); ICAR - Indian Veterinary Research Institute; Indian Council of Agricultural Research (ICAR); ICAR - National Dairy Research Institute; Indian Council of Agricultural Research (ICAR); ICAR - National Dairy Research Institute</t>
  </si>
  <si>
    <t>Patel, M (corresponding author), ICAR IVRI, Hebbal Campus, Bengaluru 560024, Karnataka, India.</t>
  </si>
  <si>
    <t>manjunatha.patel@icar.gov.in</t>
  </si>
  <si>
    <t>Gowane, Gopal/0000-0001-6535-7818</t>
  </si>
  <si>
    <t>ICAR-Indian Veterinary Research Institute, Izatnagar, Bareilly, UP 243 122 India [IXX15232]</t>
  </si>
  <si>
    <t>ICAR-Indian Veterinary Research Institute, Izatnagar, Bareilly, UP 243 122 India</t>
  </si>
  <si>
    <t>This work was supported by an intramural grant, IXX15232 to Narayanan Krishnaswamy by ICAR-Indian Veterinary Research Institute, Izatnagar, Bareilly, UP 243 122 India.</t>
  </si>
  <si>
    <t>10.1080/09712119.2023.2229409</t>
  </si>
  <si>
    <t>L1ZL1</t>
  </si>
  <si>
    <t>WOS:001021306200001</t>
  </si>
  <si>
    <t>Rajagopalan, K; Rashid, N; Kumar, S; Doshi, D</t>
  </si>
  <si>
    <t>Rajagopalan, Krithika; Rashid, Nazia; Kumar, Shikhar; Doshi, Dilesh</t>
  </si>
  <si>
    <t>Health care resource utilization patterns among patients with Parkinson's disease psychosis: analysis of Medicare beneficiaries treated with pimavanserin or other-atypical antipsychotics</t>
  </si>
  <si>
    <t>Parkinson's disease; psychosis; pimavanserin; atypical antipsychotics; HCRU; health care resource utilization; hospitalizations</t>
  </si>
  <si>
    <t>SYMPTOMS; DISORDERS</t>
  </si>
  <si>
    <t>Background Pimavanserin (PIM) is the only FDA-approved atypical antipsychotic (AAP) for hallucinations and delusions associated with Parkinson's disease psychosis (PDP). Comparative real-world analyses demonstrating its benefits are needed. Objectives To evaluate health care resource utilization (HCRU) outcomes among PDP patients treated with PIM vs. other-AAPs. Methods Retrospective cohort analysis of Parts A, B, and D claims from 100% Medicare sample from 01 January 2013-31 December 2019 was conducted. PDP Patients initiating (i.e. index date) continuous monotherapy (PIM vs. other-AAPs) for &gt;= 12-months during 01 January 2014-31 December 2018 without 12-months pre-index AAP use were selected after 1:1 propensity score matching (PSM) on 31 variables (sex, race, region, age, and 27 Elixhauser comorbidities). HCRU outcomes included: annual all-cause and psychiatric hospitalization (short-term stay, long-term stay, and SNF-stay [skilled nursing facility]) rates, annual all-cause and psychiatric-ER visit rates, mean per-patient-per-year (PPPY) hospitalizations, and average length of stay (ALOS). PIM and other-AAPs were compared using generalized linear models (GLM) controlled for demographic characteristics, comorbidities, coexisting-dementia, and coexisting insomnia. Results Of 12,164 PDP patients, 48.41% (n = 5,889) were female, and mean age was 77 (+/- 8.14) years. Among 1:1 matched patients (n = 842 in each), 37.8% (n = 319) on PIM vs. 49.8% (n = 420) on other-AAPs (p &lt; .05) reported &gt;= 1 all-cause hospitalizations, respectively. Specifically, short-term and SNF-stay among PIM patients vs. other-AAPs were: 34% (n = 286) vs. 46.2% (n = 389) and 20.2% (n = 170) vs. 31.8% (n = 267) (p &lt; .05), respectively. Similarly, 9.6% (n = 81) of PIM vs. 14.6% (n = 123) of other-AAPs patients had &gt;= 1 psychiatric hospitalization (p &lt; .05). Furthermore, &gt;= 1 all-cause and psychiatric ER visit among PIM vs. other-AAPs were 61.6% (n = 519) vs. 69.4% (n = 584) and 5.2% (n = 43) vs. 10.2% (n = 86) (p &lt; .05), respectively. PIM also had significantly lower ALOS, and mean PPPY short-term hospitalization and SNF-stays. Conclusions In this analysis of PDP patients, PIM monotherapy resulted in nearly 12% and 7% lower all-cause hospitalizations and ER visits vs. other-AAPs.</t>
  </si>
  <si>
    <t>[Rajagopalan, Krithika; Kumar, Shikhar] Anlitiks Inc, Dover, MA 02030 USA; [Rashid, Nazia; Doshi, Dilesh] Acadia Pharmaceut, San Diego, CA USA</t>
  </si>
  <si>
    <t>Acadia Pharmaceuticals Inc.</t>
  </si>
  <si>
    <t>Rajagopalan, K (corresponding author), Anlitiks Inc, Dover, MA 02030 USA.</t>
  </si>
  <si>
    <t>kr.rajagopalan@anlitiks.com</t>
  </si>
  <si>
    <t>Rajagopalan, Krithika/0000-0002-4878-0822</t>
  </si>
  <si>
    <t>Acadia Pharmaceuticals</t>
  </si>
  <si>
    <t>This study was financially sponsored by Acadia Pharmaceuticals</t>
  </si>
  <si>
    <t>10.1080/13696998.2022.2152600</t>
  </si>
  <si>
    <t>6Y5AB</t>
  </si>
  <si>
    <t>WOS:000897106500001</t>
  </si>
  <si>
    <t>Rampheri, MB; Dube, T; Dondofema, F; Dalu, T</t>
  </si>
  <si>
    <t>Rampheri, Mangana B. B.; Dube, Timothy; Dondofema, Farai; Dalu, Tatenda</t>
  </si>
  <si>
    <t>Identification and delineation of groundwater-dependent ecosystems (GDEs) in the Khakea-Bray transboundary aquifer region using geospatial techniques</t>
  </si>
  <si>
    <t>GEOCARTO INTERNATIONAL</t>
  </si>
  <si>
    <t>Analytical hierarchy process; explanatory variables; groundwater-dependent ecosystems; Khakea-Bray transboundary aquifer; Sentinel-2</t>
  </si>
  <si>
    <t>WETLAND DELINEATION; RESOURCE-MANAGEMENT; VEGETATION; WATER; SATELLITE; PATTERNS; CLIMATE; GIS</t>
  </si>
  <si>
    <t>Identifying and delineating groundwater-dependent ecosystems (GDEs) is critical in understanding their location, distribution and groundwater allocation. However, this information is inadequately understood due to limited available data for most areas where they occur. Thus, this study aims to address this gap using remotely sensed, analytical hierarchy process (AHP) and in situ data to identify and delineate GDEs in the Khakea-Bray transboundary aquifer region. The study tested various spatial-explicit GDE indices that integrates environmental factors that predict occurrence of GDEs. These include the normalized difference vegetation index as a proxy for vegetation productivity and modified normalized difference water index as proxy for moisture availability, land-use and landcover, topographical factors such as slope, topographic wetness index, flow accumulation and curvature. The GDEs were delineated using the weighted overlay tool in a Geographic Information System (GIS) environment. The thematic output layer was then spatially classified into two classes, namely, GDEs and non-GDEs. The results showed that only 1.34% of the area is characterised by GDEs covering 721,908 ha. Overall, identified GDEs were found mostly on a gentle slope on the large portion of shrubland and grassland. The derived GDEs map was then statistically compared with groundwater level (GWL) data from 22 boreholes that occur in the area. Our results indicated that: GDEs are concentrated at the northern, central and south-western part of the study area. The validation results showed significant overlapping of GDEs classes with both the groundwater level (GWL) and rainfall in the study area. The results show a possible delineation of GDEs in the study area using remote sensing and GIS techniques along with AHP and is transferable to other arid and semiarid environments. The results of this study contributes to identifying and delineating priority areas where appropriate water conservation programmes for sustainable groundwater development can be implemented.</t>
  </si>
  <si>
    <t>[Rampheri, Mangana B. B.; Dube, Timothy] Univ Western Cape, Inst Water Studies, Dept Earth Sci, Bellville, South Africa; [Dondofema, Farai] Univ Venda, Dept Geog &amp; Environm Sci, Thohoyandou, South Africa; [Dalu, Tatenda] Univ Mpumalanga, Sch Biol &amp; Environm Sci, Aquat Syst Res Grp, Nelspruit, South Africa; [Dalu, Tatenda] South African Inst Aquat Biodivers, Grahamstown, South Africa</t>
  </si>
  <si>
    <t>University of the Western Cape; University of Venda; National Research Foundation - South Africa; South African Institute for Aquatic Biodiversity</t>
  </si>
  <si>
    <t>Rampheri, MB (corresponding author), Univ Western Cape, Inst Water Studies, Dept Earth Sci, Bellville, South Africa.</t>
  </si>
  <si>
    <t>Dalu, Tatenda/K-3089-2012</t>
  </si>
  <si>
    <t>Dalu, Tatenda/0000-0002-9019-7702; DONDOFEMA, FARAI/0000-0001-8685-125X; Dube, Timothy/0000-0003-3456-8991</t>
  </si>
  <si>
    <t>JRS Biodiversity Foundation through the Southern African Development Community - Groundwater Management Institute (SADC-GMI); National Research Foundation (NRF) [138206]</t>
  </si>
  <si>
    <t>JRS Biodiversity Foundation through the Southern African Development Community - Groundwater Management Institute (SADC-GMI); National Research Foundation (NRF)</t>
  </si>
  <si>
    <t>The authors are grateful for the financial support offered by JRS Biodiversity Foundation through the Southern African Development Community - Groundwater Management Institute (SADC-GMI). The study was also supported financially by National Research Foundation (NRF) grant number 138206 and the authors are grateful.</t>
  </si>
  <si>
    <t>1010-6049</t>
  </si>
  <si>
    <t>1752-0762</t>
  </si>
  <si>
    <t>GEOCARTO INT</t>
  </si>
  <si>
    <t>Geocarto Int.</t>
  </si>
  <si>
    <t>10.1080/10106049.2023.2172217</t>
  </si>
  <si>
    <t>Environmental Sciences; Geosciences, Multidisciplinary; Remote Sensing; Imaging Science &amp; Photographic Technology</t>
  </si>
  <si>
    <t>Environmental Sciences &amp; Ecology; Geology; Remote Sensing; Imaging Science &amp; Photographic Technology</t>
  </si>
  <si>
    <t>8O8DO</t>
  </si>
  <si>
    <t>WOS:000926062700001</t>
  </si>
  <si>
    <t>Rasmussen, TS; Mentzel, CMJ; Danielsen, MR; Jakobsen, RR; Zachariassen, LSF; Mejia, JLC; Brunse, A; Hansen, LH; Hansen, CHF; Hansen, AK; Nielsen, DS</t>
  </si>
  <si>
    <t>Rasmussen, Torben Solbeck; Mentzel, Caroline M. Junker; Danielsen, Malene Refslund; Jakobsen, Rasmus Riemer; Zachariassen, Line Sidsel Fisker; Mejia, Josue Leonardo Castro; Brunse, Anders; Hansen, Lars Hestbjerg; Hansen, Camilla Hartmann Friis; Hansen, Axel Kornerup; Nielsen, Dennis Sandris</t>
  </si>
  <si>
    <t>Fecal virome transfer improves proliferation of commensal gut Akkermansia muciniphila and unexpectedly enhances the fertility rate in laboratory mice</t>
  </si>
  <si>
    <t>Fecal virome transplantation; Gut microbiome; Fertility; Probiotic engraftment; Lacticaseibacillus rhamnosus; Akkermansia muciniphila</t>
  </si>
  <si>
    <t>MICROBIOTA TRANSPLANTATION; CLOSTRIDIUM-DIFFICILE; HEALTH; INFLAMMATION; INFERTILITY; VIRUSES; DISEASE; OBESITY; MOUSE; MODEL</t>
  </si>
  <si>
    <t>Probiotics are intended to improve gastrointestinal health when consumed. However, the probiotics marketed today only colonize the densely populated gut to a limited extent. Bacteriophages comprise the majority of viruses in the human gut virome and there are strong indications that they play important roles in shaping the gut microbiome. Here, we investigate the use of fecal virome transplantation (FVT, sterile filtrated feces) as a mean to alter the gut microbiome composition to lead the way for persistent colonization of two types of probiotics: Lacticaseibacillus rhamnosus GG (LGG) representing a well-established probiotic and Akkermansia muciniphila (AKM) representing a putative next-generation probiotic. Male and female C57BL/6NTac mice were cohoused in pairs from 4 weeks of age and received the following treatment by oral gavage at week 5 and 6: AKM+FVT, LGG+FVT, probiotic sham (Pro-sham)+FVT, LGG+Saline, AKM+Saline, and control (Pro-sham+Saline). The FVT donor material originated from mice with high relative abundance of A. muciniphila. All animals were terminated at age 9 weeks. The FVT treatment did not increase the relative abundance of the administered LGG or AKM in the recipient mice. Instead FVT significantly (p &lt; 0.05) increased the abundance of naturally occurring A. muciniphila compared to the control. This highlights the potential of propagating the existing commensal probiotics that have already permanently colonized the gut. Being co-housed male and female, a fraction of the female mice became pregnant. Unexpectedly, the FVT treated mice were found to have a significantly (p &lt; 0.05) higher fertility rate independent of probiotic administration. These preliminary observations urge for follow-up studies investigating interactions between the gut microbiome and fertility.</t>
  </si>
  <si>
    <t>[Rasmussen, Torben Solbeck; Danielsen, Malene Refslund; Jakobsen, Rasmus Riemer; Mejia, Josue Leonardo Castro; Nielsen, Dennis Sandris] Univ Copenhagen, Dept Food Sci, Sect Microbiol &amp; Fermentat, Frederiksberg, Denmark; [Mentzel, Caroline M. Junker; Zachariassen, Line Sidsel Fisker; Hansen, Camilla Hartmann Friis; Hansen, Axel Kornerup] Univ Copenhagen, Dept Vet &amp; Anim Sci, Sect Expt Anim Models, Frederiksberg, Denmark; [Brunse, Anders] Univ Copenhagen, Dept Vet &amp; Anim Sci, Sect Comparat Pediat &amp; Nutr, Frederiksberg, Denmark; [Hansen, Lars Hestbjerg] Univ Copenhagen, Dept Plant &amp; Environm Sci, Sect Microbial Ecol &amp; Biotechnol, Frederiksberg, Denmark; [Rasmussen, Torben Solbeck] Rolighedsvej 26 4th floor, DK-1958 Frederiksberg C, Denmark; [Nielsen, Dennis Sandris] Univ Copenhagen, Dept Food Sci, Sect Microbiol &amp; Fermentat, Rolighedsvej 26 4th floor, DK-1958 Frederiksberg C, Denmark</t>
  </si>
  <si>
    <t>University of Copenhagen; University of Copenhagen; University of Copenhagen; University of Copenhagen; University of Copenhagen</t>
  </si>
  <si>
    <t>Rasmussen, TS (corresponding author), Rolighedsvej 26 4th floor, DK-1958 Frederiksberg C, Denmark.;Nielsen, DS (corresponding author), Univ Copenhagen, Dept Food Sci, Sect Microbiol &amp; Fermentat, Rolighedsvej 26 4th floor, DK-1958 Frederiksberg C, Denmark.</t>
  </si>
  <si>
    <t>dn@food.ku.dk; dn@food.ku.dk</t>
  </si>
  <si>
    <t>Mentzel, Caroline/AAX-1577-2021; Nielsen, Dennis S/A-9769-2015; Castro-Mejia, Josue Leonardo/P-5649-2014</t>
  </si>
  <si>
    <t>Mentzel, Caroline/0000-0003-4688-7367; Nielsen, Dennis S/0000-0001-8121-1114; Castro-Mejia, Josue Leonardo/0000-0002-1416-8205; Solbeck Rasmussen, Torben/0000-0002-9907-8953; Refslund Danielsen, Malene/0009-0001-1981-8983; Brunse, Anders/0000-0002-0199-3417; Hestbjerg Hansen, Lars/0000-0003-0027-1524; Hansen, Camilla Hartmann Friis/0000-0002-1860-385X</t>
  </si>
  <si>
    <t>10.1080/19490976.2023.2208504</t>
  </si>
  <si>
    <t>F4ZH9</t>
  </si>
  <si>
    <t>WOS:000982442600001</t>
  </si>
  <si>
    <t>Rechard, K; Regmi, NR</t>
  </si>
  <si>
    <t>Rechard, Kyle; Regmi, Narendra Raj</t>
  </si>
  <si>
    <t>Greenspan's adherence to the Taylor rule: examining Federal Reserve chairmen policy regimes and deviations from the Taylor rule</t>
  </si>
  <si>
    <t>Taylor rule; Alan Greenspan; monetary policy regimes; machine learning; text clustering</t>
  </si>
  <si>
    <t>MONETARY-POLICY; STRUCTURAL-CHANGE; TERM STRUCTURE; FACTOR MODEL; TIME-SERIES; INDEX</t>
  </si>
  <si>
    <t>This paper examines the relationship between Federal Reserve policy and the Taylor rule, a commonly used model for guiding monetary policy. The study analyzes the deviation of the actual Federal Funds Rate from the Taylor Rule model during distinct structural changes, using real-time macroeconomic data available to the Fed at the time of their interest rate decision. The research focuses on whether former Fed chair Alan Greenspan's policies from 2003 to 2006, which have been linked to the housing bubble, were deviant from the Taylor Rule. The findings show that there isn't sufficient statistical evidence to support this claim, and a machine learning text analysis of the Federal Open Market Committee transcripts confirms the presence of only one regime during this period. These results contribute to the existing literature on monetary policy and its impact on the economy, providing valuable insights into the relationship between Federal Reserve policy and the Taylor Rule.</t>
  </si>
  <si>
    <t>[Rechard, Kyle] Eli Lilly &amp; Co, Adv Analyt &amp; Data Sci, Indianapolis, IN USA; [Regmi, Narendra Raj] Univ Wisconsin Whitewater, Dept Econ, Whitewater, WI USA; [Regmi, Narendra Raj] Univ Wisconsin Whitewater, Dept Econ, 800 Main St, Whitewater, WI 53190 USA</t>
  </si>
  <si>
    <t>Eli Lilly; University of Wisconsin System; University of Wisconsin Whitewater; University of Wisconsin System; University of Wisconsin Whitewater</t>
  </si>
  <si>
    <t>Regmi, NR (corresponding author), Univ Wisconsin Whitewater, Dept Econ, 800 Main St, Whitewater, WI 53190 USA.</t>
  </si>
  <si>
    <t>regmin@uww.edu</t>
  </si>
  <si>
    <t>10.1080/23322039.2023.2209951</t>
  </si>
  <si>
    <t>G9XW7</t>
  </si>
  <si>
    <t>WOS:000992609900001</t>
  </si>
  <si>
    <t>Ren, YL; Feng, Y; Qing, J; Zhang, P; Xiao, L; Liang, XH</t>
  </si>
  <si>
    <t>Ren, Yanling; Feng, Ye; Qing, Jun; Zhang, Ping; Xiao, Lun; Liang, Xiaohua</t>
  </si>
  <si>
    <t>The correlation between nuts and algae-less diet and children's blood pressure: from a cross-sectional study in Chongqing</t>
  </si>
  <si>
    <t>Nuts; algae; dietary patterns; blood pressure; hypertension</t>
  </si>
  <si>
    <t>METABOLIC SYNDROME; HYPERTENSION; RISK; ATHEROSCLEROSIS; CHILDHOOD; SUPPORT; STRESS; SEX</t>
  </si>
  <si>
    <t>Background Nuts and algae have been shown to improve BP levels, but their effectiveness is controversial. Aims This study aims to illustrate the effect of dietary pattern with nuts and algae-less on BP levels in children and adolescents from a cross-sectional study. Methods A total of 5645 children from the Chongqing Children's Health Cohort, aged 9.34 +/- 1.74 years with 52.05% males, were analyzed. Stratified analysis was conducted to explore the differences between the two dietary patterns in urban or rural areas, as well as the differences in different gender. Logistic regression was used to analyze the influence factors of increased BP. And a GLM was used to analyze the influence of the two dietary patterns on systolic blood pressure (SBP, mmHg), diastolic blood pressure (DBP, mmHg), and mean arterial pressure (MAP, mmHg). Results Children with nuts and algae-less dietary patterns had higher SBP (104.68 +/- 10.31 vs 103.81 +/- 9.74, P = .006), DBP (64.27 +/- 7.53 vs 63.55 +/- 7.52, P = .002), and MAP (77.74 +/- 7.75 vs 76.97 +/- 7.52, P = .001) compared with those children with a balanced diet. After adjusting for covariates, the nuts and algae-less diet was a risk factor for hypertension in children when compared with the balanced diet(OR(95%CI):1.455(1.097,1.930), P = .009). The nuts and algae-less diet has a significant influence on SBP (104.68 +/- 10.31 mmHg vs.103.81 +/- 9.74 mmHg, P = .006). Stratified analysis by sex showed that nuts and algae-less dietary patterns had a more significant impact on females than males. Conclusion Nuts and algae-less dietary pattern correlated with increased BP levels in children, and a greater impact on SBP levels was found in females, suggesting that a balanced diet with appropriate nuts and algae should be proposed for children in China.</t>
  </si>
  <si>
    <t>[Ren, Yanling; Feng, Ye; Zhang, Ping; Liang, Xiaohua] Chongqing Med Univ, Natl Clin Res Ctr Child Hlth &amp; Disorders, China Int Sci &amp; Technol Cooperat Ctr Child Dev &amp; C, Minist Educ,Key Lab Child Dev &amp; Disorders,Children, Chongqing, Peoples R China; [Qing, Jun; Xiao, Lun] Ctr Dis Control &amp; Prevent Jiulongpo Dist, Chongqing, Peoples R China; [Liang, Xiaohua] Childrens Hosp Chongqing Med Univ, Natl Clin Res Ctr Child Hlth &amp; Disorders, China Int Sci &amp; Technol Cooperat Ctr Child Dev &amp; C, Minist Educ,Key Lab Child Dev &amp; Disorders,Children, 136 2nd St, Chongqing 400014, Peoples R China</t>
  </si>
  <si>
    <t>Chongqing Medical University</t>
  </si>
  <si>
    <t>Liang, XH (corresponding author), Childrens Hosp Chongqing Med Univ, Natl Clin Res Ctr Child Hlth &amp; Disorders, China Int Sci &amp; Technol Cooperat Ctr Child Dev &amp; C, Minist Educ,Key Lab Child Dev &amp; Disorders,Children, 136 2nd St, Chongqing 400014, Peoples R China.</t>
  </si>
  <si>
    <t>liangxiaohua666@sina.com</t>
  </si>
  <si>
    <t>10.1080/10641963.2023.2180024</t>
  </si>
  <si>
    <t>9H0FE</t>
  </si>
  <si>
    <t>WOS:000938516900001</t>
  </si>
  <si>
    <t>Ripollés-Lobo, M; Perdomo-González, DI; Azor, PJ; Valera, M</t>
  </si>
  <si>
    <t>Ripolles-Lobo, Maria; Perdomo-Gonzalez, Davinia Isabel; Azor, Pedro Javier; Valera, Mercedes</t>
  </si>
  <si>
    <t>Evaluation of potential effects and genetic parameters in conformational limb defects in Pura Raza Espanola horses</t>
  </si>
  <si>
    <t>Conformation linear traits; genetic parameters; environmental risk factors; morphological defects; Pura Raza Espanola horses</t>
  </si>
  <si>
    <t>SWEDISH WARMBLOOD; THOROUGHBRED RACEHORSES; RISK-FACTORS; TRAITS; PREVALENCE; OSTEOCHONDROSIS; HERITABILITY; PERFORMANCE; MORPHOLOGY; FRAGMENTS</t>
  </si>
  <si>
    <t>Morphological limbs defects are the most frequent defects in horses. The aim of this study was to establish the prevalence, associated effects and genetic parameters of hock and knee defects in Pura Raza Espanola horses, using two different approaches. In Approach_1, the hock defects analysed were closed, open, convergent and divergent and the knee defects studied were buck, calf, bench and knock. Defects were classified into 3 levels: 0 no defect, 1 slight defect and 2 serious defects. Approach_2, which used a linear scale, in a pair of opposing defects, divided into 5 levels, from -2 to 2, where 0 corresponded to the absence of defects: Lateral view (closed/open) and rear view (convergent/divergent) hock defect, lateral view (buck/calf) and frontal view (bench/knock) knee defect. A total of 43,358 horses, with an average age of 5.07 years, were evaluated, with a prevalence of horses affected ranging from 3.31% (bench) to 74.12% (convergent). Genetic parameters were estimated using a Bayesian procedure with the BLUPF90 software. Heritability in Approach_1, ranged from 0.25 (bench) to 0.42 (divergent) and in Approach_2, from 0.18 (bench/knock) to 0.24 (convergent/divergent). The opposing defects may be related to different genes, and it is therefore better to study them as separate defects and not on the same linear scale. The highest positive genetic correlation was between calf vs knock (0.70). Our results imply that selection against limb defects is possible and would allow us to reduce the genetic risk of the horses' offspring suffering from them.</t>
  </si>
  <si>
    <t>[Ripolles-Lobo, Maria; Perdomo-Gonzalez, Davinia Isabel; Valera, Mercedes] Univ Seville, Escuela Tecn Super Ingn Agron ETSIA, Dpto Agron, Seville, Spain; [Azor, Pedro Javier] Real Asociac Nacl Criadores Caballos Pura Raza Esp, Seville, Spain</t>
  </si>
  <si>
    <t>University of Sevilla</t>
  </si>
  <si>
    <t>Ripollés-Lobo, M (corresponding author), Univ Seville, Escuela Tecn Super Ingn Agron ETSIA, Dpto Agron, Seville, Spain.</t>
  </si>
  <si>
    <t>marriplob@alum.us.es</t>
  </si>
  <si>
    <t>Valera Cordoba, Maria Mercedes/H-6389-2015</t>
  </si>
  <si>
    <t>Valera Cordoba, Maria Mercedes/0000-0003-1742-550X; Perdomo Gonzalez, Davinia Isabel/0000-0003-2618-105X</t>
  </si>
  <si>
    <t>10.1080/1828051X.2023.2206419</t>
  </si>
  <si>
    <t>F5TZ4</t>
  </si>
  <si>
    <t>WOS:000982982000001</t>
  </si>
  <si>
    <t>Rojanasarot, S; Bhattacharyya, SK; Edwards, N</t>
  </si>
  <si>
    <t>Rojanasarot, Sirikan; Bhattacharyya, Samir K.; Edwards, Natalie</t>
  </si>
  <si>
    <t>Productivity loss and productivity loss costs to United States employers due to priority conditions: a systematic review</t>
  </si>
  <si>
    <t>Productivity loss; cost; employers; absenteeism; presenteeism; systematic literature review</t>
  </si>
  <si>
    <t>ACTIVITY IMPAIRMENT QUESTIONNAIRE; TRACKING-MARKET-PERFORMANCE; WORK PRODUCTIVITY; COMPANIES; VALIDITY; HEALTH</t>
  </si>
  <si>
    <t>PLAIN LANGUAGE SUMMARY Investment in workforce health and well-being is a practice pursued by high-performing companies as health improvement strategies have produced excellent returns on investment. This literature review sought to gain a better understanding of employee productivity loss for important diseases (i.e. cancer, chronic lung disease [bronchitis, asthma, or chronic obstructive pulmonary disease], depression, pain, and cardiometabolic disease [heart disease, hypertension, or diabetes] to help employers and healthcare payers prioritize investment in workforce health. The findings highlight the substantial burden of lost productivity among these conditions. Most studies found employees lost up to 80 annual work hours and employees with cancer and cardiometabolic disease had the greatest annual incremental number of work hours lost. The proportion of work impairment ranged from 10% to 70% and was higher for employees with pain and depression. The annual cost of lost work productivity ranged from $100 to $10,000 and was higher among employees with cancer, pain, and depression. Aims To summarize published studies evaluating productivity loss and productivity loss costs associated with cancer, chronic lung disease, depression, pain, and cardiometabolic disease among US employees. Materials and methods A PubMed search from the past 10 years was conducted using the terms productivity, absenteeism, presenteeism, cancer, bronchitis, asthma, chronic obstructive pulmonary disease, depression, pain, heart disease, hypertension, and diabetes (limited to English-language publications and studies of adults aged 19-64). Study endpoints included annual incremental time (work hours lost and Work Productivity and Impairment [WPAI] questionnaire overall work impairment) and monetary estimates of productivity loss. Studies were critically appraised using a modified Oxford Centre for Evidence-Based Medicine (OCEBM) Quality Rating Scheme. Results Of 2,037 records identified from the search, 183 studies were included. The most common observed condition leading to productivity loss was pain (24%), followed by cancer (22%), chronic lung disease (17%), cardiometabolic disease (16%), and depression (16%). Nearly three-quarters of the studies (n = 133, 72.7%) were case-control/retrospective cohort studies (OCEBM quality rating 3); the remainder were case series/cross-sectional studies (n = 28, 15.3%; quality rating 4), randomized clinical trials (n = 18, 9.8%; quality rating 1); and controlled trials without randomization/prospective comparative cohort trials (n = 4, 2.2%; quality rating 2). Samples sizes ranged from 18 patients to millions of patients for studies using the Medical Expenditure Panel Survey (MEPS). Most studies found employees lost up to 80 annual incremental work hours; employees with cancer and cardiometabolic disease had the greatest number of work hours lost. Overall percentage work impairment ranged from 10% to 70% and was higher for pain and depression. Annual incremental costs of lost work productivity ranged from $100 to $10,000 and were higher for cancer, pain, and depression. Limitations Study heterogeneity. Conclusions Despite some gaps in evidence for the cost of productivity loss, sufficient data highlight the substantial employer burden of lost productivity among priority conditions.</t>
  </si>
  <si>
    <t>[Rojanasarot, Sirikan; Bhattacharyya, Samir K.] Boston Sci, Hlth Econ &amp; Market Access, Marlborough, MA USA; [Edwards, Natalie] Hlth Serv Consulting Corp, Boxboro, MA USA; [Rojanasarot, Sirikan] Boston Sci, Hlth Econ &amp; Market Access, 100 Boston Sci Way, Marlborough, MA 01752 USA</t>
  </si>
  <si>
    <t>Boston Scientific; Boston Scientific</t>
  </si>
  <si>
    <t>Rojanasarot, S (corresponding author), Boston Sci, Hlth Econ &amp; Market Access, 100 Boston Sci Way, Marlborough, MA 01752 USA.</t>
  </si>
  <si>
    <t>sirikan.rojanasarot@bsci.com</t>
  </si>
  <si>
    <t>Rojanasarot, Sirikan/N-9579-2017</t>
  </si>
  <si>
    <t>Rojanasarot, Sirikan/0000-0003-2102-7520</t>
  </si>
  <si>
    <t>10.1080/13696998.2023.2172282</t>
  </si>
  <si>
    <t>8W8GL</t>
  </si>
  <si>
    <t>WOS:000931563900001</t>
  </si>
  <si>
    <t>B</t>
  </si>
  <si>
    <t>Rowlands, S</t>
  </si>
  <si>
    <t>Rowlands, Sam</t>
  </si>
  <si>
    <t>Controlling reproduction: women, society, and state power</t>
  </si>
  <si>
    <t>Book Review</t>
  </si>
  <si>
    <t>[Rowlands, Sam] Bournemouth Univ, Dept Med Sci &amp; Publ Hlth, Bournemouth, England</t>
  </si>
  <si>
    <t>Bournemouth University</t>
  </si>
  <si>
    <t>Rowlands, S (corresponding author), Bournemouth Univ, Dept Med Sci &amp; Publ Hlth, Bournemouth, England.</t>
  </si>
  <si>
    <t>srowlands@bournemouth.ac.uk</t>
  </si>
  <si>
    <t>Rowlands, Sam/0000-0001-5940-9079</t>
  </si>
  <si>
    <t>10.1080/26410397.2023.2186028</t>
  </si>
  <si>
    <t>A6LX8</t>
  </si>
  <si>
    <t>WOS:000956228000001</t>
  </si>
  <si>
    <t>Ruger, L; Yang, E; Coutermarsh-Ott, S; Vickers, E; Gannon, J; Nightengale, M; Hsueh, A; Ciepluch, B; Dervisis, N; Vlaisavljevich, E; Klahn, S</t>
  </si>
  <si>
    <t>Ruger, Lauren; Yang, Ester; Coutermarsh-Ott, Sheryl; Vickers, Elliana; Gannon, Jessica; Nightengale, Marlie; Hsueh, Andy; Ciepluch, Brittany; Dervisis, Nikolaos; Vlaisavljevich, Eli; Klahn, Shawna</t>
  </si>
  <si>
    <t>Histotripsy ablation for the treatment of feline injection site sarcomas: a first-in-cat in vivo feasibility study</t>
  </si>
  <si>
    <t>Soft tissue sarcoma; feline; histotripsy; focused ultrasound; cancer; ablation; immuno-oncology</t>
  </si>
  <si>
    <t>INTENSITY FOCUSED ULTRASOUND; INTRINSIC THRESHOLD; TISSUE; THERAPY; TUMORS</t>
  </si>
  <si>
    <t>Purpose Feline soft tissue sarcoma (STS) and injection site sarcoma (fISS) are rapidly growing tumors with low metastatic potential, but locally aggressive behavior. Histotripsy is a non-invasive focused ultrasound therapy using controlled acoustic cavitation to mechanically disintegrate tissue. In this study, we investigated the in vivo safety and feasibility of histotripsy to treat fISS using a custom 1 MHz transducer. Materials and Methods Three cats with naturally-occurring STS were treated with histotripsy before surgical removal of the tumor 3 to 6 days later. Gross and histological analyses were used to characterize the ablation efficacy of the treatment, and routine immunohistochemistry and batched cytokine analysis were used to investigate the acute immunological effects of histotripsy. Results Results showed that histotripsy ablation was achievable and well-tolerated in all three cats. Precise cavitation bubble clouds were generated in all patients, and hematoxylin &amp; eosin stained tissues revealed ablative damage in targeted regions. Immunohistochemical results identified an increase in IBA-1 positive cells in treated tissues, and no significant changes in cytokine concentrations were identified post-treatment. Conclusions Overall, the results of this study demonstrate the safety and feasibility of histotripsy to target and ablate superficial feline STS and fISS tumors and guide the clinical development of histotripsy devices for this application.</t>
  </si>
  <si>
    <t>[Ruger, Lauren; Vickers, Elliana; Gannon, Jessica; Vlaisavljevich, Eli] VA Polytech Inst &amp; State Univ, Dept Biomed Engn &amp; Mech, Blacksburg, VA USA; [Yang, Ester; Nightengale, Marlie; Hsueh, Andy; Ciepluch, Brittany; Dervisis, Nikolaos; Klahn, Shawna] Virginia MD Coll Vet Med, Dept Small Anim Clin Sci, Blacksburg, VA USA; [Yang, Ester; Vickers, Elliana; Nightengale, Marlie; Hsueh, Andy; Ciepluch, Brittany; Dervisis, Nikolaos; Klahn, Shawna] Virginia Maryland Coll Vet Med, Virginia Tech Anim Canc Care &amp; Res Ctr, Roanoke, VA USA; [Coutermarsh-Ott, Sheryl] Virginia Polytech Inst &amp; State Univ, Biomed Sci &amp; Pathobiol, Blacksburg, VA USA; [Vickers, Elliana] Virginia Polytech Inst &amp; State Univ, Grad Program Translat Biol Med &amp; Hlth, Roanoke, VA USA; [Dervisis, Nikolaos] Virginia Tech, Dept Internal Med, Caril Sch Med, Roanoke, VA USA; [Vlaisavljevich, Eli] VA Polytech Inst &amp; State Univ, Dept Biomed Engn &amp; Mech, 347 Kelly Hall,325 Stanger St, Blacksburg, VA 24061 USA; [Klahn, Shawna] Virginia Maryland Coll Vet Med, Virginia Tech Anim Canc Care &amp; Res Ctr, 4 Riverside Circle, Roanoke, VA 24061 USA</t>
  </si>
  <si>
    <t>Virginia Polytechnic Institute &amp; State University; Virginia Polytechnic Institute &amp; State University; Virginia Polytechnic Institute &amp; State University</t>
  </si>
  <si>
    <t>Vlaisavljevich, E (corresponding author), VA Polytech Inst &amp; State Univ, Dept Biomed Engn &amp; Mech, 347 Kelly Hall,325 Stanger St, Blacksburg, VA 24061 USA.;Klahn, S (corresponding author), Virginia Maryland Coll Vet Med, Virginia Tech Anim Canc Care &amp; Res Ctr, 4 Riverside Circle, Roanoke, VA 24061 USA.</t>
  </si>
  <si>
    <t>EliV@vt.edu; Klahn@vt.edu</t>
  </si>
  <si>
    <t>Vickers, Elliana/0000-0003-2639-9470; Vlaisavljevich, Eli/0000-0002-4097-6257; Ruger, Lauren/0000-0002-7291-4907</t>
  </si>
  <si>
    <t>Focused Ultrasound Foundation [453137]; Virginia Tech Institute for Critical Technology and Applied Science (ICTAS) Doctoral Scholars program; National Center for Advancing Translational Sciences of the National Institutes of Health [UL1TR003015, KL2TR003016]</t>
  </si>
  <si>
    <t>Focused Ultrasound Foundation; Virginia Tech Institute for Critical Technology and Applied Science (ICTAS) Doctoral Scholars program; National Center for Advancing Translational Sciences of the National Institutes of Health(United States Department of Health &amp; Human ServicesNational Institutes of Health (NIH) - USANIH National Center for Advancing Translational Sciences (NCATS))</t>
  </si>
  <si>
    <t>This work was funded by the Focused Ultrasound Foundation, grant #453137. Author Lauren Ruger was supported by the Virginia Tech Institute for Critical Technology and Applied Science (ICTAS) Doctoral Scholars program throughout the duration of this work. Primary investigator Shawna Klahn is an iTHRIV Scholar. The iTHRIV Scholars Program is supported in part by the National Center for Advancing Translational Sciences of the National Institutes of Health under Award Numbers UL1TR003015 and KL2TR003016. This work was completed in memory of Belle, Lauren Ruger's beloved pet cat, who passed away of cancer in 2021 and continues to inspire Lauren's veterinary research efforts.</t>
  </si>
  <si>
    <t>10.1080/02656736.2023.2210272</t>
  </si>
  <si>
    <t>G8PX6</t>
  </si>
  <si>
    <t>Green Submitted, Green Accepted, Green Published, gold</t>
  </si>
  <si>
    <t>WOS:000991722600001</t>
  </si>
  <si>
    <t>Sabry, SA; Abd El Razek, AM; Nabil, M; Khedr, SM; El-Nahas, HM; Eissa, NG</t>
  </si>
  <si>
    <t>Sabry, Shereen A. A.; Abd El Razek, Amal M. M.; Nabil, Mohamed; Khedr, Shaimaa M. M.; El-Nahas, Hanan M. M.; Eissa, Noura G. G.</t>
  </si>
  <si>
    <t>Brain-targeted delivery of Valsartan using solid lipid nanoparticles labeled with Rhodamine B; a promising technique for mitigating the negative effects of stroke</t>
  </si>
  <si>
    <t>Valsartan; solid lipid nanoparticles; stroke; factorial design; transmission electron microscopy; photon imaging</t>
  </si>
  <si>
    <t>IN-VITRO; OPTIMIZATION; FORMULATION; DESIGN; PREVENTION; SIZE; VIVO</t>
  </si>
  <si>
    <t>The brain is a vital organ that is protected from the general circulation and is distinguished by the presence of a relatively impermeable blood brain barrier (BBB). Blood brain barrier prevents the entry of foreign molecules. The current research aims to transport valsartan (Val) across BBB utilizing solid lipid nanoparticles (SLNs) approach to mitigate the adverse effects of stroke. Using a 3(2)-factorial design, we could investigate and optimize the effect of several variables in order to improve brain permeability of valsartan in a target-specific and sustained-release manner, which led to alleviation of ischemia-induced brain damage. The impact of each of the following independent variables was investigated: lipid concentration (% w/v), surfactant concentration (% w/v), and homogenization speed (RPM) on particle size, zeta potential (ZP), entrapment efficiency (EE) %, and cumulative drug release percentage (CDR) %. TEM images revealed a spherical form of the optimized nanoparticles, with particle size (215.76 +/- 7.63 nm), PDI (0.311 +/- 0.02), ZP (-15.26 +/- 0.58 mV), EE (59.45 +/- 0.88%), and CDR (87.59 +/- 1.67%) for 72 hours. SLNs formulations showed sustained drug release, which could effectively reduce the dose frequency and improve patient compliance. DSC and X-ray emphasize that Val was encapsulated in the amorphous form. The in-vivo results revealed that the optimized formula successfully delivered Val to the brain through intranasal rout as compared to a pure Val solution and evidenced by the photon imaging and florescence intensity quantification. In a conclusion, the optimized SLN formula (F9) could be a promising therapy for delivering Val to brain, alleviating the negative consequences associated with stroke.</t>
  </si>
  <si>
    <t>[Sabry, Shereen A. A.; Abd El Razek, Amal M. M.; El-Nahas, Hanan M. M.; Eissa, Noura G. G.] Zagazig Univ, Fac Pharm, Dept Pharmaceut, Zagazig, Egypt; [Nabil, Mohamed] New Valley Univ, Fac Pharm, Pharmacol Dept, Kharga, Egypt; [Khedr, Shaimaa M. M.] City Sci Res &amp; Technol Applicat SRTA City, Pharmaceut &amp; Fermentat Ind Dev Ctr PFIDC, Alexandria, Egypt; [Eissa, Noura G. G.] Badr Univ Cairo, Sci Acad, Cairo, Egypt</t>
  </si>
  <si>
    <t>Egyptian Knowledge Bank (EKB); Zagazig University; Egyptian Knowledge Bank (EKB); City of Scientific Research &amp; Technological Applications (SRTA-City); Badr University in Cairo</t>
  </si>
  <si>
    <t>Abd El Razek, AM (corresponding author), Zagazig Univ, Fac Pharm, Dept Pharmaceut, Zagazig, Egypt.</t>
  </si>
  <si>
    <t>amalmagd43@gmail.com</t>
  </si>
  <si>
    <t>Elnahas, Hanan/0000-0002-9148-3276</t>
  </si>
  <si>
    <t>10.1080/10717544.2023.2179127</t>
  </si>
  <si>
    <t>9H2IU</t>
  </si>
  <si>
    <t>WOS:000938661700001</t>
  </si>
  <si>
    <t>Saini, H; Kumar, P; Oberoi, S</t>
  </si>
  <si>
    <t>Saini, Harish; Kumar, Pawan; Oberoi, Sumit</t>
  </si>
  <si>
    <t>Welcome to the destination! Social media influencers as cogent determinant of travel decision: A systematic literature review and conceptual framework</t>
  </si>
  <si>
    <t>destination marketing; travel decision; social media influencers; content generation and trust building; &gt;</t>
  </si>
  <si>
    <t>WORD-OF-MOUTH; TOURISM DESTINATION; BRAND ATTITUDE; INTENTION; IMPACT; CREDIBILITY; IDENTIFICATION; EXPERIENCES; FOLLOWERS; INSTAGRAM</t>
  </si>
  <si>
    <t>Sharing online content on social media platforms has opened the door to a new era of marketing communication in many fields, including tourism. This paper concentrates on the role of social media influencers' (SMI's) content, their follower ratio and regular engagement in travel decision-making keeping trust as a mediating factor. Emerald, Google Scholar, ResearchGate, and Scopus are used to conduct a comprehensive literature search. To do so, this study conducts a comprehensive systematic review of 36 publications on social media, influencers and travel decision-making using the Scientific Procedures and Rationales for Systematic Literature Reviews protocol. The proposed conceptual model offers insights into how travellers embrace the attributes of social media influencers while making travel decisions. Building on the framework and the respective constructs proposed in the present study contributes to augmenting social engagement characteristics of SMIs to strengthen the tourism business ecosystem for the future. There is a need for a partnership between SMIs and destination marketing organisations (DMOs), which would tap into their vast potential. DMOs can leverage the power of SMIs to connect with potential travellers and cultivate dependable relationships with their followers by understanding the relationship between the elements that affect travellers' decision-making during the trip planning process.</t>
  </si>
  <si>
    <t>[Saini, Harish; Kumar, Pawan] Lovely Profess Univ, Mittal Sch Business, Phagwara, India; [Oberoi, Sumit] Symbiosis Int Univ, Symbiosis Sch Econ, Pune, India; [Saini, Harish] Lovely Profess Univ, Mittal Sch Business, Jalandhar Delhi,GT Rd, Phagwara 144411, Punjab, India</t>
  </si>
  <si>
    <t>Lovely Professional University; Symbiosis International University; Symbiosis School of Economics (SSE); Lovely Professional University</t>
  </si>
  <si>
    <t>Saini, H (corresponding author), Lovely Profess Univ, Mittal Sch Business, Jalandhar Delhi,GT Rd, Phagwara 144411, Punjab, India.</t>
  </si>
  <si>
    <t>dr.harishsaini22@gmail.com</t>
  </si>
  <si>
    <t>saini, Harish/HZJ-4532-2023; Kumar, Pawan/ACF-5312-2022</t>
  </si>
  <si>
    <t>saini, Harish/0000-0003-3850-7678; Kumar, Pawan/0000-0001-7501-3066; OBEROI, SUMIT/0000-0002-9989-2875</t>
  </si>
  <si>
    <t>10.1080/23311886.2023.2240055</t>
  </si>
  <si>
    <t>N2MF4</t>
  </si>
  <si>
    <t>WOS:001035408700001</t>
  </si>
  <si>
    <t>Barrueco, AS; Mateos-Moreno, MV; Aubá, JMV; González, AC; Castaño, AB; Yanguas, RR; Goñi, AB; Ferrero, JZ; Español, CC; Márquez, VA; García-Esteban, S; Artacho, A; Labrador, FXL; Mira, A; Ferrer, MD</t>
  </si>
  <si>
    <t>Sanchez Barrueco, Alvaro; Victoria Mateos-Moreno, Maria; Villacampa Auba, Jose Miguel; Campos Gonzalez, Alfonso; Bogoya Castano, Abel; Rubio Yanguas, Raul; Blanco Goni, Asier; Zapardiel Ferrero, Javier; Cenjor Espanol, Carlos; Ausina Marquez, Veronica; Garcia-Esteban, Sandra; Artacho, Alejandro; Lopez Labrador, F. Xavier; Mira, Alex; Ferrer, Maria D.</t>
  </si>
  <si>
    <t>In vivo effect of mouthwashes on viable viral load of SARS-CoV-2 in saliva: a pilot study</t>
  </si>
  <si>
    <t>JOURNAL OF ORAL MICROBIOLOGY</t>
  </si>
  <si>
    <t>SARS-CoV-2; saliva; COVID-19; infectivity; mouthwash; chlorhexidine; cymenol</t>
  </si>
  <si>
    <t>VITRO</t>
  </si>
  <si>
    <t>Current data on the efficacy of antiseptic mouthwashes to reduce viral load are contradictory. Firstly, in vitro data indicate very strong virucidal effects that are not replicated in clinical studies. Secondly, most clinical studies identify a limited effect, do not include a control/placebo group, or do not evaluate viral viability in an infection model. In the current manuscript, we perform a double-blind, randomized clinical trial where salivary viral load was measured before and after the mouthwash, and where saliva samples were also cultured in an in vitro infection model of SARS-CoV-2 to evaluate the effect of mouthwashes on viral viability. Our data show a 90-99% reduction in SARS-CoV-2 salivary copies with one of the tested mouthwashes, although we show that the remaining viruses are mostly viable. In addition, our data suggest that the active ingredient concentration and the overall excipients' formulation can play an important role; and most importantly, they indicate that the effect is not immediate, being significant at 15 min and having maximum effectiveness after 1 h. Thus, we show that some oral mouthwashes can be useful in reducing viral transmission, although their efficacy must be improved through refined formulations or revised protocols.</t>
  </si>
  <si>
    <t>[Sanchez Barrueco, Alvaro; Villacampa Auba, Jose Miguel; Campos Gonzalez, Alfonso; Bogoya Castano, Abel; Rubio Yanguas, Raul; Blanco Goni, Asier; Cenjor Espanol, Carlos] Fdn Jimenez Diaz Univ Hosp, ENT &amp; Cervicofacial Surg Dept, Madrid, Spain; [Sanchez Barrueco, Alvaro; Campos Gonzalez, Alfonso] Villalba Gen Univ Hosp, ENT &amp; Cervicofacial Surg Dept, Collado Villalba, Spain; [Victoria Mateos-Moreno, Maria] Madrid Complutense Univ, Sch Dent, Dept Dent Clin Specialties, Madrid, Spain; [Zapardiel Ferrero, Javier] Fdn Jimenez Diaz Univ Hosp, Microbiol Dept, Madrid, Spain; [Zapardiel Ferrero, Javier] Villalba Gen Univ Hosp, Microbiol Dept, Collado Villalba, Spain; [Ausina Marquez, Veronica] European Univ Valencia, Dept Dent, Valencia, Spain; [Garcia-Esteban, Sandra; Artacho, Alejandro; Lopez Labrador, F. Xavier; Mira, Alex; Ferrer, Maria D.] Publ Hlth Fdn, Genom &amp; Hlth Dept, FISABIO, Valencia, Spain; [Lopez Labrador, F. Xavier] Univ Valencia, Med Sch, Dept Microbiol &amp; Ecol, Valencia, Spain; [Lopez Labrador, F. Xavier; Mira, Alex] Inst Salud Carlos III, CIBER Epidemiol &amp; Publ Hlth CIBERESP, Madrid, Spain</t>
  </si>
  <si>
    <t>Complutense University of Madrid; University of Valencia; CIBER - Centro de Investigacion Biomedica en Red; CIBERESP; Instituto de Salud Carlos III</t>
  </si>
  <si>
    <t>Mira, A; Ferrer, MD (corresponding author), Publ Hlth Fdn, Genom &amp; Hlth Dept, FISABIO, Valencia, Spain.</t>
  </si>
  <si>
    <t>mira_ale@gva.es; ferrer_mde@gva.es</t>
  </si>
  <si>
    <t>Sánchez Barrueco, Alvaro/AAI-9732-2021</t>
  </si>
  <si>
    <t>Sánchez Barrueco, Alvaro/0000-0002-7919-5765</t>
  </si>
  <si>
    <t>LACER SA (Barcelona, Spain); [CPRESC00103]</t>
  </si>
  <si>
    <t>LACER SA (Barcelona, Spain);</t>
  </si>
  <si>
    <t>FThis work has been funded by project CPRESC00103, financed by LACER SA (Barcelona, Spain).</t>
  </si>
  <si>
    <t>2000-2297</t>
  </si>
  <si>
    <t>J ORAL MICROBIOL</t>
  </si>
  <si>
    <t>J. Oral Microbiology</t>
  </si>
  <si>
    <t>10.1080/20002297.2023.2198432</t>
  </si>
  <si>
    <t>Microbiology</t>
  </si>
  <si>
    <t>D7II9</t>
  </si>
  <si>
    <t>WOS:000970422600001</t>
  </si>
  <si>
    <t>Senftleber, NK; Pedersen, KS; Jorgensen, CS; Pedersen, H; Christensen, MMB; Madsen, EK; Andersen, K; Jorsboe, E; Gillum, MP; Frost, MB; Hansen, T; Jorgensen, ME</t>
  </si>
  <si>
    <t>Senftleber, Ninna Karsbaek; Skott Pedersen, Kristine; Schnoor Jorgensen, Cecilie; Pedersen, Hanne; Bjerg Christensen, Marie Mathilde; Kabel Madsen, Emilie; Andersen, Kristine; Jorsboe, Emil; Gillum, Matthew Paul; Frost, Michael Bom; Hansen, Torben; Jorgensen, Marit Eika</t>
  </si>
  <si>
    <t>The effect of sucrase-isomaltase deficiency on metabolism, food intake and preferences: protocol for a dietary intervention study</t>
  </si>
  <si>
    <t>Congenital sucrase-isomaltase deficiency; inuit diet; food preferences; dietary intervention; metabolism; microbiota; greenland</t>
  </si>
  <si>
    <t>TYPE-2 DIABETES-MELLITUS; GLUCOSE-TOLERANCE; GREENLAND; CONSUMPTION; PATTERNS; INUIT; RISK</t>
  </si>
  <si>
    <t>In Greenland, traditional marine foods are increasingly being replaced by sucrose- and starch-rich foods. A knock-out c.273_274delAG variant in the sucrase-isomaltase (SI) gene is relatively common in Greenland, with homozygous carriers being unable to digest sucrose and some starch. The variant is associated with a healthier metabolic phenotype in Greenlanders, which is confirmed by SI-knockout mice. We aim to assess if the healthy phenotype is explained by metabolic and microbial differences and if food and taste preferences differ between SI-genotypes. This paper describes the protocol for a randomised cross-over trial conducted in Greenland in 2022 with two dietary interventions of three days; a traditional meat- and fish-rich diet and a starch-rich Western diet with 11 energy% sucrose. The power calculation showed that 22 homozygous SI-carriers and 22 non-carriers were sufficient to detect a 0.5 mmol/L difference in glycaemic variability (80% power, alpha=0.05). We enrolled 18 carriers and 20 non-carriers. We examined food preferences at baseline and collected samples before and after each intervention for metabolic, metabolome, and microbiome profiling. Analyses of samples have not been completed yet. The Ethics Committee of Greenland approved the study. Results will be disseminated in international peer-reviewed journals and to the general Greenlandic population. NCT05375656.</t>
  </si>
  <si>
    <t>[Senftleber, Ninna Karsbaek; Pedersen, Hanne; Bjerg Christensen, Marie Mathilde] Copenhagen Univ Hosp, Steno Diabet Ctr Copenhagen, Clin Res, Herlev, Denmark; [Senftleber, Ninna Karsbaek; Kabel Madsen, Emilie; Jorgensen, Marit Eika] Queen Ingrids Hosp, Steno Diabet Ctr Greenland, Nuuk, Greenland; [Skott Pedersen, Kristine; Schnoor Jorgensen, Cecilie] Univ Aarhus, Fac Hlth, Aarhus, Denmark; [Andersen, Kristine] Univ Copenhagen, Fac Hlth &amp; Med Sci, Copenhagen, Denmark; [Jorsboe, Emil; Gillum, Matthew Paul; Hansen, Torben] Univ Copenhagen, Novo Nord Fdn Ctr Basic Metab Res, Copenhagen, Denmark; [Jorsboe, Emil] Univ Oxford, Big Data Inst, Li Ka Shing Ctr Hlth Informat &amp; Discovery, Oxford, England; [Jorsboe, Emil] Univ Oxford, Nuffield Dept Populat Hlth, Oxford, England; [Frost, Michael Bom] Univ Copenhagen, Dept Food Sci, Copenhagen, Denmark</t>
  </si>
  <si>
    <t>University of Copenhagen; Steno Diabetes Center; Aarhus University; University of Copenhagen; University of Copenhagen; University of Oxford; University of Oxford; University of Copenhagen</t>
  </si>
  <si>
    <t>Senftleber, NK (corresponding author), Copenhagen Univ Hosp, Steno Diabet Ctr Copenhagen, Clin Res, Herlev, Denmark.</t>
  </si>
  <si>
    <t>ninna.senftleber@regionh.dk</t>
  </si>
  <si>
    <t>Frøst, Michael Bom/H-2797-2015; Pedersen, Hanne Enghoff/AAG-1125-2021</t>
  </si>
  <si>
    <t>Frøst, Michael Bom/0000-0002-0854-960X; Pedersen, Hanne Enghoff/0000-0001-7913-7373; Hansen, Torben/0000-0001-8748-3831</t>
  </si>
  <si>
    <t>Independent Research Fund Denmark [1030-00363B]; Greenlandic Research Council [80.045]</t>
  </si>
  <si>
    <t>Independent Research Fund Denmark(Det Frie Forskningsrad (DFF)); Greenlandic Research Council</t>
  </si>
  <si>
    <t>The study is funded by the Independent Research Fund Denmark (grant no. 1030-00363B), The Greenland Institute of Natural Resources (postdoctoral grant number 80.045), and The Greenlandic Research Council (research grant not numbered). Brugseni sponsored all foods for the dietary intervention and the ad libitum meal test.</t>
  </si>
  <si>
    <t>10.1080/22423982.2023.2178067</t>
  </si>
  <si>
    <t>9D7JR</t>
  </si>
  <si>
    <t>WOS:000936275000001</t>
  </si>
  <si>
    <t>Shaikh, N; Shenoy, BS; Bhat, NS; Shetty, S; Chethan, KN</t>
  </si>
  <si>
    <t>Shaikh, Numa; Shenoy, B. Satish; Bhat, N. Shaymasunder; Shetty, Sawan; Chethan, K. N.</t>
  </si>
  <si>
    <t>Wear estimation at the contact surfaces of oval shaped hip implants using finite element analysis</t>
  </si>
  <si>
    <t>Hip implants; finite element analysis; wear; material; Optimisation; Biomaterials</t>
  </si>
  <si>
    <t>STRESS; DESIGN; JOINT; BIOMECHANICS; SIMULATION; INTERFACE; GAIT; STEM</t>
  </si>
  <si>
    <t>The hip joint is one of the most essential joints for transmitting weights to the lower abdomen during day-to-day activities. Loosening of hip implants is mostly caused by wear. The wear assessment during the design stage offers a clear sense of the implant's life expectancy, and modest adjustments in the design may also greatly enhance the implant's life expectancy, lowering the probability of revision surgery. Linear wear is estimated at the contact surfaces of the femoral head to the acetabular cup and the acetabular cup to the backing cup in this study. In this work, oval-shaped hip implant is considered with a femoral head diameter of 28 mm, an acetabular cup thickness of 4 mm, and a backing cup thickness of 2 mm. The Archard's law used to estimate the linear wear rate. It is observed that when the acetabular cup is made of UHWMPE and the stem, femoral head, and backing cup are made of CoCr, the least overall deformation is 0.394 mm during walking loads. When the stem is considered Ti-6Al-4 V and the acetabular cup of UHWMPE, the minimum wear between the femoral head and acetabular cup is 0.063 mm/year. During a typical standing posture, an acetabular cup-to-backing cup wear rate of 0.007 mm/year is estimated. Overall, the CoCr material combination had the lowest wear rate in the four activities considered for this work. These implants designs can be 3D-printed and further can be tested in a hip simulator under the same loading conditions.</t>
  </si>
  <si>
    <t>[Shaikh, Numa; Shetty, Sawan] Manipal Inst Technol, Dept Mech &amp; Ind Engn, Manipal, Karnataka, India; [Shenoy, B. Satish; Chethan, K. N.] Manipal Acad Higher Educ, Manipal Inst Technol, Dept Aeronaut &amp; Automobile Engn, Manipal, Karnataka, India; [Bhat, N. Shaymasunder] Manipal Acad Higher Educ, Kasturba Med Coll, Dept Orthopaed, Manipal, Karnataka, India</t>
  </si>
  <si>
    <t>Manipal Academy of Higher Education (MAHE); Manipal Academy of Higher Education (MAHE); Manipal Academy of Higher Education (MAHE); Kasturba Medical College, Manipal</t>
  </si>
  <si>
    <t>Chethan, KN (corresponding author), Manipal Acad Higher Educ, Manipal Inst Technol, Dept Aeronaut &amp; Automobile Engn, Manipal, Karnataka, India.</t>
  </si>
  <si>
    <t>chethan.kn@manipal.edu</t>
  </si>
  <si>
    <t>Shenoy, Satish B/B-2710-2015; K N, Dr. Chethan/K-3415-2016</t>
  </si>
  <si>
    <t>Shenoy, Satish B/0000-0003-2374-3854; K N, Dr. Chethan/0000-0002-9399-685X</t>
  </si>
  <si>
    <t>10.1080/23311916.2023.2222985</t>
  </si>
  <si>
    <t>J3BG0</t>
  </si>
  <si>
    <t>WOS:001008389700001</t>
  </si>
  <si>
    <t>Shams, MMEF; Elsayed, MA</t>
  </si>
  <si>
    <t>Shams, Mostafa Mohamed Elsayed Fahmy; Elsayed, Marwa Adel</t>
  </si>
  <si>
    <t>Enhancing the quality of life in Egyptian cities during pandemics and its consequences on urban planning</t>
  </si>
  <si>
    <t>City planning sectors; coronavirus disease (COVID-19); pandemics; domains of quality of life</t>
  </si>
  <si>
    <t>This research aims to develop mitigation techniques for the implications that affect the city planning sectors in Egypt during COVID-19, which will guide urban planners and policymakers to enhance Egyptian citizen life during pandemics. A statistical thematic methodology was adopted by the research. The research method divided into three phases. The first phase considers the attitude of Egyptian citizens toward the global pandemic through conducting surveys. These surveys discuss the global effects of the pandemic and if these effects are felt in the Egyptian context or not. The second phase targets the citizen that disagree with the global effects as a result of the phase one survey through structured interviews. These interviews concluded the reasons behind the disagreement of the surveys in phase one as well as the effects that they personally suffer from during the pandemic. The third phase targets the policymakers and planners inside Egypt and their perspectives on the suitable mitigation techniques that can be implemented in the Egyptian context. This will finally lead to suggesting a set of mitigation techniques suitable for Egyptian cities. The research paper identified through a review of literature the mostly affected city planning sectors during COVID-19 which were 6 sectors. In addition, 25 global mitigation measures were identified through the literature. Results of the Surveys and structured interviews confirmed that the most affected sectors are transport &amp; land use, housing, and ICT respectively. Findings of data analysis showed that 10 extra mitigation measures were encountered to better enhance the Egyptian cities. These findings help planners and policy makers to plan cities that can cope with future pandemics. This research presents mitigation techniques for the implications that affect the city planning sectors in Egypt during COVID-19. It was based on research from case studies, a literature review, and a survey questionnaire. The mitigation techniques developed in a practical procedure where the goals of the research; required activities; techniques, and tools; elaborated the citizen needs and outputs. The mitigation techniques was authenticated by 24 of the Egyptian professionals' planners and policy makers to ensure its viability and practicability for implementation. The research categorized and examined the global effects that changed the quality of life during pandemics. Moreover, real life case study authenticated the global effects and explored the most successful mitigation countermeasures that suites the Egyptian context. The study focused on a subject that has recently attracted interest on a global scale. In addition, this paper developed 10 extra mitigation measures to better enhance the Egyptian cities and other developing countries of similar context. It represents a novel contribution that planners and policy makers can employ in similar context to the Egyptian cities.</t>
  </si>
  <si>
    <t>[Elsayed, Marwa Adel] British Univ Egypt BUE, Fac Engn, Architectural Engn Dept, Cairo Suez Desert Rd,POB 43, Al Shorouk 11837, Egypt; [Shams, Mostafa Mohamed Elsayed Fahmy; Elsayed, Marwa Adel] British Univ Egypt BUE, Fac Engn, Architectural Engn Dept, Al Shorouk, Egypt</t>
  </si>
  <si>
    <t>Elsayed, MA (corresponding author), British Univ Egypt BUE, Fac Engn, Architectural Engn Dept, Cairo Suez Desert Rd,POB 43, Al Shorouk 11837, Egypt.</t>
  </si>
  <si>
    <t>marwa.adel@bue.edu.eg</t>
  </si>
  <si>
    <t>10.1080/23311916.2023.2220504</t>
  </si>
  <si>
    <t>J5GI7</t>
  </si>
  <si>
    <t>WOS:001009897600001</t>
  </si>
  <si>
    <t>Sharma, A; Achi, SC; Ibeawuchi, SR; Anandachar, MS; Gementera, H; Chaudhury, U; Usmani, F; Vega, K; Sayed, IM; Das, S</t>
  </si>
  <si>
    <t>Sharma, Aditi; Achi, Sajan Chandrangadhan; Ibeawuchi, Stella-Rita; Anandachar, Mahitha Shree; Gementera, Hobie; Chaudhury, Uddeep; Usmani, Fatima; Vega, Kevin; Sayed, Ibrahim M.; Das, Soumita</t>
  </si>
  <si>
    <t>The crosstalk between microbial sensors ELMO1 and NOD2 shape intestinal immune responses</t>
  </si>
  <si>
    <t>Microbial sensors; NOD2; bacterial engulfment; AIEC-LF82; epithelial cells and macrophages; 3D-organoid; ELMO-1</t>
  </si>
  <si>
    <t>BARRIER DYSFUNCTION; STEM-CELLS; IN-VITRO; BACTERIAL; SUSCEPTIBILITY; STIMULATION; RECOGNITION; HOMEOSTASIS; ENGULFMENT; INDUCTION</t>
  </si>
  <si>
    <t>Microbial sensors play an essential role in maintaining cellular homoeostasis. Our knowledge is limited on how microbial sensing helps in differential immune response and its link to inflammatory diseases. Recently we have confirmed that ELMO1 (Engulfment and Cell Motility Protein-1) present in cytosol is involved in pathogen sensing, engulfment, and intestinal inflammation. Here, we show that ELMO1 interacts with another sensor, NOD2 (Nucleotide-binding oligomerization domain-containing protein 2), that recognizes bacterial cell wall component muramyl dipeptide (MDP). The polymorphism of NOD2 is linked to Crohn's disease (CD) pathogenesis. Interestingly, we found that overexpression of ELMO1 and mutant NOD2 (L1007fs) were not able to clear the CD-associated adherent invasive E. coli (AIEC-LF82). The functional implications of ELMO1-NOD2 interaction in epithelial cells were evaluated by using enteroid-derived monolayers (EDMs) from ELMO1 and NOD2 KO mice. Subsequently we also assessed the immune response in J774 macrophages depleted of either ELMO1 or NOD2 or both. The infection of murine EDMs with AIEC-LF82 showed higher bacterial load in ELMO1-KO, NOD2 KO EDMs, and ELMO1 KO EDMs treated with NOD2 inhibitors. The murine macrophage cells showed that the downregulation of ELMO1 and NOD2 is associated with impaired bacterial clearance that is linked to reduce pro-inflammatory cytokines and reactive oxygen species. Our results indicated that the crosstalk between microbial sensors in enteric infection and inflammatory diseases impacts the fate of the bacterial load and disease pathogenesis.</t>
  </si>
  <si>
    <t>[Sharma, Aditi; Achi, Sajan Chandrangadhan; Ibeawuchi, Stella-Rita; Anandachar, Mahitha Shree; Gementera, Hobie; Chaudhury, Uddeep; Usmani, Fatima; Vega, Kevin; Sayed, Ibrahim M.; Das, Soumita] Univ Calif San Diego, Dept Pathol, San Diego, CA 92093 USA; [Sayed, Ibrahim M.] Assiut Univ, Fac Med, Dept Med Microbiol &amp; Immunol, Assiut, Egypt; [Das, Soumita] Univ Massachusetts Lowell, Dept Biomed &amp; Nutr Sci, Lowell, MA 01854 USA</t>
  </si>
  <si>
    <t>University of California System; University of California San Diego; Egyptian Knowledge Bank (EKB); Assiut University; University of Massachusetts System; University of Massachusetts Lowell</t>
  </si>
  <si>
    <t>Das, S (corresponding author), Univ Calif San Diego, Dept Pathol, San Diego, CA 92093 USA.;Das, S (corresponding author), Univ Massachusetts Lowell, Dept Biomed &amp; Nutr Sci, Lowell, MA 01854 USA.</t>
  </si>
  <si>
    <t>soumita_das@uml.edu</t>
  </si>
  <si>
    <t>Sharma, Aditi/0000-0001-7199-0361</t>
  </si>
  <si>
    <t>10.1080/21505594.2023.2171690</t>
  </si>
  <si>
    <t>9A6ZT</t>
  </si>
  <si>
    <t>WOS:000934204600001</t>
  </si>
  <si>
    <t>Shi, SX; Han, DZ; Cui, MM</t>
  </si>
  <si>
    <t>Shi, Shuxin; Han, Dezhi; Cui, Mingming</t>
  </si>
  <si>
    <t>A multimodal hybrid parallel network intrusion detection model</t>
  </si>
  <si>
    <t>Intrusion detection; network traffic; convolutional neural network; long short-term memory (LSTM)</t>
  </si>
  <si>
    <t>DETECTION SYSTEM; SCHEME</t>
  </si>
  <si>
    <t>With the rapid growth of Internet data traffic, the means of malicious attack become more diversified. The single modal intrusion detection model cannot fully exploit the rich feature information in the massive network traffic data, resulting in unsatisfactory detection results. To address this issue, this paper proposes a multimodal hybrid parallel network intrusion detection model (MHPN). The proposed model extracts network traffic features from two modalities: the statistical information of network traffic and the original load of traffic, and constructs appropriate neural network models for each modal information. Firstly, a two-branch convolutional neural network is combined with Long Short-Term Memory (LSTM) network to extract the spatio-temporal feature information of network traffic from the original load mode of traffic, and a convolutional neural network is used to extract the feature information of traffic statistics. Then, the feature information extracted from the two modalities is fused and fed to the CosMargin classifier for network traffic classification. The experimental results on the ISCX-IDS 2012 and CIC-IDS-2017 datasets show that the MHPN model outperforms the single-modal models and achieves an average accuracy of 99.98 % . The model also demonstrates strong robustness and a positive sample recognition rate.</t>
  </si>
  <si>
    <t>[Shi, Shuxin; Han, Dezhi; Cui, Mingming] Shanghai Maritime Univ, Coll Informat Engn, Shanghai, Peoples R China</t>
  </si>
  <si>
    <t>Shanghai Maritime University</t>
  </si>
  <si>
    <t>Han, DZ (corresponding author), Shanghai Maritime Univ, Coll Informat Engn, Shanghai, Peoples R China.</t>
  </si>
  <si>
    <t>dzhan@shmtu.edu.cn</t>
  </si>
  <si>
    <t>10.1080/09540091.2023.2227780</t>
  </si>
  <si>
    <t>P3JP9</t>
  </si>
  <si>
    <t>WOS:001049641400001</t>
  </si>
  <si>
    <t>Shi, XY; Chu, C; Li, X; Zhang, LX; Zhang, XR; Chen, N; Liu, WW; Jiao, ZX; Ikejima, T; Xu, FX</t>
  </si>
  <si>
    <t>Shi, Xinyi; Chu, Chun; Li, Xiang; Zhang, Luxin; Zhang, Xiaorong; Chen, Na; Liu, Weiwei; Jiao, Zixuan; Ikejima, Takashi; Xu, Fanxing</t>
  </si>
  <si>
    <t>Silibinin protects GLUTag cells from PA-induced injury via suppressing endoplasmic reticulum stress</t>
  </si>
  <si>
    <t>Silibinin; palmitic acid; estrogen receptors alpha and beta; ER stress</t>
  </si>
  <si>
    <t>PANCREATIC BETA-CELLS; INSULIN-SECRETION; AUTOPHAGY; ALPHA; APOPTOSIS; LIPOTOXICITY; INVOLVEMENT; MICROBIOTA; CROSSTALK; RADIATION</t>
  </si>
  <si>
    <t>Silibinin is a natural flavonoid with anti-diabetic activity. Glucagon-like peptide-1 (GLP-1), an intestinal hormone mainly secreted from L cells, which regulates insulin production and sensitivity, appears to be a potential therapeutic strategy for T2DM. The current study aims to determine the protective effect of silibinin against palmitic acid (PA)-induced damage in GLUTag cells. The results revealed that PA triggered endoplasmic reticulum (ER) stress and apoptosis in GLUTag cells, while silibinin attenuated PA-induced lipotoxicity. Based on the estrogen-like effects of silibinin and the role of estrogen receptors in regulating glycolipid metabolism, the involvement of estrogen receptors in the protective effects of silibinin in GLUTag cells was further investigated. The results showed that estrogen receptor alpha- and beta-specific inhibitors reversed the inhibitory impact of silibinin on ER stress. Our study demonstrated that silibinin protects GLUTag cells from PA-induced injury by decreasing ER stress under the regulation of estrogen receptors alpha and beta.</t>
  </si>
  <si>
    <t>[Shi, Xinyi; Zhang, Luxin; Zhang, Xiaorong; Chen, Na; Liu, Weiwei; Jiao, Zixuan; Ikejima, Takashi; Xu, Fanxing] Shenyang Pharmaceut Univ, Wuya Coll Innovat, Shenyang, Peoples R China; [Chu, Chun] Shenyang Pharmaceut Univ, Sch Pharm, Shenyang, Peoples R China; [Li, Xiang] Shenyang Pharmaceut Univ, Sch Pharmaceut Engn, Shenyang, Peoples R China; [Ikejima, Takashi; Xu, Fanxing] Shenyang Pharmaceut Univ, Wuya Coll Innovat, 103 Wenhua Rd, Shenyang 110016, Peoples R China</t>
  </si>
  <si>
    <t>Shenyang Pharmaceutical University; Shenyang Pharmaceutical University; Shenyang Pharmaceutical University; Shenyang Pharmaceutical University</t>
  </si>
  <si>
    <t>Ikejima, T; Xu, FX (corresponding author), Shenyang Pharmaceut Univ, Wuya Coll Innovat, 103 Wenhua Rd, Shenyang 110016, Peoples R China.</t>
  </si>
  <si>
    <t>ikejimat@vip.sina.com; fanxing0011@163.com</t>
  </si>
  <si>
    <t>National Natural Science Foundation of China [81803603]; Natural Science Foundation of Liaoning Province [2020-MS-195]; Foundation of Liaoning Educational Committee [LJKZ0932]; China Postdoctoral Science Foundation [2021M691324, 2017M621161, 2018T110462]; Shenyang Young and Middleaged Scientific and Technological Innovation Talents Support Project [RC220420]; Excellent Young Scholars Program of Shenyang Pharmaceutical University [YQ202114]</t>
  </si>
  <si>
    <t>National Natural Science Foundation of China(National Natural Science Foundation of China (NSFC)); Natural Science Foundation of Liaoning Province(Natural Science Foundation of Liaoning Province); Foundation of Liaoning Educational Committee; China Postdoctoral Science Foundation(China Postdoctoral Science Foundation); Shenyang Young and Middleaged Scientific and Technological Innovation Talents Support Project; Excellent Young Scholars Program of Shenyang Pharmaceutical University</t>
  </si>
  <si>
    <t>This work was funded by National Natural Science Foundation of China [grant number 81803603], Natural Science Foundation of Liaoning Province [grant number 2020-MS-195], Foundation of Liaoning Educational Committee [grant number LJKZ0932], Project funded by China Postdoctoral Science Foundation [grant number 2021M691324, 2017M621161, 2018T110462], Shenyang Young and Middleaged Scientific and Technological Innovation Talents Support Project [grant number RC220420], and Excellent Young Scholars Program of Shenyang Pharmaceutical University [grant number YQ202114].</t>
  </si>
  <si>
    <t>10.1080/19476337.2023.2222787</t>
  </si>
  <si>
    <t>K6ZC8</t>
  </si>
  <si>
    <t>WOS:001017895400001</t>
  </si>
  <si>
    <t>Shiotani, Y; Kudo, G</t>
  </si>
  <si>
    <t>Shiotani, Yuki; Kudo, Gaku</t>
  </si>
  <si>
    <t>Spatiotemporal niche overlap, asymmetric reproductive interference, and population genetics between the sympatric species, Rhododendron diversipilosum and Rhododendron subarcticum, in alpine fellfield habitat</t>
  </si>
  <si>
    <t>ARCTIC ANTARCTIC AND ALPINE RESEARCH</t>
  </si>
  <si>
    <t>Alpine plant; competition; congeneric species; interspecific interaction; reproductive interference</t>
  </si>
  <si>
    <t>PALUSTRE SSP DECUMBENS; COMPETITION; DIVERSITY; CONSEQUENCES; FACILITATION; SHRUB; ZONE</t>
  </si>
  <si>
    <t>Reproductive interference between sympatric-related species often causes adverse impacts on rare species, which increases the risk of local extinction, particularly in small and isolated populations. To evaluate the congeneric interactions in alpine plants, we compared the ecological and genetic properties and assessed the reproductive interference between tetraploid Rhododendron diversipilosum (widespread species) and diploid Rhododendron subarcticum (rare species in alpine fellfields) in northern Japan. In alpine fellfields, R. diversipilosum is commonly distributed close to shrubby patches, whereas R. subarcticum tends to grow in more exposed places, although they are sometimes mixed. R. subarcticum initiated flowering one week earlier; however, the flowering periods overlapped between species, indicating incomplete phenological isolation. The pollination experiment showed that both species were self-incompatible. Furthermore, heterospecific pollination occurred only for R. subarcticum; however, hybrid seeds seldom germinated. These results indicate that reproductive interference is asymmetric between species, where only the rare R. subarcticum may suffer from heterospecific pollination. Genetic analysis showed that R. subarcticum populations had lower genetic diversity but higher divergence among populations than R. diversipilosum. Although spatiotemporal niche separations may mitigate reproductive interference, the risk of local extinction could be higher in R. subarcticum populations because of isolated distributions with low genetic diversity.</t>
  </si>
  <si>
    <t>[Shiotani, Yuki] Hokkaido Univ, Grad Sch Environm Sci, Sapporo, Japan; [Kudo, Gaku] Hokkaido Univ, Fac Environm Earth Sci, Sapporo, Japan; [Shiotani, Yuki] Hokkaido Univ, Grad Sch Environm Sci, Sapporo, Hokkaido 0600810, Japan</t>
  </si>
  <si>
    <t>Hokkaido University; Hokkaido University; Hokkaido University</t>
  </si>
  <si>
    <t>Shiotani, Y (corresponding author), Hokkaido Univ, Grad Sch Environm Sci, Sapporo, Hokkaido 0600810, Japan.</t>
  </si>
  <si>
    <t>yuki-shiotani@eis.hokudai.ac.jp</t>
  </si>
  <si>
    <t>1523-0430</t>
  </si>
  <si>
    <t>1938-4246</t>
  </si>
  <si>
    <t>ARCT ANTARCT ALP RES</t>
  </si>
  <si>
    <t>Arct. Antarct. Alp. Res.</t>
  </si>
  <si>
    <t>10.1080/15230430.2023.2188716</t>
  </si>
  <si>
    <t>Environmental Sciences; Geography, Physical</t>
  </si>
  <si>
    <t>Environmental Sciences &amp; Ecology; Physical Geography</t>
  </si>
  <si>
    <t>A6JZ4</t>
  </si>
  <si>
    <t>WOS:000956177200001</t>
  </si>
  <si>
    <t>Shivaprakash, YM; Prabhu, S; Anne, G; Gurumurthy, BM; Hiremath, P; Sharma, S; Sowrabh, BS</t>
  </si>
  <si>
    <t>Shivaprakash, Y. M.; Prabhu, Satisha; Anne, Gajanan; Gurumurthy, B. M.; Hiremath, Pavan; Sharma, Sathyashankara; Sowrabh, B. S.</t>
  </si>
  <si>
    <t>High-temperature dry sliding wear behaviour of pre-aged 3-step T6-treated Al7075 hybrid matrix composite</t>
  </si>
  <si>
    <t>composite; step aging; hardness; high temperature wear; SEM; &gt;</t>
  </si>
  <si>
    <t>MECHANICAL-PROPERTIES; ALUMINUM-ALLOY; TIB2 PARTICLES; MICROSTRUCTURE; PARAMETERS; EVOLUTION; AA7075</t>
  </si>
  <si>
    <t>The focus of current work is to narrow the understanding of high-temperature dry sliding wear behaviour of Al7075 and its composite, which contains Si3N4 and 2 wt.% granite powder and is pre-aged and T6-treated in 3-steps. The composite is prepared by conventional stir casting. The time to attain peak hardness at 100 &amp; DEG;C, 120 &amp; DEG;C and 150 &amp; DEG;C is taken as the basis to fix the duration of each step in 3-step aging process. The alloy and composite were initially pre-aged and are followed by 3-step T6 treatment. The alloy and composite hardness due to this heat treatment were 185.6 and 197.6 VHN respectively. Further the treated alloy and composite were subjected to temperature dependent isothermal dry sliding wear by choosing the operating temperature as 35 &amp; DEG;C, 70 &amp; DEG;C, 140 &amp; DEG;C and 210 &amp; DEG;C. The results showed that, average wear rate of alloy was more as compared to composite for each of the temperature and normal load. An inverse relation is noticed among hardness and wear rate. But wear rate was found to vary in direct relation to the temperature. Also the co-efficient of friction showed an increasing trend with increase in temperature. It is found to be noticeably high for alloy than the composite for all temperature and normal load.</t>
  </si>
  <si>
    <t>[Shivaprakash, Y. M.; Prabhu, Satisha; Anne, Gajanan; Gurumurthy, B. M.; Hiremath, Pavan; Sharma, Sathyashankara; Sowrabh, B. S.] Manipal Acad Higher Educ, Manipal Inst Technol, Dept Mech &amp; Ind Engn, Manipal, Karnataka, India</t>
  </si>
  <si>
    <t>Manipal Academy of Higher Education (MAHE)</t>
  </si>
  <si>
    <t>Gurumurthy, BM (corresponding author), Manipal Acad Higher Educ, Manipal Inst Technol, Dept Mech &amp; Ind Engn, Manipal, Karnataka, India.</t>
  </si>
  <si>
    <t>gurumurthy.bm@manipal.edu</t>
  </si>
  <si>
    <t>10.1080/23311916.2023.2235820</t>
  </si>
  <si>
    <t>N0SI0</t>
  </si>
  <si>
    <t>WOS:001034212500001</t>
  </si>
  <si>
    <t>Sithara, S; Crowley, T; Walder, K; Aston-Mourney, K</t>
  </si>
  <si>
    <t>Sithara, Smithamol; Crowley, Tamsyn; Walder, Ken; Aston-Mourney, Kathryn</t>
  </si>
  <si>
    <t>Identification of reversible and druggable pathways to improve beta-cell function and survival in Type 2 diabetes</t>
  </si>
  <si>
    <t>ISLETS</t>
  </si>
  <si>
    <t>Transcriptomics; gene expression; beta-cell; Type 2 diabetes; pharmacology; gene set enrichment analysis</t>
  </si>
  <si>
    <t>ENDOPLASMIC-RETICULUM STRESS; OXIDATIVE STRESS; GLUCOSE TOXICITY; GENE-EXPRESSION; APOPTOSIS; METABOLISM; PROLIFERATION; PROTEIN; BAD; HYPERGLYCEMIA</t>
  </si>
  <si>
    <t>Targeting beta-cell failure could prevent, delay or even partially reverse Type 2 diabetes. However, development of such drugs is limited as the molecular pathogenesis is complex and incompletely understood. Further, while beta-cell failure can be modeled experimentally, only some of the molecular changes will be pathogenic. Therefore, we used a novel approach to identify molecular pathways that are not only changed in a diabetes-like state but also are reversible and can be targeted by drugs. INS1E cells were cultured in high glucose (HG, 20 mM) for 72 h or HG for an initial 24 h followed by drug addition (exendin-4, metformin and sodium salicylate) for the remaining 48 h. RNAseq (Illumina TruSeq), gene set enrichment analysis (GSEA) and pathway analysis (using Broad Institute, Reactome, KEGG and Biocarta platforms) were used to identify changes in molecular pathways. HG decreased function and increased apoptosis in INS1E cells with drugs partially reversing these effects. HG resulted in upregulation of 109 pathways while drug treatment downregulated 44 pathways with 21 pathways in common. Interestingly, while hyperglycemia extensively upregulated metabolic pathways, they were not altered with drug treatment, rather pathways involved in the cell cycle featured more heavily. GSEA for hyperglycemia identified many known pathways validating the applicability of our cell model to human disease. However, only a fraction of these pathways were downregulated with drug treatment, highlighting the importance of considering druggable pathways. Overall, this provides a powerful approach and resource for identifying appropriate targets for the development of beta-cell drugs.</t>
  </si>
  <si>
    <t>[Sithara, Smithamol; Walder, Ken; Aston-Mourney, Kathryn] Deakin Univ, Inst Innovat Phys &amp; Mental Hlth &amp; Clin Translat, Sch Med, IMPACT, Geelong, Australia; [Crowley, Tamsyn] Deakin Univ, Sch Med Bioinformat Core Res Facil, Geelong, Australia; [Aston-Mourney, Kathryn] Bldg Nb, 75 Pidgons Rd, Geelong, Vic 3216, Australia</t>
  </si>
  <si>
    <t>Deakin University; Deakin University</t>
  </si>
  <si>
    <t>Aston-Mourney, K (corresponding author), Bldg Nb, 75 Pidgons Rd, Geelong, Vic 3216, Australia.</t>
  </si>
  <si>
    <t>k.astonmourney@deakin.edu.au</t>
  </si>
  <si>
    <t>1938-2014</t>
  </si>
  <si>
    <t>1938-2022</t>
  </si>
  <si>
    <t>Islets</t>
  </si>
  <si>
    <t>10.1080/19382014.2023.2165368</t>
  </si>
  <si>
    <t>8E4VB</t>
  </si>
  <si>
    <t>WOS:000918971800001</t>
  </si>
  <si>
    <t>Song, JG; Baral, KC; Kim, GL; Park, JW; Seo, SH; Kim, D; Jung, DH; Ifekpolugo, NL; Han, HK</t>
  </si>
  <si>
    <t>Song, Jae Geun; Baral, Kshitis Chandra; Kim, Gyu-Lin; Park, Ji-Won; Seo, Soo-Hwa; Kim, Da-Hyun; Jung, Dong Hoon; Ifekpolugo, Nonye Linda; Han, Hyo-Kyung</t>
  </si>
  <si>
    <t>Quantitative analysis of therapeutic proteins in biological fluids: recent advancement in analytical techniques</t>
  </si>
  <si>
    <t>Protein drugs; protein assays; LC-MS; MS; ELISA; chromatographic separation; quantitation</t>
  </si>
  <si>
    <t>SOLID-PHASE EXTRACTION; LIQUID-LIQUID-EXTRACTION; CHROMATOGRAPHY-MASS SPECTROMETRY; IMMUNOSORBENT-ASSAY ELISA; LC-MS/MS METHOD; REVERSED-PHASE; SAMPLE PREPARATION; MOBILE-PHASE; HUMAN PLASMA; ELECTROSPRAY-IONIZATION</t>
  </si>
  <si>
    <t>Pharmaceutical application of therapeutic proteins has been continuously expanded for the treatment of various diseases. Efficient and reliable bioanalytical methods are essential to expedite the identification and successful clinical development of therapeutic proteins. In particular, selective quantitative assays in a high-throughput format are critical for the pharmacokinetic and pharmacodynamic evaluation of protein drugs and to meet the regulatory requirements for new drug approval. However, the inherent complexity of proteins and many interfering substances presented in biological matrices have a great impact on the specificity, sensitivity, accuracy, and robustness of analytical assays, thereby hindering the quantification of proteins. To overcome these issues, various protein assays and sample preparation methods are currently available in a medium- or high-throughput format. While there is no standard or universal approach suitable for all circumstances, a liquid chromatography-tandem mass spectrometry (LC-MS/MS) assay often becomes a method of choice for the identification and quantitative analysis of therapeutic proteins in complex biological samples, owing to its high sensitivity, specificity, and throughput. Accordingly, its application as an essential analytical tool is continuously expanded in pharmaceutical R&amp;D processes. Proper sample preparation is also important since clean samples can minimize the interference from co-existing substances and improve the specificity and sensitivity of LC-MS/MS assays. A combination of different methods can be utilized to improve bioanalytical performance and ensure more accurate quantification. This review provides an overview of various protein assays and sample preparation methods, with particular emphasis on quantitative protein analysis by LC-MS/MS.</t>
  </si>
  <si>
    <t>[Han, Hyo-Kyung] Dongguk Univ Seoul, BK21 FOUR Team, Coll Pharm, Dongguk Ro 32, Goyang 10326, South Korea; Dongguk Univ Seoul, Integrated Res Inst Drug Dev, Coll Pharm, Goyang, South Korea</t>
  </si>
  <si>
    <t>Dongguk University; Dongguk University</t>
  </si>
  <si>
    <t>Han, HK (corresponding author), Dongguk Univ Seoul, BK21 FOUR Team, Coll Pharm, Dongguk Ro 32, Goyang 10326, South Korea.</t>
  </si>
  <si>
    <t>hkhan@dongguk.edu</t>
  </si>
  <si>
    <t>National Research Foundation of Korea (NRF) - Korean Government (MSIT) [2019R1A2C2004873, 2018R1A5A2023127]; BK21 FOUR program through NRF of Korea - Ministry of Education (MOE, Korea)</t>
  </si>
  <si>
    <t>National Research Foundation of Korea (NRF) - Korean Government (MSIT)(National Research Foundation of KoreaMinistry of Science &amp; ICT (MSIT), Republic of Korea); BK21 FOUR program through NRF of Korea - Ministry of Education (MOE, Korea)(Ministry of Education (MOE), Republic of KoreaNational Research Foundation of Korea)</t>
  </si>
  <si>
    <t>This research was supported by the National Research Foundation of Korea (NRF) grants funded by the Korean Government (MSIT) (No. 2019R1A2C2004873 and No. 2018R1A5A2023127) and by the BK21 FOUR program through NRF of Korea funded by the Ministry of Education (MOE, Korea).</t>
  </si>
  <si>
    <t>10.1080/10717544.2023.2183816</t>
  </si>
  <si>
    <t>9R7RK</t>
  </si>
  <si>
    <t>WOS:000945845200001</t>
  </si>
  <si>
    <t>Stols-Gonçalves, D; Mak, AL; Madsen, MS; van der Vossen, EWJ; Bruinstroop, E; Henneman, P; Mol, F; Scheithauer, TPM; Smits, L; Witjes, J; Meijnikman, AS; Verheij, J; Nieuwdorp, M; Holleboom, AG; Levin, E</t>
  </si>
  <si>
    <t>Stols-Goncalves, Daniela; Mak, Anne Linde; Madsen, Mette S.; van der Vossen, Eduard W. J.; Bruinstroop, Eveline; Henneman, Peter; Mol, Femke; Scheithauer, Torsten P. M.; Smits, Loek; Witjes, Julia; Meijnikman, Abraham Stijn; Verheij, Joanne; Nieuwdorp, Max; Holleboom, Adriaan G.; Levin, Evgeni</t>
  </si>
  <si>
    <t>Faecal Microbiota transplantation affects liver DNA methylation in Non-alcoholic fatty liver disease: a multi-omics approach</t>
  </si>
  <si>
    <t>DNA methylation; faecal microbiota transplantation (FMT); non-alcoholic fatty liver disease (NAFLD); multi-omics analysis</t>
  </si>
  <si>
    <t>GUT MICROBIOTA; ALIGNMENT; EPIGENETICS; MUTATIONS; DIET; GENE</t>
  </si>
  <si>
    <t>Individuals with nonalcoholic fatty liver disease (NAFLD) have an altered gut microbiota composition. Moreover, hepatic DNA methylation may be altered in the state of NAFLD. Using a fecal microbiota transplantation (FMT) intervention, we aimed to investigate whether a change in gut microbiota composition relates to altered liver DNA methylation in NAFLD. Moreover, we assessed whether plasma metabolite profiles altered by FMT relate to changes in liver DNA methylation. Twenty-one individuals with NAFLD underwent three 8-weekly vegan allogenic donor (n = 10) or autologous (n = 11) FMTs. We obtained hepatic DNA methylation profiles from paired liver biopsies of study participants before and after FMTs. We applied a multi-omics machine learning approach to identify changes in the gut microbiome, peripheral blood metabolome and liver DNA methylome, and analyzed cross-omics correlations. Vegan allogenic donor FMT compared to autologous FMT induced distinct differential changes in I) gut microbiota profiles, including increased abundance of Eubacterium siraeum and potential probiotic Blautia wexlerae; II) plasma metabolites, including altered levels of phenylacetylcarnitine (PAC) and phenylacetylglutamine (PAG) both from gut-derived phenylacetic acid, and of several choline-derived long-chain acylcholines; and III) hepatic DNA methylation profiles, most importantly in Threonyl-TRNA Synthetase 1 (TARS) and Zinc finger protein 57 (ZFP57). Multi-omics analysis showed that Gemmiger formicillis and Firmicutes bacterium_CAG_170 positively correlated with both PAC and PAG. E siraeum negatively correlated with DNA methylation of cg16885113 in ZFP57. Alterations in gut microbiota composition by FMT caused widespread changes in plasma metabolites (e.g. PAC, PAG, and choline-derived metabolites) and liver DNA methylation profiles in individuals with NAFLD. These results indicate that FMTs might induce metaorganismal pathway changes, from the gut bacteria to the liver.</t>
  </si>
  <si>
    <t>[Stols-Goncalves, Daniela; Mak, Anne Linde; van der Vossen, Eduard W. J.; Scheithauer, Torsten P. M.; Smits, Loek; Witjes, Julia; Meijnikman, Abraham Stijn; Nieuwdorp, Max; Holleboom, Adriaan G.; Levin, Evgeni] Univ Amsterdam, Dept Vasc Med, Med Ctr, Amsterdam, Netherlands; [Mak, Anne Linde; Bruinstroop, Eveline; Henneman, Peter; Scheithauer, Torsten P. M.; Witjes, Julia; Meijnikman, Abraham Stijn; Verheij, Joanne; Nieuwdorp, Max; Holleboom, Adriaan G.; Levin, Evgeni] Univ Amsterdam, Amsterdam Gastroenterol Endocrinol Metab AGEM Ins, Amsterdam UMC, Amsterdam, Netherlands; [Madsen, Mette S.] Gubra, Horsholm, Denmark; [Madsen, Mette S.] Tech Univ Denmark, Novo Nord Fdn Ctr Biosustainabil, Lyngby, Denmark; [Bruinstroop, Eveline] Univ Amsterdam, Dept Endocrinol, Med Ctr, Amsterdam, Netherlands; [Henneman, Peter] Univ Amsterdam, Dept Human Genet, Med Ctr, Amsterdam, Netherlands; [Levin, Evgeni] Horaizon BV, Delft, Netherlands; [Scheithauer, Torsten P. M.] Univ Amsterdam, Vrije Univ VU,Univ Med Ctr, Dept Internal Med, Med Ctr, Amsterdam, Netherlands; [Verheij, Joanne] Univ Amsterdam, Dept Pathol, Med Ctr, Amsterdam, Netherlands</t>
  </si>
  <si>
    <t>University of Amsterdam; University of Amsterdam; Technical University of Denmark; University of Amsterdam; University of Amsterdam; Vrije Universiteit Amsterdam; University of Amsterdam; University of Amsterdam</t>
  </si>
  <si>
    <t>Stols-Gonçalves, D (corresponding author), Univ Amsterdam, Dept Vasc Med, Med Ctr, Amsterdam, Netherlands.</t>
  </si>
  <si>
    <t>d.stolsgoncalves@amsterdamumc.nl</t>
  </si>
  <si>
    <t>Verheij, Joanne/0000-0003-1283-630X</t>
  </si>
  <si>
    <t>CVON INCONTROL-2 grant; ZONMW VICI [09150182010020]; Innovation Fund Denmark [7038-00008B]; Amsterdam UMC Fellowship grant; Dutch Gastroenterology Foundation MLDS; Holland Health TKI-PPP</t>
  </si>
  <si>
    <t>CVON INCONTROL-2 grant; ZONMW VICI; Innovation Fund Denmark; Amsterdam UMC Fellowship grant; Dutch Gastroenterology Foundation MLDS; Holland Health TKI-PPP</t>
  </si>
  <si>
    <t>E. vd V. is supported by a CVON INCONTROL-2 grant. M.N. is supported by a personal ZONMW VICI grant 2020 (09150182010020). M.S.M. is supported by a grant from Innovation Fund Denmark [7038-00008B]. A.G.H. is supported by the Amsterdam UMC Fellowship grant, the Amsterdam UMC Innovation grant, two grants from the Dutch Gastroenterology Foundation MLDS and two grants from Holland Health TKI-PPP.</t>
  </si>
  <si>
    <t>10.1080/19490976.2023.2223330</t>
  </si>
  <si>
    <t>J3BR1</t>
  </si>
  <si>
    <t>WOS:001008400800001</t>
  </si>
  <si>
    <t>Streipert, SH; Wolkowicz, GSK</t>
  </si>
  <si>
    <t>Streipert, Sabrina H.; Wolkowicz, Gail S. K.</t>
  </si>
  <si>
    <t>Technique to derive discrete population models with delayed growth</t>
  </si>
  <si>
    <t>JOURNAL OF BIOLOGICAL DYNAMICS</t>
  </si>
  <si>
    <t>Delay difference equations; global stability; persistence; critical delay threshold; Beverton-Holt; Ricker</t>
  </si>
  <si>
    <t>GLOBAL STABILITY; DYNAMICS; MATURITY; LENGTH; AGE</t>
  </si>
  <si>
    <t>We provide a procedure for deriving discrete population models for the size of the adult population at the beginning of each breeding cycle and assume only adult individuals reproduce. This derivation technique includes delay to account for the number of breeding cycles that a newborn individual remains immature and does not contribute to reproduction. These models include a survival probability (during the delay period) for the immature individuals, since these individuals have to survive to reach maturity and become members of, what we consider, the adult population. We discuss properties of this class of discrete delay population models and show that there is a critical delay threshold. The population goes extinct if the delay exceeds this threshold. We apply this derivation procedure to obtain two models, a Beverton-Holt adult model and a Ricker adult model and discuss the global dynamics of both models.</t>
  </si>
  <si>
    <t>[Streipert, Sabrina H.] Univ Pittsburgh, Dept Math, Pittsburgh, PA USA; [Wolkowicz, Gail S. K.] McMaster Univ, Dept Math &amp; Stat, Hamilton, ON, Canada</t>
  </si>
  <si>
    <t>Pennsylvania Commonwealth System of Higher Education (PCSHE); University of Pittsburgh; McMaster University</t>
  </si>
  <si>
    <t>Wolkowicz, GSK (corresponding author), McMaster Univ, Dept Math &amp; Stat, Hamilton, ON, Canada.</t>
  </si>
  <si>
    <t>wolkowic@mcmaster.ca</t>
  </si>
  <si>
    <t>We thank the handling editor and the reviewers for their suggestions that have lead to an improvement in the manuscript.</t>
  </si>
  <si>
    <t>1751-3758</t>
  </si>
  <si>
    <t>1751-3766</t>
  </si>
  <si>
    <t>J BIOL DYNAM</t>
  </si>
  <si>
    <t>J. Biol. Dyn.</t>
  </si>
  <si>
    <t>10.1080/17513758.2023.2244987</t>
  </si>
  <si>
    <t>Ecology; Mathematical &amp; Computational Biology</t>
  </si>
  <si>
    <t>Environmental Sciences &amp; Ecology; Mathematical &amp; Computational Biology</t>
  </si>
  <si>
    <t>Q5YF0</t>
  </si>
  <si>
    <t>WOS:001058269800001</t>
  </si>
  <si>
    <t>Sultan, MT; Anwar, MJ; Imran, M; Khalil, I; Saeed, F; Neelum, S; Alsagaby, SA; Al Abdulmonem, W; Abdelgawad, MA; Hussain, M; El-Ghorab, AH; Umar, M; Al Jbawi, E</t>
  </si>
  <si>
    <t>Sultan, Muhammad Tauseef; Anwar, Muhammad Junaid; Imran, Muhammad; Khalil, Ijaz; Saeed, Farhan; Neelum, Shahzadi; Alsagaby, Suliman A.; Al Abdulmonem, Waleed; Abdelgawad, Mohamed A.; Hussain, Muzzamal; El-Ghorab, Ahmed H.; Umar, Maryam; Al Jbawi, Entessar</t>
  </si>
  <si>
    <t>Phytochemical profile and pro-healthy properties of Terminalia chebula: A comprehensive review</t>
  </si>
  <si>
    <t>Medicinal plants; Complementary medicines; Terminalia chebula; antioxidants; Functional foods</t>
  </si>
  <si>
    <t>HYDROLYZABLE TANNINS; AQUEOUS EXTRACT; ALPHA-GLUCOSIDASE; FRUIT EXTRACTS; DOUBLE-BLIND; IN-VITRO; RETZ.; ACID; ANTIOXIDANT; PLANTS</t>
  </si>
  <si>
    <t>Globalization witnessed changing trends in consumer markets. However, their long-term impacts include lifestyle and dietary changes. Although research in the pharmaceutical and chemical sciences led to the discovery and development of drugs saving millions of lives, their persistent use led to safety and toxicological issues. The plants previously used in Chinese and Ayurveda medicines received attention of the researchers to validate their traditional therapeutic applications. As a result, the reliance of communities on complementary and alternative medicines started to recover in the last few decades. The myrobalan (Terminalia chebula) is one such example that was renowned as the king of medicinal plants in Ayurveda due to its wide range of utilization in herbal decoctions to treat various health disparities. The current review showed phytochemical profile, that includes phenolic acids, casuarinin, chebulagic acid, chebulinic acid, rutin, and corilagin. Phytochemistry is linked with its medicinal applications and several research studies validated its antioxidant, antimicrobial, anti-inflammatory, hypoglycemic, and digestive tonic. The facts presented in the current article are derived from cell culture, animal, and human studies. Moreover, conceptualized framework regarding the effectiveness against cardiovascular disorders, immune dysfunction, cancer insurgence, and neurological disorders is in the limelight of the article. In last, a comprehensive discussion regarding its potential inclusion in the modern-day functional food market and presents its future applications.</t>
  </si>
  <si>
    <t>[Sultan, Muhammad Tauseef; Anwar, Muhammad Junaid; Khalil, Ijaz] Bahauddin Zakariya Univ, Inst Food &amp; Nutr, Multan, Pakistan; [Imran, Muhammad] Univ Narowal Pakistan, Dept Food Sci &amp; Technol, Narowal, Pakistan; [Saeed, Farhan; Hussain, Muzzamal; Umar, Maryam] Univ Faisalabad, Dept Food Sci, Govt Coll, Faisalabad, Pakistan; [Neelum, Shahzadi] Hamdard Univ, Dept Biochem, Karachi, Pakistan; [Alsagaby, Suliman A.] Majmaah Univ, Coll Appl Med Sci, Dept Med Lab Sci, AL Majmaah, Saudi Arabia; [Al Abdulmonem, Waleed] Qassim Univ, Coll Med, Dept Pathol, Buraydah, Saudi Arabia; [Abdelgawad, Mohamed A.] Jouf Univ, Coll Pharm, Dept Pharmaceut Chem, Sakaka, Saudi Arabia; [El-Ghorab, Ahmed H.] Jouf Univ, Coll Sci, Dept Chem, Sakaka, Saudi Arabia; [Al Jbawi, Entessar] MAAR, Agr Extens Directorate, Damascus, Syria</t>
  </si>
  <si>
    <t>Bahauddin Zakariya University; Government College University Faisalabad; Hamdard University; Majmaah University; Qassim University; Al Jouf University; Al Jouf University</t>
  </si>
  <si>
    <t>Al Jbawi, E (corresponding author), MAAR, Agr Extens Directorate, Damascus, Syria.</t>
  </si>
  <si>
    <t>dr.entessara@gmail.com</t>
  </si>
  <si>
    <t>Imran, Muhammad/JEF-6364-2023; Anwar, Muhammad Junaid/IUP-5774-2023; El Ghorab, Prof. Dr . Ahmed H/ABB-7807-2022; Abdelgawad, Mohamed A./X-5943-2019</t>
  </si>
  <si>
    <t>Anwar, Muhammad Junaid/0000-0002-8352-7742; El Ghorab, Prof. Dr . Ahmed H/0000-0002-5500-3124; Hussain, Muzzamal/0000-0001-6508-1962; abdelgawad, mohamed/0000-0001-9035-5638; Alsagaby, Suliman/0000-0002-2242-5638; AL JBawi, Entesssar/0000-0002-1804-1770</t>
  </si>
  <si>
    <t>10.1080/10942912.2023.2166951</t>
  </si>
  <si>
    <t>8L9OR</t>
  </si>
  <si>
    <t>WOS:000924107600001</t>
  </si>
  <si>
    <t>Sun, DL; Wu, XQ; Wen, HJ; Gu, QY</t>
  </si>
  <si>
    <t>Sun, Deliang; Wu, Xiaoqing; Wen, Haijia; Gu, Qingyu</t>
  </si>
  <si>
    <t>A LightGBM-based landslide susceptibility model considering the uncertainty of non-landslide samples</t>
  </si>
  <si>
    <t>Information quantity method; Light Gradient Boosting Machine (LightGBM); Bayesian optimization; box plot diagram; SHapley Additive exPlanation (SHAP)</t>
  </si>
  <si>
    <t>NEURAL-NETWORKS; ABSENCE DATA; SELECTION; INFORMATION; XGBOOST; CHINA; SVM</t>
  </si>
  <si>
    <t>The quality of samples is crucial in constructing a data-driven landslide susceptibility model. This article aims to construct a data-driven landslide susceptibility model that takes into account the selection of non-landslide samples. First, 21 conditioning factors are selected, including four types of topography and landform, geological conditions, environmental conditions, and human activities. Grid units with 30 m resolution are established by combining 942 historical landslide events in study area. Second, non-landslide samples are selected using both the traditional method and the information quantity method. Two landslide susceptibility models are established using the Bayesian optimization-LightGBM model. The accuracy of the model is evaluated by significance test and the area under curve (AUC). Finally, the SHAP algorithm is used to analyse the internal mechanism of the model's decision-making. Based on the information quantity method, the LightGBM model identifies very high-high susceptibility areas that account for 77.92% of the total number of landslides. Additionally, the AUC of test set and the AUC of training set are 23.2% and 17.1% higher, respectively, compared to the traditional model. The selection of different sample data, whether landslide or non-landslide, impacts the factor rank, model accuracy, and the interal decision-making mechanism of the model. This finding provides valuable for the selection of sample data in the binary classification model.</t>
  </si>
  <si>
    <t>[Sun, Deliang; Wu, Xiaoqing; Gu, Qingyu] Chongqing Normal Univ, Sch Geog &amp; Tourism, Key Lab GIS Applicat Res, Chongqing, Peoples R China; [Wen, Haijia] Chongqing Univ, Natl Joint Engn Res Ctr Geohazards Prevent Reservo, Sch Civil Engn, Key Lab New Technol Construction Cities Mt Area, Chongqing, Peoples R China</t>
  </si>
  <si>
    <t>Chongqing Normal University; Chongqing University</t>
  </si>
  <si>
    <t>Wen, HJ (corresponding author), Chongqing Univ, Natl Joint Engn Res Ctr Geohazards Prevent Reservo, Sch Civil Engn, Key Lab New Technol Construction Cities Mt Area, Chongqing, Peoples R China.</t>
  </si>
  <si>
    <t>jhw@cqu.edu.cn</t>
  </si>
  <si>
    <t>Wen, Haijia/J-8112-2019</t>
  </si>
  <si>
    <t>Wen, Haijia/0000-0002-2045-729X</t>
  </si>
  <si>
    <t>Natural Science Foundation of Chongqing [CSTB2022NSCQ-MSX0594]; National Social Science Funds of China [22BJY140]</t>
  </si>
  <si>
    <t>Natural Science Foundation of Chongqing(Natural Science Foundation of Chongqing); National Social Science Funds of China</t>
  </si>
  <si>
    <t>This work was supported by the Natural Science Foundation of Chongqing (CSTB2022NSCQ-MSX0594) and National Social Science Funds of China (Grant No. 22BJY140).</t>
  </si>
  <si>
    <t>10.1080/19475705.2023.2213807</t>
  </si>
  <si>
    <t>G9YV2</t>
  </si>
  <si>
    <t>WOS:000992634400001</t>
  </si>
  <si>
    <t>Sun, H; Xu, Q; Wang, YJ; Zhao, ZY; Zhang, XH; Liu, H; Gao, JH</t>
  </si>
  <si>
    <t>Sun, Hao; Xu, Qian; Wang, Yunjia; Zhao, Zhiyu; Zhang, Xiaohan; Liu, Hao; Gao, Jinhua</t>
  </si>
  <si>
    <t>Agricultural drought dynamics in China during 1982-2020: a depiction with satellite remotely sensed soil moisture</t>
  </si>
  <si>
    <t>Remote sensing of drought; CCI soil moisture; gap-filling method; agricultural drought events</t>
  </si>
  <si>
    <t>VEGETATION; INDEX; MICROWAVE; MODIS; CHALLENGES; CROPLAND; PROGRESS; NETWORK; GIMMS; MODEL</t>
  </si>
  <si>
    <t>Agricultural drought (AD) is a serious threat to food security for many regions worldwide. Understanding the dynamics of AD contributes to preventing or mitigating its adverse impacts. Soil moisture (SM) anomaly is a relatively straightforward indicator of AD. However, most of the previous studies on AD dynamics of China were conducted with non-remotely sensed SM indicators due to the lack of long-term and spatial-continuous SM datasets. Here, such an SM dataset was created by enhancing a satellite remote sensing SM dataset with a machine learning method XGBoost, various remote sensing datasets, and some surface or meteorological parameters from reanalysis data. The new SM dataset has a period of 1982-2020, a spatial resolution of 0.25 &amp; DEG;, and a temporal resolution of 1 month. Furthermore, Standardized SM Index at one-month scale (SSMI1) was calculated, and AD events were identified using the SSMI1 and a 3-dimensional clustering method. Results demonstrated that 1) the new SM presented comparable or even better performances with the original SM as evaluated with spatial distributions, in-situ SM observations, and manufactured data gaps. 2) The AD was most frequent in North China, followed by the western parts of East China, Northeast, and Southwest China. The centroids of identified AD events were found chiefly in the Northeast, North, Southwest, and western parts of East China. 3) The severity of AD events presented a decreasing trend from 1982 to 2020, while significant drying trends were found mostly in the southern parts of North China, western parts of East China, and Southwest China. 4) The AD dynamics revealed in this study are basically consistent with other studies but also have unique features such as more space details and less drought frequency and count than that of meteorological drought. Further studies are expected to create a long-term satellite SM with faster timeliness, higher resolution, and greater depth.</t>
  </si>
  <si>
    <t>[Sun, Hao; Xu, Qian; Wang, Yunjia; Zhao, Zhiyu; Zhang, Xiaohan; Liu, Hao; Gao, Jinhua] China Univ Min &amp; Technol Beijing, Coll Geosci &amp; Surveying Engn, Beijing, Peoples R China</t>
  </si>
  <si>
    <t>China University of Mining &amp; Technology</t>
  </si>
  <si>
    <t>Sun, H (corresponding author), China Univ Min &amp; Technol Beijing, Coll Geosci &amp; Surveying Engn, Beijing, Peoples R China.</t>
  </si>
  <si>
    <t>sunhao@cumtb.edu.cn</t>
  </si>
  <si>
    <t>The author would like to thank any agency or organization that provided the remote sensing data resources, reanalysis data resources, and in-situ meteorological data resources used in this study.</t>
  </si>
  <si>
    <t>10.1080/15481603.2023.2257469</t>
  </si>
  <si>
    <t>R9BH5</t>
  </si>
  <si>
    <t>WOS:001067228900001</t>
  </si>
  <si>
    <t>Sun, W; Zhang, W; Xu, Y; Wang, PP; Shen, WY</t>
  </si>
  <si>
    <t>Sun, Wei; Zhang, Wei; Xu, Ying; Wang, Pingping; Shen, Wangyang</t>
  </si>
  <si>
    <t>Dough rheology, pasting property, and steamed bread quality of wheat flour as affected by the addition of sprouted wheat flour</t>
  </si>
  <si>
    <t>Sprouted wheat; steamed bread; properties; quality; &gt;</t>
  </si>
  <si>
    <t>BIOACTIVE COMPOUNDS; FALLING NUMBER; POTATO; GERMINATION; RVA</t>
  </si>
  <si>
    <t>Grain sprouting poses a significant global challenge, especially for wheat. Nonetheless, recent investigators have unveiled numerous benefits of germination. In this study, we incorporated various proportions of sprouted wheat flour (SF) into wheat flour to produce sprouted wheat steamed bread (SWSB). The impact of SF on the quality of flour and SWSB was evaluated, resulting a development of GABA-enhanced, green-healthy SWSB. With increased addition of SF, the falling number, pasting viscosity, and dough stability time of flour exhibited significant decreases, whereas the gluten index initially increased and then decreased. The textural properties, such as hardness, chewiness, adhesion, springiness, and cohesion, exhibited varying degrees of fluctuation with increasing SF levels. The specific volume of SWSB was optimal at an SF concentration of 6% and the sensory score was highest at 2%. Lightness of SWSB was comparable to that of the control at 4% SF addition. C-cell images revealed that the fineness of the SWSB texture initially increased and then decreased with increasing SF levels. Overall, an SF concentration of 4% was found to be optimal for dough properties, color, texture characteristics and sensory quality, providing a theoretical foundation for industrial production and application.</t>
  </si>
  <si>
    <t>[Sun, Wei; Zhang, Wei; Xu, Ying; Wang, Pingping; Shen, Wangyang] Wuhan Polytech Univ, Coll Food Sci &amp; Engn, Wuhan 430023, Peoples R China; [Sun, Wei; Zhang, Wei; Shen, Wangyang] Wuhan Polytech Univ, Key Lab Deep Proc Major Grain &amp; Oil, Minist Educ, Wuhan, Peoples R China</t>
  </si>
  <si>
    <t>Wuhan Polytechnic University; Wuhan Polytechnic University</t>
  </si>
  <si>
    <t>Sun, W (corresponding author), Wuhan Polytech Univ, Coll Food Sci &amp; Engn, Wuhan 430023, Peoples R China.</t>
  </si>
  <si>
    <t>sunshuaiwen@163.com</t>
  </si>
  <si>
    <t>10.1080/10942912.2023.2244699</t>
  </si>
  <si>
    <t>O3VX8</t>
  </si>
  <si>
    <t>WOS:001043138900001</t>
  </si>
  <si>
    <t>Susanto, N; Mahachandra, M; Budiawan, W; Rizkiyah, E; Apsari, CD</t>
  </si>
  <si>
    <t>Susanto, Novie; Mahachandra, Manik; Budiawan, Wiwik; Rizkiyah, Ega; Apsari, Cintya Dema</t>
  </si>
  <si>
    <t>Determining optimal lighting in 3D scanner for hand foot static anthropometric measurements</t>
  </si>
  <si>
    <t>static anthropometry; 3D scanner; precision; trueness; efficiency</t>
  </si>
  <si>
    <t>AMBIENT LIGHT; DIMENSIONS; PRECISION; ACCURACY; TRUENESS</t>
  </si>
  <si>
    <t>The lighting condition is critical in the anthropometric scanning process. Optimal lighting condition affects the time and precision. The current study sought to determine the optimal light for measuring the static anthropometric dimensions of feet and hands based on the precision, trueness, and efficiency of EinScan Pro 2X Plus. Three conditions of the scanning process were Light Zero Light/ZL: 5-50 lux, Normal Light/NL: 50-100 lux, and Room Light/RL: 100-200 lux. The data collected and analyzed were 3D model mesh data (point clouds), which were then processed using CAD software for deviation analysis. The precision variable was computed using the pooled standard deviation (S-p) value. The Absolute Error (AE) and Absolute Percentage Error (APE) were used to calculate the trueness variable. The efficiency aspect was measured based on the average value of measurement time. The optimal lighting condition was ZL, which was determined using a simple additive weighting method. The precision of the hand in S-p value was 1.25 mm while the foot precision was 0.92 mm. The hand trueness in AE value was 1.73 +/- 1.33, while the foot trueness was 1.34 +/- 1.20 mm. The hand efficiency in time value was 273.94 s, and the foot efficiency were 272,94 s.</t>
  </si>
  <si>
    <t>[Susanto, Novie; Mahachandra, Manik; Budiawan, Wiwik; Apsari, Cintya Dema] Diponegoro Univ, Fac Engn, Dept Ind Engn, Semarang, Indonesia; [Susanto, Novie; Mahachandra, Manik] Diponegoro Univ, Ctr Bio Mech Bio Mat Bio Mechatron &amp; Bio Signal Pr, Semarang, Indonesia; [Rizkiyah, Ega] Sepuluh Nopember Inst Technol, Fac Ind Technol &amp; Syst Engn, Dept Ind &amp; Syst Engn, Surabaya, Indonesia; [Susanto, Novie] Diponegoro Univ, Fac Engn, Dept Ind Engn, Semarang 50275, Indonesia</t>
  </si>
  <si>
    <t>Diponegoro University; Diponegoro University; Institut Teknologi Sepuluh Nopember; Diponegoro University</t>
  </si>
  <si>
    <t>Susanto, N (corresponding author), Diponegoro Univ, Fac Engn, Dept Ind Engn, Semarang 50275, Indonesia.</t>
  </si>
  <si>
    <t>novie.susanto@ft.undip.ac.id</t>
  </si>
  <si>
    <t>Mahachandra, Manik/0000-0001-7042-3883</t>
  </si>
  <si>
    <t>Riset Publikasi Internasional (RPI) Universitas Diponegoro [SPK: 569-138/UN7.D 2/PP/VII/2022]</t>
  </si>
  <si>
    <t>Riset Publikasi Internasional (RPI) Universitas Diponegoro</t>
  </si>
  <si>
    <t>This research is supported by Riset Publikasi Internasional (RPI) Universitas Diponegoro Nr SPK: 569-138/UN7.D 2/PP/VII/2022.</t>
  </si>
  <si>
    <t>10.1080/23311916.2023.2233248</t>
  </si>
  <si>
    <t>L5SD6</t>
  </si>
  <si>
    <t>WOS:001023853500001</t>
  </si>
  <si>
    <t>Takele, A; Abelieneh, A; Wondimagegnhu, BA</t>
  </si>
  <si>
    <t>Takele, Astewel; Abelieneh, Assefa; Wondimagegnhu, Beneberu A. A.</t>
  </si>
  <si>
    <t>Determinants of adoption of land management practices among farmers in Western Lake Tana and Beles River watersheds (Ethiopia) as a climate change adaptation strategy</t>
  </si>
  <si>
    <t>climate change; land management; adaptation practices; resilient agriculture; Ethiopia</t>
  </si>
  <si>
    <t>This study analyzes farmers' decisions to use land management adaptation practices in the face of climate change. It also looks at the socio-economic elements that influence adaptation practices. To collect primary data, a multistage and simple random sampling procedure was used to choose a sample of 338 farmers. The data was analyzed using a multivariate probit model. The results reveal that a farmer's likelihood of adopting a specific land management adaptation measure is linked to and defined by a set of complementary adaptation measures. Grade bund terracing (97.1%), contour plowing (96.9%), adequate waterway (88.4%), compost preparation (84.3%), hedge planting (73.4%), and mulching (66.6%) were the most commonly chosen land management adaptation measures, followed by afforestation (61.2%), gulley rehabilitation (57.8%), woodlot implementation (55.5%), and area closure (55.4%). This shows that grade bund terracing and contour plowing are the most likely chosen land management adaptation practices while area closure is the less likely choice of practice. Land management adaptation strategies by farmers had a combined chance of success of 96 %, compared to a combined probability of failure. The implication is that farmers will utilize a combination of land management strategies to address climate change variables. The results also demonstrate that the sex, family size, farm experience, frequency of extension visits, and farmers' level of education have a substantial impact on the common underlying socioeconomic component for choosing land management adaption techniques. As a result, developing a package of land management adaptation methods is critical for possible climate change treatments and strategies.</t>
  </si>
  <si>
    <t>[Takele, Astewel] Bahir Dar Univ, Coll Agr &amp; Environm Sci, Dept Agr Econ, POB 5501, Bahir Dar, Ethiopia; [Abelieneh, Assefa] Bahir Dar Univ, Coll Agr &amp; Environm Sci, Dept Rural Dev &amp; Agr Extens, Bahir Dar, Ethiopia; [Wondimagegnhu, Beneberu A. A.] Ethiopian Policy Studies Inst, Econ Policy Studies Sect, Bahir Dar, Ethiopia</t>
  </si>
  <si>
    <t>Bahir Dar University; Bahir Dar University</t>
  </si>
  <si>
    <t>Takele, A (corresponding author), Bahir Dar Univ, Coll Agr &amp; Environm Sci, Dept Agr Econ, POB 5501, Bahir Dar, Ethiopia.</t>
  </si>
  <si>
    <t>astewelt@gmail.com</t>
  </si>
  <si>
    <t>Wondimagegnhu, Beneberu Assefa/IVV-5756-2023; Wondimagegnhu, Beneberu/GLQ-9695-2022</t>
  </si>
  <si>
    <t>Wondimagegnhu, Beneberu Assefa/0000-0001-8498-3312; Wondimagegnhu, Beneberu/0000-0001-8498-3312</t>
  </si>
  <si>
    <t>10.1080/23311932.2023.2170951</t>
  </si>
  <si>
    <t>9R3RC</t>
  </si>
  <si>
    <t>WOS:000945571200001</t>
  </si>
  <si>
    <t>Tang, HL; Cao, CH; Zhang, GY; Sun, ZK</t>
  </si>
  <si>
    <t>Tang, Hailing; Cao, Changhui; Zhang, Guangyuan; Sun, Zhengkao</t>
  </si>
  <si>
    <t>Impact of particle size of multivesicular liposomes on the embolic and therapeutic effects in rabbit VX2 liver tumor</t>
  </si>
  <si>
    <t>Embolic agent; multivesicular liposome; TACE; rabbit VX2 liver tumor; metronome chemotherapy</t>
  </si>
  <si>
    <t>TRANSCATHETER ARTERIAL CHEMOEMBOLIZATION; DRUG-ELUTING BEADS; HEPATOCELLULAR-CARCINOMA; TRANSARTERIAL CHEMOEMBOLIZATION; SUSTAINED DELIVERY; LONG-TERM; EMBOLIZATION; MICROSPHERES; RELEASE; FORMULATIONS</t>
  </si>
  <si>
    <t>Transcatheter arterial chemoembolization (TACE) is usually considered more efficacious in the local treatment of parenchyma-sparing hepatocellular carcinoma (HCC). At present, embolic agents commonly used in TACE, include DC pellets, Hepasphere, Lipiodol, etc. Except that iodine oil is a viscous fluid embolic agent, other solid microsphere particles used clinically range from 70 to 700 mu m, among which 100 to 300 mu m is the most commonly used. With the technology development of micro-invasive interventional therapy, the specific distal embolization through TACE to occlude tumor arterial blood supply in patients with HCC is also required more accurately. Effective terminal embolization is considered to be a preferred option for TACE therapy due to significantly improving the survival rate of patients and preserving liver function. In this article, we prepared the multifunctional multivesicular liposomes (IVO-DOX-MVLs) (&lt;100 mu m) that can simultaneously encapsulate ioversol and doxorubicin based on the high-phase transition temperature (T (m)) lipid ingredients, and evaluated its local artery embolization and therapeutic effect in rabbit VX-2 tumor model. The influence of particle size on occlusion and therapeutic effect of MVLs on rabbit VX-2 liver tumor models were well evaluated, including the tumor volume change, tumor growth rate, and necrosis rate, which were evaluated by magnetic resonance (MR). MVL samples with average particle size distribution of 50-60 mu m exhibited fewer off-target embolization. Through TACE, IVO-DOX-MVLs were directly transported to the tumor tissues, playing roles of embolization performance, CT imaging effect, and local tumor killing effect. The feasibility of MVLs as a multifunctional embolic agent in its clinical application can be further improved by optimization of lipid composition and preparation process.</t>
  </si>
  <si>
    <t>[Tang, Hailing] Shanghai Jiao Tong Univ, Sch Pharm, Shanghai, Peoples R China; [Cao, Changhui; Zhang, Guangyuan] Fudan Univ, Shanghai Med Coll, Canc Ctr, Dept Radiol, Shanghai, Peoples R China; [Sun, Zhengkao] ShangDong Univ, Qilu Hosp Qingdao, Cheeloo Coll Med, Dept Orthopaed, 758 Hefei Rd, Qingdao 266035, Peoples R China</t>
  </si>
  <si>
    <t>Shanghai Jiao Tong University; Fudan University; Shandong University</t>
  </si>
  <si>
    <t>Sun, ZK (corresponding author), ShangDong Univ, Qilu Hosp Qingdao, Cheeloo Coll Med, Dept Orthopaed, 758 Hefei Rd, Qingdao 266035, Peoples R China.</t>
  </si>
  <si>
    <t>szkdq@163.com</t>
  </si>
  <si>
    <t>Zhang, Guangyuan/HKE-9192-2023</t>
  </si>
  <si>
    <t>Tang, Hailing/0000-0003-1066-6730</t>
  </si>
  <si>
    <t>10.1080/10717544.2022.2157519</t>
  </si>
  <si>
    <t>7V9HE</t>
  </si>
  <si>
    <t>WOS:000913122100001</t>
  </si>
  <si>
    <t>Tanhan, P; Imsilp, K; Lansubsakul, N; Thong-asa, W</t>
  </si>
  <si>
    <t>Tanhan, Phanwimol; Imsilp, Kanjana; Lansubsakul, Niyada; Thong-asa, Wachiryah</t>
  </si>
  <si>
    <t>Oxidative response to Cd and Pb accumulation in coastal fishes of Pattani Bay</t>
  </si>
  <si>
    <t>Bioaccumulation; lipid peroxidation; oxidative stress; cadmium; lead; Pattani Bay</t>
  </si>
  <si>
    <t>HEAVY-METALS; STRESS; LEAD; BIOACCUMULATION; ORGANISMS; KIDNEY</t>
  </si>
  <si>
    <t>Bioaccumulation of heavy metals can cause physiological and biochemical alterations in aquatic animals. Accumulation of Cd and Pb and oxidative response in the liver and muscle of fish species; Scatophagus argus, Plotosus lineatus, Netuma thalassina and Mugil cephalus were evaluated. Accumulation of Cd, Pb and oxidative response indicated by malondialdehyde (MDA) were significantly higher in the liver than muscle in all coastal fish species. Antioxidative parameters, such as reduced glutathione (GSH), catalase (CAT), and superoxide dismutase (SOD), varied. S. argus exhibited the highest levels of Cd and Pb accumulation, both in the liver and muscle. Simultaneous activation and depression of oxidative defense mechanism was depicted in S. argus's liver which indicated by positive correlation of Pb to CAT activity and negative correlation of Pb to SOD activity. Positive correlation was significance for Cd and Pb accumulation in the liver and muscle of M. cephalus, which may be used for pollution biomonitoring. The present study indicated the oxidative response to Cd and Pb accumulation was emphasise in liver, while oxidative response varied in each coastal fish species.</t>
  </si>
  <si>
    <t>[Tanhan, Phanwimol; Imsilp, Kanjana; Lansubsakul, Niyada] Kasetsart Univ, Fac Vet Med, Dept Pharmacol, Bangkok, Thailand; [Thong-asa, Wachiryah] Kasetsart Univ, Fac Sci, Dept Zool, Anim Toxicol &amp; Physiol Specialty Res Unit ATPSRU, Bangkok, Thailand; [Thong-asa, Wachiryah] Kasetsart Univ, Fac Sci, Dept Zool, Physiol Div,Anim Toxicol &amp; Physiol Specialty Res U, 50 Ngamwongwan Rd, Bangkok 10900, Thailand</t>
  </si>
  <si>
    <t>Kasetsart University; Kasetsart University; Kasetsart University</t>
  </si>
  <si>
    <t>Thong-asa, W (corresponding author), Kasetsart Univ, Fac Sci, Dept Zool, Physiol Div,Anim Toxicol &amp; Physiol Specialty Res U, 50 Ngamwongwan Rd, Bangkok 10900, Thailand.</t>
  </si>
  <si>
    <t>fsciwyth@ku.ac.th</t>
  </si>
  <si>
    <t>Faculty of Veterinary Medicine; International SciKU Branding (ISB); Faculty of Science, Kasetsart University, Thailand</t>
  </si>
  <si>
    <t>Financial support from Faculty of Veterinary Medicine, and International SciKU Branding (ISB), Faculty of Science, Kasetsart University, Thailand.</t>
  </si>
  <si>
    <t>10.1080/1828051X.2023.2166430</t>
  </si>
  <si>
    <t>8O9EV</t>
  </si>
  <si>
    <t>WOS:000926134600001</t>
  </si>
  <si>
    <t>Tao, Y; Wu, Q; Huang, J; Shen, RF; Zhu, XF</t>
  </si>
  <si>
    <t>Tao, Ye; Wu, Qi; Huang, Jing; Fang Shen, Ren; Zhu, Xiao Fang</t>
  </si>
  <si>
    <t>The upstream regulation of the root cell wall when Arabidopsis thaliana in response to toxic metal ions focusing on Al</t>
  </si>
  <si>
    <t>PLANT SIGNALING &amp; BEHAVIOR</t>
  </si>
  <si>
    <t>Aluminum (Al); cell wall; toxic metal ions; regulation; Arabidopsis thaliana</t>
  </si>
  <si>
    <t>AFFECTS ALUMINUM SENSITIVITY; BINDING-CAPACITY; IRON-DEFICIENCY; XYLOGLUCAN; POLYSACCHARIDES; REUTILIZATION; EXCLUSION</t>
  </si>
  <si>
    <t>In acid soil, aluminum (Al) toxicity is one of the main factors limiting agricultural output. As is known to all, the cell wall is the first line of defense against metals that serves as a significant target of Al toxicity and also is crucial for Al detoxification. However, nothing is known about how this process is transcriptionally regulated. Here, we describe recent findings to understand the role of two kinds of transcription factors in regulating the cell wall composition and modification in response to Al stress in Arabidopsis thaliana. ANAC017 encodes a NAM, ATAF1/2, and cup-shaped cotyledon 2 (NAC) transcription factor, loss function of ANAC017 enhanced Al tolerance with the decreased Al content and xyloglucan content in the cell wall. Next, we characterized one xyloglucan endotransglucosylase/hydrolase (XTH), XTH31, which is previously reported to participate in Al stress, acted downstream of ANAC017 to regulate Al tolerance in Arabidopsis. In addition, we also identified MYB103, an R2R3-type transcription factor. MYB103 disruption caused Al sensitivity, and myb103 mutants' xyloglucan had a high O-acetylation level. Additionally, it was discovered that TRICHOME BIREFRINGENCE-LIKE27 (TBL27), which is in charge of xyloglucan's O-acetylation, functions downstream of MYB103 through the direct binding of the MYB103 to the promoter of the TBL27 to influence Arabidopsis's sensitivity to Al. In summary, our research showed that two distinct molecular modules modulate Arabidopsis cell wall composition and modification to positively influence Al resistance.</t>
  </si>
  <si>
    <t>[Tao, Ye; Wu, Qi; Huang, Jing; Fang Shen, Ren; Zhu, Xiao Fang] Chinese Acad Sci, Inst Soil Sci, State Key Lab Soil &amp; Sustainable Agr, Nanjing, Jiangsu, Peoples R China; [Zhu, Xiao Fang] Chinese Acad Sci, Inst Soil Sci, State Key Lab Soil &amp; Sustainable Agr, Nanjing 210008, Peoples R China</t>
  </si>
  <si>
    <t>Chinese Academy of Sciences; Institute of Soil Science, CAS; Chinese Academy of Sciences; Institute of Soil Science, CAS</t>
  </si>
  <si>
    <t>Zhu, XF (corresponding author), Chinese Acad Sci, Inst Soil Sci, State Key Lab Soil &amp; Sustainable Agr, Nanjing 210008, Peoples R China.</t>
  </si>
  <si>
    <t>xiaofangzhu@issas.ac.cn</t>
  </si>
  <si>
    <t>Foundation for Distinguished Young Scholars of Jiangsu Province, China [BK20190050]; National Natural Science Foundation of China [42020104004]</t>
  </si>
  <si>
    <t>Foundation for Distinguished Young Scholars of Jiangsu Province, China; National Natural Science Foundation of China(National Natural Science Foundation of China (NSFC))</t>
  </si>
  <si>
    <t>This study was supported by the Foundation for Distinguished Young Scholars of Jiangsu Province, China (Grant No. BK20190050), National Natural Science Foundation of China (Grant No. 42020104004).</t>
  </si>
  <si>
    <t>1559-2316</t>
  </si>
  <si>
    <t>1559-2324</t>
  </si>
  <si>
    <t>PLANT SIGNAL BEHAV</t>
  </si>
  <si>
    <t>Plant Signal. Behav.</t>
  </si>
  <si>
    <t>10.1080/15592324.2023.2178085</t>
  </si>
  <si>
    <t>Biochemistry &amp; Molecular Biology; Plant Sciences</t>
  </si>
  <si>
    <t>8X3MP</t>
  </si>
  <si>
    <t>WOS:000931920100001</t>
  </si>
  <si>
    <t>Tegegn, DA; Dhont, F</t>
  </si>
  <si>
    <t>Tegegn, Dagm Alemayehu; Dhont, Frank</t>
  </si>
  <si>
    <t>The downhill journey of the Java sugar economy in the Netherlands Indies (Later Indonesia) from the late 19th century to the mid-20th century</t>
  </si>
  <si>
    <t>Netherlands Indies; Indonesian revolution; international sugar market; Java sugar economy; sugar export; sugar production</t>
  </si>
  <si>
    <t>INDUSTRY</t>
  </si>
  <si>
    <t>Java Island was the second largest world cane sugar producer and sugar exporter to the international market next to Cuba for more than four subsequent decades around the turn of the 19th century. The economy of Java had shown a miracle development through high production efficiency and international market supply between 1870 and the 1920s. During this period colonial growth was characterized by liberal and increasingly developmental policies. However, the Java sugar market faced constraints and continued to be checked by crises in which Indonesia actually fell behind the rest of the world economy. Thus, this paper examines how and why the Java sugar industry quickly declined after 1930 from a position of hegemony in the international sugar economy to a purely domestic Indonesian market level. The paper argues that the interplay between international factors and domestic challenges resulted in a significant decline in the Java sugar economy. These factors were the global economic crisis; the Second World War and the Japanese occupation; stiff market competition; the impact of the international sugar agreement; the Indonesian revolution and the post-revolutionary crisis; complemented by policy and institutional problems. This confluence of internal and external causes precipitated the decline of the Java sugar sector and the problem of sustainable sugar production in Indonesia. Within three decades, Java's prestige and fortune in the global sugar trade were destroyed. Political upheaval following WWII had initially crushed the sugar sector, but after 1968, Indonesia made significant efforts to revitalize it.</t>
  </si>
  <si>
    <t>[Tegegn, Dagm Alemayehu; Dhont, Frank] Natl Cheng Kung Univ, Coll Liberal Art, Dept Hist, Tainan, Taiwan</t>
  </si>
  <si>
    <t>National Cheng Kung University</t>
  </si>
  <si>
    <t>Tegegn, DA (corresponding author), Natl Cheng Kung Univ, Coll Liberal Art, Dept Hist, Tainan, Taiwan.</t>
  </si>
  <si>
    <t>dagmmekd@gmail.com</t>
  </si>
  <si>
    <t>Tegegn, Dagm Alemayehu/ABE-7733-2022</t>
  </si>
  <si>
    <t>Tegegn, Dagm Alemayehu/0000-0003-2143-7669</t>
  </si>
  <si>
    <t>10.1080/23311983.2023.2220213</t>
  </si>
  <si>
    <t>I3WQ9</t>
  </si>
  <si>
    <t>WOS:001002121100001</t>
  </si>
  <si>
    <t>Terevinto, A; del Puerto, M; da Silva, A; Cabrera, MC; Saadoun, A</t>
  </si>
  <si>
    <t>Terevinto, Alejandra; del Puerto, Marta; da Silva, Ayrton; Cabrera, Maria Cristina; Saadoun, Ali</t>
  </si>
  <si>
    <t>Effect of chia seeds (Salvia hispanica l.) inclusion in poultry diet on n-3 enrichment and oxidative status of meat during retail display</t>
  </si>
  <si>
    <t>Poultry meat; lipid oxidation; protein oxidation; color; heme iron</t>
  </si>
  <si>
    <t>FATTY-ACID-COMPOSITION; PROTEIN OXIDATION; LIPID OXIDATION; GROWTH-PERFORMANCE; PORCINE PATTIES; SHELF-LIFE; QUALITY; STABILITY; PRODUCTS; BREAST</t>
  </si>
  <si>
    <t>The aim of this study was to investigate the oxidative status of poultry breast fillets enriched with n-3 from chia seeds, during retail display. Birds were assigned randomly to a control diet (corn-soy), or a corn-soy basal diet with 2.5s%, 5% or 10% chia seed. Lipid oxidation (TBARS), protein oxidation (carbonyls and total sulfhydryls), color, and heme iron content were measured in fresh breasts and after 4 days of display in a refrigerated showcase. Breast fillets from the control group presented higher values of b*, Hue angle, and Chroma than the 10% chia group, and no diet effect was observed on oxidation parameters. An increase in lipid and protein oxidation and in some of the color parameters (b*, Hue angle, and Chroma) were observed after 4 days of display. In conclusion, up to 5% chia seed can be included in the poultry diet without negative effects on meat quality.</t>
  </si>
  <si>
    <t>[Terevinto, Alejandra; del Puerto, Marta; da Silva, Ayrton; Cabrera, Maria Cristina; Saadoun, Ali] Univ Republica, Fac Agron, Dept Prod Anim &amp; Pasturas, Lab Cal Alimentos, Montevideo, Uruguay; [Cabrera, Maria Cristina; Saadoun, Ali] Univ Republica, Fac Ciencias, Secc Fisiol &amp; Nutr, Montevideo, Uruguay; [Terevinto, Alejandra] Univ Republica, Fac Agron, Dept Prod Anim &amp; Pasturas, Lab Cal Alimentos, Ave Garzon 809, Montevideo 12900, Uruguay</t>
  </si>
  <si>
    <t>Universidad de la Republica, Uruguay; Universidad de la Republica, Uruguay; Universidad de la Republica, Uruguay</t>
  </si>
  <si>
    <t>Terevinto, A (corresponding author), Univ Republica, Fac Agron, Dept Prod Anim &amp; Pasturas, Lab Cal Alimentos, Ave Garzon 809, Montevideo 12900, Uruguay.</t>
  </si>
  <si>
    <t>aterevinto@fagro.edu.uy</t>
  </si>
  <si>
    <t>TEREVINTO, ALEJANDRA/0000-0003-3737-7859; Saadoun, Ali/0000-0003-2251-6748</t>
  </si>
  <si>
    <t>10.1080/19476337.2022.2162975</t>
  </si>
  <si>
    <t>7U1FU</t>
  </si>
  <si>
    <t>WOS:000911882900001</t>
  </si>
  <si>
    <t>Tetteh, CK; Amoah, A; Kwablah, E; Asiama, RK; Ahiabor, G</t>
  </si>
  <si>
    <t>Tetteh, Carlos Kokuvi; Amoah, Anthony; Kwablah, Edmund; Asiama, Rexford Kweku; Ahiabor, Godson</t>
  </si>
  <si>
    <t>A test of behavioural changes to electronic levy: Evidence from mobile money transactions in a developing country</t>
  </si>
  <si>
    <t>electronic levy; electronic tax; mobile money; behavioural changes; survey</t>
  </si>
  <si>
    <t>VOLUNTARY TAX COMPLIANCE; ATTITUDES; EVASION; TRUST; DETERMINANTS; GOVERNMENT; TAXATION; REVENUE; ETHICS; IMPACT</t>
  </si>
  <si>
    <t>Even before its introduction, the electronic levy in Ghana stirred up different behavioural reactions from the public, despite the intention to use its proceeds to provide better public services. As a result, this study examines some of these behavioural changes using pre-tax survey data on the proposed electronic levy. Using a sample size of 2,810 individuals with mobile money accounts, we estimate a multivariate logit model with its marginal effects to determine the associated drivers of individuals' behavioural changes to the proposed tax. The results show that the electronic levy is likely to have an immediate impact on an individual's behaviour in positive and negative ways. Thus, while about 88% of the respondents indicated that they are likely to stop using mobile money or reduce their transactions, approximately 12% of the respondents rather reaffirmed their willingness to keep using mobile money or perhaps increase their mobile-money transactions. Furthermore, we find evidence that income, marital status, objective knowledge, trust in government, and the implementation timeframe are the statistically significant determinants of behavioural changes to the electronic tax in Ghana. The results suggest varying behavioural responses to the electronic levy in Ghana, which threaten the realization of expected revenues. We recommend proper education and advocacy at all levels and a keen consideration to implement the levy later, perhaps, when there is more trust in the government's ability to use tax revenues prudently.</t>
  </si>
  <si>
    <t>[Tetteh, Carlos Kokuvi] Univ Ghana, Inst Stat Social &amp; Econ Res ISSER, Bot Gardens Rd,LG 74, Legon, Accra, Ghana; [Amoah, Anthony; Asiama, Rexford Kweku] Univ Environm &amp; Sustainable Dev, Sch Sustainable Dev, Somanya, Ghana; [Kwablah, Edmund; Ahiabor, Godson] Cent Univ, Dept Econ, Tema, Ghana</t>
  </si>
  <si>
    <t>Tetteh, CK (corresponding author), Univ Ghana, Inst Stat Social &amp; Econ Res ISSER, Bot Gardens Rd,LG 74, Legon, Accra, Ghana.</t>
  </si>
  <si>
    <t>tettehcarlos22@gmail.com</t>
  </si>
  <si>
    <t>Asiama, Rex Kweku Awuku/IWD-6103-2023</t>
  </si>
  <si>
    <t>Asiama, Rex Kweku Awuku/0000-0002-3530-2549; Tetteh, Carlos/0000-0002-1793-397X</t>
  </si>
  <si>
    <t>10.1080/23322039.2023.2202963</t>
  </si>
  <si>
    <t>F3FS8</t>
  </si>
  <si>
    <t>WOS:000981243000001</t>
  </si>
  <si>
    <t>Tilahun, H</t>
  </si>
  <si>
    <t>Tilahun, Hailu</t>
  </si>
  <si>
    <t>Assessment on rearing and husbandry practices of indigenous goats in North Shewa Zone, Amhara Region, Ethiopia</t>
  </si>
  <si>
    <t>Husbandry; breeding; practice; trait; selection</t>
  </si>
  <si>
    <t>The study was conducted for describing the rearing and husbandry practice of indigenous goats in the North Shewa zone. A total of 216 farmers were interviewed for the household survey. Data collected through a questionnaire (survey) were described by descriptive statistics using SPSS. The first objective of keeping goats in all districts was for income. Natural pasture (shrubs and bushes) and river water were the major sources of goat feeding and watering, respectively both in dry and wet seasons in the three districts. Among the interviewed goat keepers 94.4% in Berehet, 84.7% in Basona-Worena and 90.3% in Minjar-Shenkora had their own indigenous breeding male goat. The average flock size per monitored households in Berehet, Basona-Worena and Minjar-Shenkora districts was 14.70 +/- 10.95, 7.43 +/- 3.94 and 14.52 +/- 11.36 goats, respectively. Growth rate, body conformation and coat colour for the breeding buck and litter size, body size or appearance and pedigree for does were the first, second and third selection criteria, respectively in all districts. Feed shortage, disease and labour shortage were the first, second and third-ranked constraints for goat production in the study districts, respectively.</t>
  </si>
  <si>
    <t>[Tilahun, Hailu] Salale Univ, Coll Agr &amp; Nat Resource, POB 245, Fiche, Ethiopia</t>
  </si>
  <si>
    <t>Tilahun, H (corresponding author), Salale Univ, Coll Agr &amp; Nat Resource, POB 245, Fiche, Ethiopia.</t>
  </si>
  <si>
    <t>hailshtilahun@gmail.com</t>
  </si>
  <si>
    <t>Tilahun, Hailu/AEU-2517-2022</t>
  </si>
  <si>
    <t>10.1080/09712119.2023.2185625</t>
  </si>
  <si>
    <t>0A1AI</t>
  </si>
  <si>
    <t>WOS:000951560900001</t>
  </si>
  <si>
    <t>Tiskus, E; Vaiciute, D; Bucas, M; Gintauskas, J</t>
  </si>
  <si>
    <t>Tiskus, Edvinas; Vaiciute, Diana; Bucas, Martynas; Gintauskas, Jonas</t>
  </si>
  <si>
    <t>Evaluation of common reed (Phragmites australis) bed changes in the context of management using earth observation and automatic threshold</t>
  </si>
  <si>
    <t>Mowing; reed beds; vegetation indices; water indices; Sentinel-2; MSI; unmanned aerial vehicle</t>
  </si>
  <si>
    <t>DIFFERENCE WATER INDEX; AQUATIC MACROPHYTES; ABOVEGROUND BIOMASS; VEGETATION; NDWI</t>
  </si>
  <si>
    <t>There is no easy in situ way to monitor large waterbodies for their aquatic vegetation change, especially during mowing works. The objective of this study is to choose the best automatic workflow that would estimate a change in the reed bed area and density over time. This workflow will assess the mowing effect on reeds over 3 years in the Plateliai Lake (Lithuania). Sentinel-2/MSI images were used to derive reed beds using water adjusted vegetation index (WAVI) and normalised difference water index (NDWI). The indices were classified using seven different binary thresholding algorithms. Results were validated with orthophotos gathered from unmanned aerial vehicle surveys in mowed regions and one reference area. Analysis demonstrated that using the NDWI together with the Yen thresholding algorithm generated the best accuracy results, with the highest accuracy resulting with high vegetation areas where the area under the curve values were 0.85 +/- 0.17. The changes in estimated density did not show a significant correlation between mowed and reference areas and years. The results indicate that Sentinel-2/MSI is a feasible tool for the evaluation of reed bed change. On this basis, it is recommended to implement it as an additional monitoring tool that covers larger areas than in situ monitoring.</t>
  </si>
  <si>
    <t>[Tiskus, Edvinas; Vaiciute, Diana; Bucas, Martynas; Gintauskas, Jonas] Klaipeda Univ, Marine Res Inst, Klaipeda, Lithuania</t>
  </si>
  <si>
    <t>Klaipeda University</t>
  </si>
  <si>
    <t>Tiskus, E (corresponding author), Klaipeda Univ, Marine Res Inst, Klaipeda, Lithuania.</t>
  </si>
  <si>
    <t>edvinas.tiskus@jmtc.ku.lt</t>
  </si>
  <si>
    <t>Bučas, Martynas/HKF-0708-2023</t>
  </si>
  <si>
    <t>Bučas, Martynas/0000-0003-4668-5669; Tiskus, Edvinas/0000-0002-6293-2140</t>
  </si>
  <si>
    <t>10.1080/22797254.2022.2161070</t>
  </si>
  <si>
    <t>7O2UT</t>
  </si>
  <si>
    <t>WOS:000907885300001</t>
  </si>
  <si>
    <t>Tong, L; He, T; Ma, YC; Zhang, XT</t>
  </si>
  <si>
    <t>Tong, Liu; He, Tao; Ma, Yichuan; Zhang, Xiaotong</t>
  </si>
  <si>
    <t>Evaluation and intercomparison of multiple satellite-derived and reanalysis downward shortwave radiation products in China</t>
  </si>
  <si>
    <t>Downward shortwave radiation; product validation; remote sensing products; reanalysis products</t>
  </si>
  <si>
    <t>PHOTOSYNTHETICALLY ACTIVE RADIATION; SURFACE SOLAR-RADIATION; EMPIRICAL-MODELS; DIFFUSE; PERFORMANCE; RETRIEVALS; AEROSOL</t>
  </si>
  <si>
    <t>Downward shortwave radiation (DSR) is a critical variable in energy balance driving Earth's surface processes. Satellite-derived and reanalysis DSR products have been developed and continuously improved during the last decades. However, as those products have different temporal resolutions, their performances in different time scales have not been well-documented, particularly in China. This study intended to evaluate several DSR products across multiple time scales (i.e. instantaneous, 1-hourly, daily, and monthly average) and ecosystems in China. Six DSR products, including GLASS, BESS, CLARA-A2, MCD18A1, ERA5 and MERRA-2, were evaluated against ground measurements at Chinese Ecosystem Research Network (CERN) and integrated land-atmosphere interaction observation (TPDC) sites from 2009 to 2012. The instantaneous DSR of MCD18 showed a root mean square error (RMSE) of 146.02 W/m(2). The hourly RMSE of ERA5 (155.52 W/m(2)) was largely smaller than MERRA-2 (188.53 W/m(2)). On the daily and monthly scale, BESS had the most optimized accuracy among the six products (RMSE of 36.82 W/m(2)). For the satellite-derived DSR products, the monthly accuracy at CERN can meet the threshold accuracy requirement set by World Meteorological Organization (WMO) for Global Numerical Weather Prediction (20 W/m(2)).</t>
  </si>
  <si>
    <t>[Tong, Liu; He, Tao; Ma, Yichuan] Wuhan Univ, Sch Remote Sensing &amp; Informat Engn, Hubei Key Lab Quantitat Remote Sensing Land &amp; Atmo, Wuhan, Peoples R China; [He, Tao] Wuhan Univ, State Key Lab Informat Engn Surveying Mapping &amp; Re, Wuhan, Peoples R China; [Zhang, Xiaotong] Beijing Normal Univ, Fac Geog Sci, State Key Lab Remote Sensing Sci, Beijing, Peoples R China; [Zhang, Xiaotong] BeijingNormal Univ, Inst Remote Sensing Sci &amp; Engn, Fac Geog Sci, Beijing Engn Res Ctr Global Land Remote Sensing Pr, Beijing, Peoples R China</t>
  </si>
  <si>
    <t>Wuhan University; Wuhan University; Beijing Normal University</t>
  </si>
  <si>
    <t>He, T (corresponding author), Wuhan Univ, Sch Remote Sensing &amp; Informat Engn, Hubei Key Lab Quantitat Remote Sensing Land &amp; Atmo, Wuhan, Peoples R China.</t>
  </si>
  <si>
    <t>taohers@whu.edu.cn</t>
  </si>
  <si>
    <t>zhang, xiaotong/AAM-4770-2020; Zhang, Xiaotong/HIR-6204-2022</t>
  </si>
  <si>
    <t>zhang, xiaotong/0000-0001-6085-2844;</t>
  </si>
  <si>
    <t>National Natural Science Foundation of China [42090012]; Hubei Provincial Natural Science Foundation [2021CFA082]; National Key Research and Development Program of China [2020YFA0608704]; Fundamental Research Funds for the Central Universities through Wuhan University [2042022dx0001]</t>
  </si>
  <si>
    <t>National Natural Science Foundation of China(National Natural Science Foundation of China (NSFC)); Hubei Provincial Natural Science Foundation; National Key Research and Development Program of China; Fundamental Research Funds for the Central Universities through Wuhan University</t>
  </si>
  <si>
    <t>This work was supported by National Natural Science Foundation of China Grant (42090012), the Hubei Provincial Natural Science Foundation (2021CFA082), National Key Research and Development Program of China (2020YFA0608704), and the Fundamental Research Funds for the Central Universities through Wuhan University under Grant 2042022dx0001.</t>
  </si>
  <si>
    <t>10.1080/17538947.2023.2212918</t>
  </si>
  <si>
    <t>H0WA0</t>
  </si>
  <si>
    <t>WOS:000993238500001</t>
  </si>
  <si>
    <t>Toussia-Cohen, S; Eshed, I; Segal, O; Schonfeld, M; Meyer, R; Axelrod, M; Gat, I; Dulitzky, M</t>
  </si>
  <si>
    <t>Toussia-Cohen, Shlomi; Eshed, Iris; Segal, Omri; Schonfeld, Matan; Meyer, Raanan; Axelrod, Michal; Gat, Itay; Dulitzky, Mordechay</t>
  </si>
  <si>
    <t>Transient osteoporosis of the hip in pregnancy - a case series</t>
  </si>
  <si>
    <t>Transient osteoporosis of hip; magnetic resonance imaging; cesarean delivery; normal vaginal delivery; smoking; in-vitro fertilization</t>
  </si>
  <si>
    <t>BONE-MARROW EDEMA; MOLECULAR-WEIGHT HEPARINS; RISK-FACTORS; FRACTURES; DENSITY; NECK</t>
  </si>
  <si>
    <t>Objective Transient Osteoporosis of the Hip is a self-limiting disorder of severe hip joint pain presenting in pregnancy or postpartum, of which magnetic resonance imaging (MRI) is the modality of choice for diagnosis. Clinical data regarding transient osteoporosis of the hip is limited, precluding evidence-based decision-making such as recommended mode of delivery. In this case-series retrospective study, we aim to describe the natural course of transient osteoporosis of the hip during pregnancy and the postpartum period including implications of the mode of delivery. Methods All women diagnosed with unilateral/bilateral transient osteoporosis of the hip by MRI during pregnancy or postpartum between 2010 and 2019 at a single tertiary medical center were retrospectively studied. All MRI scans were reviewed by an experienced radiologist at the same single tertiary medical center. Data obtained from patients' electronic medical records and telephone questionnaires included maternal baseline characteristics, obstetric history, and current pregnancy obstetric and clinical outcome characteristics. Outcomes of normal vaginal delivery (NVD) and cesarean delivery (CD) were compared and analyzed. Results Thirty-four women were diagnosed with unilateral or bilateral transient osteoporosis of the hip during pregnancy (17 women) and postpartum (17 women). The mean maternal age was 34.18 +/- 4.75 years. A family history of osteoporosis was reported in a rate of 29.4%. The rate of smokers was 47.1%, 32.4% of pregnancies were conceived by in-vitro fertilization (IVF), pre-pregnancy and term body mass index (BMI) were 22.03 and 27.6, respectively. No significant differences were found between NVD and CD in all parameters evaluated. Of 15 women with a sequential pregnancy, two were diagnosed with transient osteoporosis of the hip (13.3%) Conclusion Women diagnosed with transient osteoporosis of the hip had advanced maternal age, low BMI, family history of osteoporosis, prevalent smoking and IVF pregnancies. Transient osteoporosis of the hip was bilateral in 25% and presented postpartum in 50% of cases. There was no significant difference in maternal outcomes between NVD and CD. Higher awareness of this potential diagnosis during pregnancy and postpartum may improve patient management and outcomes.</t>
  </si>
  <si>
    <t>[Toussia-Cohen, Shlomi; Segal, Omri; Schonfeld, Matan; Meyer, Raanan; Axelrod, Michal; Gat, Itay; Dulitzky, Mordechay] Chaim Sheba Med Ctr, Dept Obstet &amp; Gynecol, Ramat Gan, Israel; [Toussia-Cohen, Shlomi; Eshed, Iris; Segal, Omri; Schonfeld, Matan; Meyer, Raanan; Axelrod, Michal; Gat, Itay; Dulitzky, Mordechay] Tel Aviv Univ, Sackler Fac Med, Tel Aviv, Israel; [Eshed, Iris] Chaim Sheba Med Ctr, Dept Radiol, Ramat Gan, Israel; [Toussia-Cohen, Shlomi] Chaim Sheba Med Ctr, Dept Obstet &amp; Gynecol, IL-52621 Ramat Gan, Israel</t>
  </si>
  <si>
    <t>Chaim Sheba Medical Center; Tel Aviv University; Sackler Faculty of Medicine; Chaim Sheba Medical Center; Chaim Sheba Medical Center</t>
  </si>
  <si>
    <t>Toussia-Cohen, S (corresponding author), Chaim Sheba Med Ctr, Dept Obstet &amp; Gynecol, IL-52621 Ramat Gan, Israel.</t>
  </si>
  <si>
    <t>shloms83@gmail.com</t>
  </si>
  <si>
    <t>Segal, Omri/0000-0001-5147-911X; Toussia-Cohen, Shlomi/0000-0002-4608-134X; Meyer, Raanan/0000-0002-0720-4343</t>
  </si>
  <si>
    <t>10.1080/14767058.2023.2175659</t>
  </si>
  <si>
    <t>8S8UU</t>
  </si>
  <si>
    <t>WOS:000928850300001</t>
  </si>
  <si>
    <t>Trabelsi, N; Tiwari, AK; Hammoudeh, S; Benlagha, N</t>
  </si>
  <si>
    <t>Trabelsi, Nader; Tiwari, Aviral Kumar; Hammoudeh, Shawkat; Benlagha, Noureddine</t>
  </si>
  <si>
    <t>Extreme linkages of carbon futures, energy markets, and economic indicators: A copula approach</t>
  </si>
  <si>
    <t>ENERGY SOURCES PART B-ECONOMICS PLANNING AND POLICY</t>
  </si>
  <si>
    <t>Carbon emission allowances; energy markets; economic indicators; spillovers; time-varying copula; quantile-on-quantile</t>
  </si>
  <si>
    <t>POLICY UNCERTAINTY; PRICE DRIVERS; PHASE-II; CO2; VOLATILITY; SPILLOVER</t>
  </si>
  <si>
    <t>The interdependence of carbon allowances and different energy sources in extreme market behavior is still unsettled in the literature. Using different types of static and time-varying copulas, this piece of research aims to quantify the dependence structures of Europe-based carbon future returns and selected energy future returns (i.e. coal, electricity, oil, and natural gas), and to investigate whether or not these dependence structures are influenced by economic indicators. Our results show strong evidence that time-varying parameter copulas with extreme tails are the best fit to the dependence structure. We also find that the speculation activity and the uncertainty of the state of the global economy are two important components of this robust dependence structure in the period of oil price crises. These findings are relevant for the implementation of effective policies to make the carbon market operate more efficiently and stably.</t>
  </si>
  <si>
    <t>[Trabelsi, Nader] Imam Mohammad Ibn Saud Islamic Univ IMSIU, Coll Econ &amp; Adm Sci, Dept Finance &amp; Investment, Riyadh 5701, Saudi Arabia; [Trabelsi, Nader] Univ Sousse, Fac Econ Sci &amp; Management, Dept Finance &amp; Accounting, Sousse, Tunisia; [Tiwari, Aviral Kumar] Indian Inst Management IIM Bodh Gaya, Dept Econ &amp; Business Environm, Bodh Gaya, India; [Hammoudeh, Shawkat] Drexel Univ, Lebow Coll Business, Philadelphia, PA USA; [Hammoudeh, Shawkat] Univ Econ, Inst Business Res, Ho Chi Minh, Vietnam; [Benlagha, Noureddine] Qatar Univ, Coll Business &amp; Econ, Dept Finance &amp; Econ, Doha, Qatar</t>
  </si>
  <si>
    <t>Imam Mohammad Ibn Saud Islamic University (IMSIU); Universite de Monastir; Universite de Sousse; Indian Institute of Management (IIM System); Indian Institute of Management Bodh Gaya; Drexel University; Qatar University</t>
  </si>
  <si>
    <t>Trabelsi, N (corresponding author), Imam Mohammad Ibn Saud Islamic Univ IMSIU, Coll Econ &amp; Adm Sci, Dept Finance &amp; Investment, Riyadh 5701, Saudi Arabia.</t>
  </si>
  <si>
    <t>nhtrabelsi@imamu.edu.sa</t>
  </si>
  <si>
    <t>Tiwari, Aviral Kumar/C-5556-2011</t>
  </si>
  <si>
    <t>Tiwari, Aviral Kumar/0000-0002-1822-9263; benlagha, noureddine/0000-0001-6831-483X</t>
  </si>
  <si>
    <t>1556-7249</t>
  </si>
  <si>
    <t>1556-7257</t>
  </si>
  <si>
    <t>ENERG SOURCE PART B</t>
  </si>
  <si>
    <t>Energy Sources Part B</t>
  </si>
  <si>
    <t>10.1080/15567249.2023.2165738</t>
  </si>
  <si>
    <t>Energy &amp; Fuels</t>
  </si>
  <si>
    <t>8F8HP</t>
  </si>
  <si>
    <t>WOS:000919897900001</t>
  </si>
  <si>
    <t>Tse, BCY; Bergamin, S; Steffen, P; Hruby, G; Pavlakis, N; Clarke, SJ; Evans, J; Engel, A; Kneebone, A; Molloy, MP</t>
  </si>
  <si>
    <t>Tse, Benita C. Y.; Bergamin, Sarah; Steffen, Pascal; Hruby, George; Pavlakis, Nick; Clarke, Stephen J.; Evans, Justin; Engel, Alexander; Kneebone, Andrew; Molloy, Mark P.</t>
  </si>
  <si>
    <t>CD11c(+) and IRF8(+) cell densities in rectal cancer biopsies predict outcomes of neoadjuvant chemoradiotherapy</t>
  </si>
  <si>
    <t>Dendritic cell; immune cell; immunophenotype; neoadjuvant chemoradiotherapy; rectal cancer; &gt;</t>
  </si>
  <si>
    <t>COMPLETE RESPONSE</t>
  </si>
  <si>
    <t>Approximately 20% of locally advanced rectal cancer (LARC) patients treated preoperatively with chemoradiotherapy (CRT) achieve pathologically confirmed complete regression. However, there are no clinically implemented biomarkers measurable in biopsies that are predictive of tumor regression. Here, we conducted multiplexed immunophenotyping of rectal cancer diagnostic biopsies from 16 LARC patients treated preoperatively with CRT. We identified that patients with greater tumor regression had higher tumor infiltration of pan-T cells and IRF8(+)HLA-DR+ cells prior to CRT. High IRF8(+)HLA-DR+ cell density was further associated with prolonged disease-specific survival with 83% survival at 5 y compared to 28% in patients with low infiltration. Contrastingly, low CD11c(+) myeloid cell infiltration prior to CRT was a putative biomarker associated with longer 3- and 5-y disease-free survival. The results demonstrate the potential use of rectal cancer diagnostic biopsies to measure IRF8(+) HLA-DR+ cells as predictors of CRT-induced tumor regression and CD11c(+) myeloid cells as predictors of LARC patient survival.</t>
  </si>
  <si>
    <t>[Tse, Benita C. Y.; Steffen, Pascal; Molloy, Mark P.] Univ Sydney, Fac Med &amp; Hlth, Sch Med Sci, Bowel Canc &amp; Biomarker Lab, Camperdown, Australia; [Bergamin, Sarah; Hruby, George; Kneebone, Andrew] Royal North Shore Hosp, Dept Radiat Oncol, Sydney, Australia; [Pavlakis, Nick; Clarke, Stephen J.] Royal North Shore Hosp, Dept Med Oncol, Sydney, Australia; [Pavlakis, Nick; Clarke, Stephen J.; Engel, Alexander; Kneebone, Andrew] Univ Sydney, Fac Med &amp; Hlth, Sydney Med Sch, Camperdown, Australia; [Evans, Justin; Engel, Alexander] Royal North Shore Hosp, Colorectal Surg Unit, Sydney, Australia; [Molloy, Mark P.] Univ Sydney, Fac Med &amp; Hlth, Sch Med Sci, Bowel Canc &amp; Biomarker Lab, Camperdown 2006, Australia</t>
  </si>
  <si>
    <t>University of Sydney; Royal North Shore Hospital; Royal North Shore Hospital; University of Sydney; Royal North Shore Hospital; University of Sydney</t>
  </si>
  <si>
    <t>Molloy, MP (corresponding author), Univ Sydney, Fac Med &amp; Hlth, Sch Med Sci, Bowel Canc &amp; Biomarker Lab, Camperdown 2006, Australia.</t>
  </si>
  <si>
    <t>m.molloy@sydney.edu.au</t>
  </si>
  <si>
    <t>10.1080/2162402X.2023.2238506</t>
  </si>
  <si>
    <t>M4AD9</t>
  </si>
  <si>
    <t>WOS:001029625500001</t>
  </si>
  <si>
    <t>Tucho, BG; Etefa, HF; Kumar, V; Raba, GA; Efa, MT; Dejene, FB</t>
  </si>
  <si>
    <t>Tucho, Bulcha Gute; Etefa, Habtamu Fekadu; Kumar, Vinod; Raba, Gelana Amante; Efa, Mulugeta Tesema; Dejene, Francis Birhanu</t>
  </si>
  <si>
    <t>Effect of wood moisture content on the performance of wood burning cook stoves</t>
  </si>
  <si>
    <t>Cooking time; cooking temperature; stove efficiency; wood moisture content</t>
  </si>
  <si>
    <t>COMBUSTION</t>
  </si>
  <si>
    <t>Rural Ethiopian communities rely mostly on biomass fuels for subsistence and productive purposes. With an increasing population and dwindling forest resources, wood fuel consumption has exceeded its supply. Besides, people do not know ways of maximising biomass efficiency. The study involves the burning efficiencies of woods with varied moisture contents. Eucalyptus wood of five different moisture contents was used in five identical wood-burning stoves purposefully constructed for this purpose. Tests were conducted over 5 days, thereby giving five replications. In the tests, food temperature, stove body temperature, and stove smoke outlet temperature measurements were conducted along with ambient air temperatures. Wood with 10% moisture content performs better during combustion with respect to low and high moisture content wood. High moisture content delayed the cooking onset and low moisture decreased the duration of effective cooking. The 50% moisture content or greater with respect to oven-dried wood failed to cook. Moisture content of around 30% delayed the time to reach cooking temperature by two and hence elongated the cooking time. There is also the extended smoke time as observed from the smoke outlet temperature.</t>
  </si>
  <si>
    <t>[Tucho, Bulcha Gute] Salale Univ, Coll Nat Sci, Dept Phys, Fitche, Ethiopia; [Etefa, Habtamu Fekadu; Kumar, Vinod] Dambi Dollo Univ, Coll Nat &amp; Computat Sci, Dept Phys, Dambi Dollo, Ethiopia; [Raba, Gelana Amante] Haramaya Univ, Coll Nat &amp; Computat Sci, Dept Phys, Dire Dawa, Ethiopia; [Efa, Mulugeta Tesema] Dambi Dollo Univ, Coll Nat &amp; Computat Sci, Dept Chem, Dembi Dolo, Ethiopia; [Dejene, Francis Birhanu] Walter Sisulu Univ, Dept Phys, Private Bag X-1, Mthatha, South Africa</t>
  </si>
  <si>
    <t>Haramaya University; Walter Sisulu University</t>
  </si>
  <si>
    <t>Etefa, HF (corresponding author), Dambi Dollo Univ, Coll Nat &amp; Computat Sci, Dept Phys, Dambi Dollo, Ethiopia.</t>
  </si>
  <si>
    <t>habtamufekadu24@gmail.com</t>
  </si>
  <si>
    <t>(PhD), Habtamu Fekadu/0000-0002-5638-1231</t>
  </si>
  <si>
    <t>10.1080/19397038.2022.2159568</t>
  </si>
  <si>
    <t>7D7ZL</t>
  </si>
  <si>
    <t>WOS:000900703300001</t>
  </si>
  <si>
    <t>van Duynhoven, A; Dragicevic, S</t>
  </si>
  <si>
    <t>van Duynhoven, Alysha; Dragicevic, Suzana</t>
  </si>
  <si>
    <t>A landscape metrics-based sample weighting approach for forecasting land cover change with deep learning models</t>
  </si>
  <si>
    <t>Land cover change; landscape metrics; geographic data imbalance; sample weights; spatiotemporal deep learning; &gt;</t>
  </si>
  <si>
    <t>CELLULAR-AUTOMATA; CLASSIFICATION; SIMULATION; CHINA</t>
  </si>
  <si>
    <t>Unaddressed imbalance of multitemporal land cover (LC) data reduces deep learning (DL) model usefulness to forecast changes. To manage geospatial data imbalance, there is a lack of specialized cost-sensitive learning strategies available. Sample weights are typically derived from training instance frequencies which disregard spatial pattern complexities. Therefore, this study proposes a geospatial sample weighting approach underpinned by class-level landscape metrics (LSMs) to assign importance to categories based on relative indicators of spatial form. A case study demonstrates the application and effects of the LSM-based sample weighting approach for projecting LC changes of a region in British Columbia, Canada. Four spatiotemporal DL models are provided weighted training samples including multitemporal LC data and explanatory factors. Sample weights calculated from indicators of patch density, shape irregularity and shape heterogeneity improved figure of merit and related measures over baseline configurations. This study contributes to LC change data imbalance management strategies for DL models.</t>
  </si>
  <si>
    <t>[van Duynhoven, Alysha; Dragicevic, Suzana] Simon Fraser Univ, Dept Geog, Spatial Anal &amp; Modeling Lab, Burnaby, BC, Canada</t>
  </si>
  <si>
    <t>Simon Fraser University</t>
  </si>
  <si>
    <t>van Duynhoven, A (corresponding author), Simon Fraser Univ, Dept Geog, Spatial Anal &amp; Modeling Lab, Burnaby, BC, Canada.</t>
  </si>
  <si>
    <t>alyshav@sfu.ca</t>
  </si>
  <si>
    <t>Dragicevic, Suzana/0000-0003-4144-7530</t>
  </si>
  <si>
    <t>Natural Sciences and Engineering Research Council (NSERC) of Canada</t>
  </si>
  <si>
    <t>Natural Sciences and Engineering Research Council (NSERC) of Canada(Natural Sciences and Engineering Research Council of Canada (NSERC))</t>
  </si>
  <si>
    <t>This research was funded by the Natural Sciences and Engineering Research Council (NSERC) of Canada.</t>
  </si>
  <si>
    <t>10.1080/10106049.2023.2240283</t>
  </si>
  <si>
    <t>O4IM7</t>
  </si>
  <si>
    <t>WOS:001043468200001</t>
  </si>
  <si>
    <t>Vanegas-Chinchilla, N</t>
  </si>
  <si>
    <t>Vanegas-Chinchilla, Norida</t>
  </si>
  <si>
    <t>Informality as a multifactor approach: evidence from mototaxi drivers in Colombia</t>
  </si>
  <si>
    <t>informal economy; multifactor; degree of informality; developing economy; transport</t>
  </si>
  <si>
    <t>ECONOMY; ENTREPRENEURSHIP</t>
  </si>
  <si>
    <t>This study explores the diverse range of activities undertaken by informal workers and the ways in which these activities can differ in terms of their degree of informality. The methodology is qualitative, based on a case study of mototaxi drivers in Cartagena, Colombia, in order to achieve a more complete description and a holistic analysis of the phenomenon. The paper offers a novel multilevel perspective of informality that encompasses not only legal status but also social and economic aspects, and proposes an integrated approach to understanding informality that accounts for the range of activities undertaken by informal actors.</t>
  </si>
  <si>
    <t>[Vanegas-Chinchilla, Norida] Univ Norte, Management Business Sch, Barranquilla, Colombia</t>
  </si>
  <si>
    <t>Universidad del Norte Colombia</t>
  </si>
  <si>
    <t>Vanegas-Chinchilla, N (corresponding author), Univ Norte, Management Business Sch, Barranquilla, Colombia.</t>
  </si>
  <si>
    <t>norvachi@gmail.com</t>
  </si>
  <si>
    <t>10.1080/21681376.2023.2241545</t>
  </si>
  <si>
    <t>R5OP0</t>
  </si>
  <si>
    <t>WOS:001064847100001</t>
  </si>
  <si>
    <t>Vargas, AMY; Finke, J; Morales, MIV; Cruz, LEG; Castellanos, AA; Florez, GAG; Posada, LM</t>
  </si>
  <si>
    <t>Vargas, Ana Milena Yoshioka; Finke, Jennifer; Morales, Maria Irene Victoria; Cruz, Luis Eduardo Giron; Castellanos, Alexander Alegria; Florez, Gustavo Adolfo Gomez; Posada, Laura Mejia</t>
  </si>
  <si>
    <t>Factors influencing the empowerment of women coffee growers in southern Colombia</t>
  </si>
  <si>
    <t>women's empowerment; women coffee growers; Pro-WEAI; Colombia; mixed-methods research</t>
  </si>
  <si>
    <t>AGENCY</t>
  </si>
  <si>
    <t>This study evaluated the factors influencing the empowerment of women coffee growers in Cauca Department in southern Colombia who are associated with and linked to inclusive global markets. We applied a mixed-methods approach during the research process to adapt the Three Domains of Empowerment sub-index of the Project-level Women's Empowerment in Agriculture Index with qualitative pre-survey information from participants. After calculating the Three Domains of Empowerment sub-index, we assembled focus groups to expand the analysis and interpretation of the quantitative results. The findings showed that, despite high levels of participation in the productive component of coffee growing and their associativity, women were not completely empowered; 63.3% of participating women reported being disempowered. The three indicators contributing most to their disempowerment were social control, visiting key locations, and work balance. Likewise, through discussions with participating women, we identified sociocultural conditions such as intimate partner violence, household power structures, concerns regarding violent situations related to armed conflict, and institutional weaknesses that limit women coffee growers' empowerment within both the private and public spheres.</t>
  </si>
  <si>
    <t>[Vargas, Ana Milena Yoshioka] Pontificia Univ Javeriana, Fac Econ &amp; Adm Sci, Cali 760031, Colombia; [Vargas, Ana Milena Yoshioka; Finke, Jennifer; Cruz, Luis Eduardo Giron; Florez, Gustavo Adolfo Gomez; Posada, Laura Mejia] Pontificia Univ Javeriana, Fac Econ &amp; Adm Sci, Cali, Colombia; [Morales, Maria Irene Victoria] Pontificia Univ Javeriana, Fac Humanities &amp; Social Sci, Cali, Colombia</t>
  </si>
  <si>
    <t>Pontificia Universidad Javeriana; Pontificia Universidad Javeriana; Pontificia Universidad Javeriana</t>
  </si>
  <si>
    <t>Vargas, AMY (corresponding author), Pontificia Univ Javeriana, Fac Econ &amp; Adm Sci, Cali 760031, Colombia.</t>
  </si>
  <si>
    <t>ayoshiok@javerianacali.edu.co</t>
  </si>
  <si>
    <t>; Gomez, Gustavo Adolfo/N-9904-2016; Giron Cruz, Luis Eduardo/K-8825-2016</t>
  </si>
  <si>
    <t>Alegria Castellanos, Alexander/0000-0001-5091-1548; Yoshioka Vargas, Ana Milena/0000-0002-9383-5263; Gomez, Gustavo Adolfo/0000-0002-4036-4242; Giron Cruz, Luis Eduardo/0000-0002-6764-8640</t>
  </si>
  <si>
    <t>10.1080/23311886.2023.2204633</t>
  </si>
  <si>
    <t>E3OE6</t>
  </si>
  <si>
    <t>WOS:000974661700001</t>
  </si>
  <si>
    <t>Viitala, A; Gabriel, M; Joronen, K; Komar, G; Perheentupa, A; Sainio, T; Huvila, J; Pikander, P; Taimen, P; Sequeiros, RB</t>
  </si>
  <si>
    <t>Viitala, Antti; Gabriel, Michael; Joronen, Kirsi; Komar, Gaber; Perheentupa, Antti; Sainio, Teija; Huvila, Jutta; Pikander, Pekka; Taimen, Pekka; Blanco Sequeiros, Roberto</t>
  </si>
  <si>
    <t>Histological findings in resected leiomyomas following MR-HIFU treatment, single-institution data from seven patients with unfavorable focal therapy</t>
  </si>
  <si>
    <t>MR-HIFU; MR-guided high-intensity focused ultrasound; histology; uterine fibroid; leiomyoma; &gt;</t>
  </si>
  <si>
    <t>FOCUSED ULTRASOUND TREATMENT; UTERINE LEIOMYOMAS; THERMAL FIXATION; ABLATION; COLLAGEN; FIBROIDS; DIFFERENTIATION; DENATURATION; SURGERY; SAFETY</t>
  </si>
  <si>
    <t>Purpose Magnetic resonance - high-intensity focused ultrasound (MR-HIFU) is a noninvasive treatment option for symptomatic uterine leiomyomas. Currently, pretreatment MRI is used to assess tissue characteristics and predict the most likely therapeutic response for individual patients. However, these predictions still entail significant uncertainties. The impact of tissue properties on therapeutic outcomes remains poorly understood and detailed knowledge of the histological effects of ultrasound ablation is lacking. Investigating these aspects could aid in optimizing patient selection, enhancing treatment effects and improving treatment outcomes. Methods and materials We present seven patients who underwent MR-HIFU treatment for leiomyoma followed by second-line surgical treatment. Tissue samples obtained during the surgery were stained with hematoxylin and eosin, Masson's trichrome and Herovici to evaluate general morphology, fibrosis and collagen deposition of leiomyomas. Immunohistochemical CD31, Ki-67 and MMP-2 stainings were performed to study vascularization, proliferation and matrix metalloproteinase-2 protein expression in leiomyomas, respectively. Results The clinical characteristics and radiological findings of the leiomyomas prior to treatment as well as qualitative histological findings after the treatment are presented and discussed in the context of current literature. A tentative model for volume reduction is presented. Conclusion These findings provide insights into potential factors contributing to suboptimal therapeutic outcomes and the variability in histological changes following treatment.</t>
  </si>
  <si>
    <t>[Viitala, Antti; Komar, Gaber; Blanco Sequeiros, Roberto] Univ Turku, Turku Univ Hosp, Dept Radiol, Turku, Finland; [Gabriel, Michael] Univ Turku, Inst Biomed, Turku, Finland; [Joronen, Kirsi; Perheentupa, Antti] Univ Turku, Turku Univ Hosp, Dept Obstet &amp; Gynecol, Turku, Finland; [Sainio, Teija] Univ Turku, Turku Univ Hosp, Dept Med Phys, Turku, Finland; [Huvila, Jutta; Pikander, Pekka; Taimen, Pekka] Univ Turku, Turku Univ Hosp, Dept Pathol, Turku, Finland; [Viitala, Antti] Univ Turku, Turku Univ Hosp, Dept Radiol, Kiinamyllynkatu 4-8, Turku 20521, Finland</t>
  </si>
  <si>
    <t>University of Turku; University of Turku; University of Turku; University of Turku; University of Turku; University of Turku</t>
  </si>
  <si>
    <t>Viitala, A (corresponding author), Univ Turku, Turku Univ Hosp, Dept Radiol, Kiinamyllynkatu 4-8, Turku 20521, Finland.</t>
  </si>
  <si>
    <t>antti.j.viitala@gmail.com</t>
  </si>
  <si>
    <t>/0000-0002-3870-7699</t>
  </si>
  <si>
    <t>Radiological Society of Finland; University of Turku</t>
  </si>
  <si>
    <t>AV reports that his work was partially supported by personal grants from the Radiological Society of Finland and the University of Turku.</t>
  </si>
  <si>
    <t>10.1080/02656736.2023.2234666</t>
  </si>
  <si>
    <t>N0TD0</t>
  </si>
  <si>
    <t>WOS:001034233500001</t>
  </si>
  <si>
    <t>Wagner, CI; Bal, TMP; Brinchmann, MF; Noble, LR; Raeymaekers, JAM; Bjornevik, M</t>
  </si>
  <si>
    <t>Wagner, C. Isabel; Bal, Thijs M. P.; Brinchmann, Monica F.; Noble, Leslie R.; Raeymaekers, Joost A. M.; Bjornevik, Marit</t>
  </si>
  <si>
    <t>The concept map as a substitute for lectures: Effects on student performance and mental health</t>
  </si>
  <si>
    <t>Active learning; deep learning; concept maps; student mental health; higher education</t>
  </si>
  <si>
    <t>In comparison with traditional lectures, active learning methods have the potential to foster learner agency and consequently raise academic performance. However, these methods are often applied with little knowledge about their effectiveness. In this study, we introduced two concept maps in an undergraduate cell biology course, to investigate their effect on student performance, but also mental health, in a quasi-experimental setup. By implementing group tasks into the work, we aimed to reduce feelings of loneliness among the participants, a common phenomenon among students in the study country. We evaluated the effects of the concept maps via exam grades and in an anonymous student survey. Here, we found no increase in student performance after introduction of the active learning task. Students also did not report improvements in their feelings of loneliness. We conclude that this active learning method did not detectably improve student performance or mental health, a result which does not conform to the popular perception of positive effects from active learning. The survey revealed that students do not have a preference for either active learning or traditional lectures, however, the students experienced that the concept map helped them to describe, explain and hypothesize about the topics. Overall, this shows that the concept map method is a valid alternative to traditional lectures, since students perform equally between both learning approaches.</t>
  </si>
  <si>
    <t>[Wagner, C. Isabel] Nord Univ, Fac Biosci &amp; Aquaculture, Postboks 1490, N-8049 Bodo, Norway; [Bal, Thijs M. P.] Aquaculture Nord Univ, Fac Biosci, Postboks 1490, N-8049 Bodo, Norway; [Wagner, C. Isabel; Bal, Thijs M. P.; Brinchmann, Monica F.; Noble, Leslie R.; Raeymaekers, Joost A. M.; Bjornevik, Marit] Nord Univ, Fac Biosci &amp; Aquaculture, Bodo, Norway</t>
  </si>
  <si>
    <t>Nord University; Nord University</t>
  </si>
  <si>
    <t>Wagner, CI (corresponding author), Nord Univ, Fac Biosci &amp; Aquaculture, Postboks 1490, N-8049 Bodo, Norway.;Bal, TMP (corresponding author), Aquaculture Nord Univ, Fac Biosci, Postboks 1490, N-8049 Bodo, Norway.</t>
  </si>
  <si>
    <t>isabel.wagner@nord.no; thijs.m.bal@nord.no</t>
  </si>
  <si>
    <t>Raeymaekers, Joost/J-9538-2014</t>
  </si>
  <si>
    <t>Raeymaekers, Joost/0000-0003-2732-7495; Wagner, Clara Isabel/0000-0001-7213-4778</t>
  </si>
  <si>
    <t>10.1080/2331186X.2023.2218154</t>
  </si>
  <si>
    <t>H9EA4</t>
  </si>
  <si>
    <t>WOS:000998895500001</t>
  </si>
  <si>
    <t>Wang, D; Qian, HZ</t>
  </si>
  <si>
    <t>Wang, Di; Qian, Haizhong</t>
  </si>
  <si>
    <t>Graph neural network method for the intelligent selection of river system</t>
  </si>
  <si>
    <t>River network selection; graph convolution network; classification; automatic generalisation; cartography</t>
  </si>
  <si>
    <t>The spatial features and generalisation rules for river network generalisation are difficult to directly quantify using indicators. To consider dimensional information hidden in river networks and improve river network selection accuracy, this study introduces a graph convolutional neural network-based method. First, we modelled the river network as a graph structure, where the nodes represent each river segment and edges represent the connections between river segments. The semantic, geometric, and morphological features of individual river segments and topological and constraint features between river segments were then calculated to characterise the relevant nodes. Second, under supervised classification, the input node attributes and labels were sampled and aggregated to obtain richer and more abstract high-level features. The graph convolutional neural network model then selected or deleted river segments. Finally, the selected individual river segments were connected to obtain the complete integrated river network. A 1:10,000 scale map of the Min River system in the Yangtze River Basin was tested, with a 1:50,000 scale map used as the control, and it yielded a correct classification rate &gt;95%. Moreover, the correct classification rate was 7.35%-5.31% and 7.7%-3.3% higher than that of other graph neural network methods and traditional machine learning methods, respectively.</t>
  </si>
  <si>
    <t>[Wang, Di; Qian, Haizhong] Informat Engn Univ, Inst Geospatial Informat, Zhengzhou, Henan, Peoples R China</t>
  </si>
  <si>
    <t>PLA Information Engineering University</t>
  </si>
  <si>
    <t>Qian, HZ (corresponding author), Informat Engn Univ, Inst Geospatial Informat, Zhengzhou, Henan, Peoples R China.</t>
  </si>
  <si>
    <t>haizhongqian@163.com</t>
  </si>
  <si>
    <t>National Natural Science Foundation of China [42271463]; Natural Science Foundation [212300410014]</t>
  </si>
  <si>
    <t>National Natural Science Foundation of China(National Natural Science Foundation of China (NSFC)); Natural Science Foundation(National Natural Science Foundation of China (NSFC))</t>
  </si>
  <si>
    <t>This work was supported by the National Natural Science Foundation of China [42271463] and Natural Science Foundation for Distinguished Young Scholars of Henan Province [212300410014].</t>
  </si>
  <si>
    <t>10.1080/10106049.2023.2252762</t>
  </si>
  <si>
    <t>Q8OQ9</t>
  </si>
  <si>
    <t>WOS:001060064700001</t>
  </si>
  <si>
    <t>Wang, F; Liu, C; Ren, LZ; Li, YY; Yang, HM; Yu, Y; Xu, WP</t>
  </si>
  <si>
    <t>Wang, Fan; Liu, Chang; Ren, LingZhi; Li, YanYang; Yang, HongMei; Yu, Yang; Xu, WeiPing</t>
  </si>
  <si>
    <t>Sanziguben polysaccharides improve diabetic nephropathy in mice by regulating gut microbiota to inhibit the TLR4/NF-κB/NLRP3 signalling pathway</t>
  </si>
  <si>
    <t>Intestinal microbiota; chronic kidney diseases; inflammation; NLRP3 inflammasome</t>
  </si>
  <si>
    <t>INSULIN-RESISTANCE; INFLAMMATION</t>
  </si>
  <si>
    <t>Context Sanziguben (SZGB) is an empirical prescription used in traditional Chinese medicine to treat diabetic nephropathy (DN). As an abundant and primarily effective component of SZGB, Sanziguben polysaccharides (SZP) can be digested by flora to generate biological activity. Objective Our study aimed to clarify the potential mechanism of SZP in improving chronic DN. Materials and methods Male db/db mice were randomized into DN, SZP (500 mg/kg) and metformin (MET, 300 mg/kg) groups. Wild-type littermates served as the normal control (NC) group. The drug was orally administered for 8 weeks. Enzyme-linked immunosorbent assay was used to detect the inflammatory factors. Proteins related to inflammation were evaluated using western blotting and immunohistochemical examination. Gut microbiota was analysed using 16S rRNA sequencing. Results SZP significantly reduced 24 h urine albumin (p &lt; 0.05) of DN mice. Compared to DN group, SZP significantly decreased the homeostasis model assessment of insulin resistance index, serum creatinine and blood urea nitrogen levels (20.27 +/- 3.50 vs. 33.64 +/- 4.85, 19.22 +/- 3.77 vs. 32.52 +/- 3.05 mu mol/L, 13.23 +/- 1.42 vs. 16.27 +/- 0.77 mmol/L, respectively), and mitigated renal damage. SZP also regulated gut microbiota and decreased the abundance of Gram-negative bacteria (Proteobacteria, Klebsiella and Escherichia-Shigella). Subsequently, SZP reduced lipopolysaccharides levels (1.06- to 1.93-fold) of DN mice. Furthermore, SZP inhibited the expression levels of TLR4, phospho-NF-kappa B p65, NLRP3 proteins and interleukin (IL)-18 and IL-1 beta. Conclusions These results demonstrated that SZP improved intestinal flora disorder and inhibited the TLR4/NF-kappa B/NLRP3 pathway to alleviate DN.</t>
  </si>
  <si>
    <t>[Wang, Fan; Liu, Chang; Ren, LingZhi; Li, YanYang; Yang, HongMei; Yu, Yang] Guangzhou Univ Chinese Med, Sch Pharmaceut Sci, Guangzhou, Peoples R China; [Xu, WeiPing] Guangdong Prov Peoples Hosp, Nucl Med Dept, Guangzhou, Peoples R China; [Xu, WeiPing] Guangdong Prov Peoples Hosp, Nucl Med Dept, Guangzhou 510080, Guangdong, Peoples R China; [Yu, Yang] Guangzhou Univ Chinese Med, Sch Pharmaceut Sci, Guangzhou 510006, Guangdong, Peoples R China</t>
  </si>
  <si>
    <t>Guangzhou University of Chinese Medicine; Guangdong Academy of Medical Sciences &amp; Guangdong General Hospital; Guangdong Academy of Medical Sciences &amp; Guangdong General Hospital; Guangzhou University of Chinese Medicine</t>
  </si>
  <si>
    <t>Yu, Y (corresponding author), Guangzhou Univ Chinese Med, Sch Pharmaceut Sci, Guangzhou, Peoples R China.;Xu, WP (corresponding author), Guangdong Prov Peoples Hosp, Nucl Med Dept, Guangzhou, Peoples R China.;Xu, WP (corresponding author), Guangdong Prov Peoples Hosp, Nucl Med Dept, Guangzhou 510080, Guangdong, Peoples R China.;Yu, Y (corresponding author), Guangzhou Univ Chinese Med, Sch Pharmaceut Sci, Guangzhou 510006, Guangdong, Peoples R China.</t>
  </si>
  <si>
    <t>yuyang@gzucm.edu.cn; xwp418@126.com</t>
  </si>
  <si>
    <t>li, yanyang/IQR-7269-2023</t>
  </si>
  <si>
    <t>10.1080/13880209.2023.2174145</t>
  </si>
  <si>
    <t>8X3RC</t>
  </si>
  <si>
    <t>WOS:000931931900001</t>
  </si>
  <si>
    <t>Wang, M; Zhou, B; Fan, Q; Zhou, XR; Liao, XJ; Lin, JY; Ma, ZH; Dong, JK; Wang, HY; Ge, XY; Ju, B; Zhang, Z</t>
  </si>
  <si>
    <t>Wang, Miao; Zhou, Bing; Fan, Qing; Zhou, Xinrong; Liao, Xuejiao; Lin, Jingyan; Ma, Zhenghua; Dong, Jingke; Wang, Haiyan; Ge, Xiangyang; Ju, Bin; Zhang, Zheng</t>
  </si>
  <si>
    <t>Omicron variants escape the persistent SARS-CoV-2-specific antibody response in 2-year COVID-19 convalescents regardless of vaccination</t>
  </si>
  <si>
    <t>SARS-CoV-2; Omicron variants; COVID-19 convalescent; 2 years after discharge; antibody response; inactivated vaccines</t>
  </si>
  <si>
    <t>IMMUNITY</t>
  </si>
  <si>
    <t>With the ongoing COVID-19 pandemic and the emergence of various SARS-CoV-2 variants, a comprehensive evaluation of long-term efficacy of antibody response in convalescent individuals is urgently needed. Several longitudinal studies had reported the antibody dynamics after SARS-CoV-2 acute infection, but the follow-up was mostly limited to 1 year or 18 months at the maximum. In this study, we investigated the durability, potency, and susceptibility to immune evasion of SARS-CoV-2-specific antibody in COVID-19 convalescents for 2 years after discharge. These results showed the persistent antibody-dependent immunity could protect against the WT and Delta variant to some extent. However, the Omicron variants (BA.1, BA.2, and BA.4/5) largely escaped this preexisting immunity in recovered individuals. Furthermore, we revealed that inactivated vaccines (BBIBP-CorV, CoronaVac, or KCONVAC) could improve the plasma neutralization and help to maintain the broadly neutralizing antibodies at a certain level. Notably, with the time-dependent decline of antibody, 1-dose or 2-dose vaccination strategy seemed not to be enough to provide immune protection against the emerging variants. Overall, these results facilitated our understanding of SARS-CoV-2-induced antibody memory, contributing to the development of immunization strategy against SARS-CoV-2 variants for such a large number of COVID-19 survivors.</t>
  </si>
  <si>
    <t>[Wang, Miao; Zhou, Bing; Fan, Qing; Zhou, Xinrong; Liao, Xuejiao; Lin, Jingyan; Ma, Zhenghua; Dong, Jingke; Wang, Haiyan; Ge, Xiangyang; Ju, Bin; Zhang, Zheng] Southern Univ Sci &amp; Technol, Shenzhen Peoples Hosp 3, Affiliated Hosp 2, Inst Hepatol,Sch Med ,Natl Clin Res Ctr Infect Dis, Shenzhen, Peoples R China; [Ju, Bin; Zhang, Zheng] Guangdong Key Lab Antiinfect Drug Qual Evaluat, Shenzhen, Peoples R China; [Zhang, Zheng] Chinese Acad Med Sci, Shenzhen Res Ctr Communicable Dis Diag &amp; Treatment, Shenzhen, Peoples R China; [Ju, Bin; Zhang, Zheng] Southern Univ Sci &amp; Technol, Shenzhen Peoples Hosp 3, Affiliated Hosp 2, Inst Hepatol,Sch Med ,Natl Clin Res Ctr Infect Dis, Shenzhen 518112, Guangdong, Peoples R China; [Ju, Bin; Zhang, Zheng] Guangdong Key Lab Anti Infect Drug Qual Evaluat, Shenzhen 518112, Guangdong, Peoples R China; [Zhang, Zheng] Chinese Acad Med Sci, Shenzhen Res Ctr Communicable Dis Diag &amp; Treatment, Shenzhen 518112, Guangdong, Peoples R China</t>
  </si>
  <si>
    <t>Southern University of Science &amp; Technology; Chinese Academy of Medical Sciences - Peking Union Medical College; Southern University of Science &amp; Technology; Chinese Academy of Medical Sciences - Peking Union Medical College</t>
  </si>
  <si>
    <t>Ju, B; Zhang, Z (corresponding author), Southern Univ Sci &amp; Technol, Shenzhen Peoples Hosp 3, Affiliated Hosp 2, Inst Hepatol,Sch Med ,Natl Clin Res Ctr Infect Dis, Shenzhen 518112, Guangdong, Peoples R China.;Ju, B; Zhang, Z (corresponding author), Guangdong Key Lab Anti Infect Drug Qual Evaluat, Shenzhen 518112, Guangdong, Peoples R China.;Zhang, Z (corresponding author), Chinese Acad Med Sci, Shenzhen Res Ctr Communicable Dis Diag &amp; Treatment, Shenzhen 518112, Guangdong, Peoples R China.</t>
  </si>
  <si>
    <t>jubin2013@163.com; zhangzheng1975@aliyun.com</t>
  </si>
  <si>
    <t>Ju, Bin/0000-0003-0768-6327</t>
  </si>
  <si>
    <t>National Science Fund for Distinguished Young Scholars; National Natural Science Foundation of China [82025022]; National Key Plan for Scientific Research and Development of China [92169204, 82002140, 82171752, 82101861]; Guangdong Basic and Applied Basic Research Foundation [2021YFC0864500]; Science and Technology Innovation Committee of Shenzhen Municipality [2021B1515020034, 2019A1515011197, 2021A1515011009, 2020A1515110656]; Shenzhen Natural Science Foundation [JSGG20220226085550001, JSGG20200207155251653, JSGG20200807171401008, JSGG20210901145200002, KQTD20200909113758004]; [JCYJ20190809115617365]; [JCYJ20210324115611032]; [JCYJ20220530163405012]</t>
  </si>
  <si>
    <t>National Science Fund for Distinguished Young Scholars(National Natural Science Foundation of China (NSFC)National Science Fund for Distinguished Young Scholars); National Natural Science Foundation of China(National Natural Science Foundation of China (NSFC)); National Key Plan for Scientific Research and Development of China; Guangdong Basic and Applied Basic Research Foundation; Science and Technology Innovation Committee of Shenzhen Municipality; Shenzhen Natural Science Foundation; ; ;</t>
  </si>
  <si>
    <t>This work was supported by the National Science Fund for Distinguished Young Scholars [grant number 82025022], the National Natural Science Foundation of China [grant numbers 92169204, 82002140, 82171752, 82101861], the National Key Plan for Scientific Research and Development of China [grant number 2021YFC0864500], the Guangdong Basic and Applied Basic Research Foundation [grant numbers 2021B1515020034, 2019A1515011197, 2021A1515011009, 2020A1515110656], the Shenzhen Science and Technology Program [grant numbers RCYX20200714114700046, RCBS20210706092345028], the Science and Technology Innovation Committee of Shenzhen Municipality [grant numbers JSGG20220226085550001, JSGG20200207155251653, JSGG20200807171401008, JSGG20210901145200002, KQTD20200909113758004], and the Shenzhen Natural Science Foundation [grant numbers JCYJ20190809115617365, JCYJ20210324115611032, JCYJ20220530163405012].</t>
  </si>
  <si>
    <t>10.1080/22221751.2022.2151381</t>
  </si>
  <si>
    <t>7K4NZ</t>
  </si>
  <si>
    <t>WOS:000905262700001</t>
  </si>
  <si>
    <t>Wang, RJ; Zeng, HH; Xiao, XM; Zheng, JJ; Ke, NZ; Xie, WJ; Lin, Q; Zhang, H</t>
  </si>
  <si>
    <t>Wang, Ruijuan; Zeng, Huanhong; Xiao, Xueming; Zheng, Junjie; Ke, Naizhuo; Xie, Wenjun; Lin, Qiang; Zhang, Hui</t>
  </si>
  <si>
    <t>Identification of prognostic biomarkers of breast cancer based on the immune-related gene module</t>
  </si>
  <si>
    <t>AUTOIMMUNITY</t>
  </si>
  <si>
    <t>Breast cancer; weighted gene co-expression network analysis; immune microenvironment; HLA; gene mutation; &gt;</t>
  </si>
  <si>
    <t>NF-KAPPA-B; MACROPHAGES; TNFRSF14</t>
  </si>
  <si>
    <t>Breast cancer (BC) is highly malignant and its mortality rate remains high. The development of immunotherapy has gradually improved the prognosis and survival rate of patients. Therefore, identifying molecular markers concerned with BC immunity is of great importance for the treatment of this disease. The Cancer Genome Atlas-breast invasive carcinoma (TCGA-BRCA) was utilized as the training set while the BC expression dataset from the gene expression omnibus database was taken as the validation set here. Weighted gene co-expression network analysis combined with Pearson analysis and Tumor immune estimation resource (TIMER) was used to obtain immune cell-related hub gene module. Gene Ontology (GO) and Kyoto Encyclopedia of Genes and Genomes (KEGG) enrichment analyses were performed on this module. Then, receiver operating characteristic curves combining Kaplan-Meier was used to evaluate the effectiveness of the model. Feature genes were screened and the independence of risk score was evaluated by univariate and multivariate Cox analyses. Differences in immune characteristics were analyzed via single-sample gene set enrichment analysis and CIBERSORT, and differences in gene mutation frequency were assessed via GenVisR analysis. Finally, the expression levels of prognostic feature genes in BC cells were validated by quantitative reverse transcription polymerase chain reaction (qRT-PCR). In this study, cell immune-related gene modules in TCGA-BRCA were successfully excavated, and a five-gene (TNFRSF14, NFKBIA, DLG3, IRF2, and CYP27A1) prognostic model was established. The prognostic model could effectively forecast the prognosis and survival rate of BC patients. The result showed that human leukocyte antigen-related proteins and macrophage M2 scores were remarkably highly expressed in the high-risk group, whereas CD8+ T cells, natural killer cells, M1, and other anti-tumor cells were lowly expressed. The model could be used as an independent prognostic factor to predict the prognosis of BC patients. The results of qRT-PCR validation were consistent with the results in the database, that is, except DLG3, the other four feature genes were lowly expressed in BC. The five-gene model established in this study can predict the prognostic and immune mode of BC patients effectively, which is anticipated to become a feasible molecular target for BC therapy.</t>
  </si>
  <si>
    <t>[Wang, Ruijuan; Zeng, Huanhong; Xiao, Xueming; Zheng, Junjie; Ke, Naizhuo; Xie, Wenjun; Lin, Qiang] Fujian Med Univ, Shengli Clin Coll, Fujian Prov Hosp, Dept Basic Surg, Fuzhou, Fujian, Peoples R China; [Zhang, Hui] Fujian Med Univ, Shengli Clin Coll, Fujian Prov Hosp, Dept Surg Oncol, Fuzhou, Fujian, Peoples R China; [Zhang, Hui] Fujian Med Univ, Shengli Clin Coll, Fujian Prov Hosp, Dept Surg oncol, 134 East St, Fuzhou 350001, Fujian, Peoples R China</t>
  </si>
  <si>
    <t>Fujian Provincial Hospital; Fujian Medical University; Fujian Medical University; Fujian Provincial Hospital; Fujian Provincial Hospital; Fujian Medical University</t>
  </si>
  <si>
    <t>Zhang, H (corresponding author), Fujian Med Univ, Shengli Clin Coll, Fujian Prov Hosp, Dept Surg oncol, 134 East St, Fuzhou 350001, Fujian, Peoples R China.</t>
  </si>
  <si>
    <t>huizhang5466@163.com</t>
  </si>
  <si>
    <t>Young and Middle-Aged Talents Training Project of Fujian Provincial Health Commission [2021GGA001]; Natural Science Foundation of Fujian Province of China [2021J01379]</t>
  </si>
  <si>
    <t>Young and Middle-Aged Talents Training Project of Fujian Provincial Health Commission; Natural Science Foundation of Fujian Province of China(Natural Science Foundation of Fujian Province)</t>
  </si>
  <si>
    <t>This study was supported in part by grants from the Young and Middle-Aged Talents Training Project of Fujian Provincial Health Commission (2021GGA001) and the Natural Science Foundation of Fujian Province of China (2021J01379).</t>
  </si>
  <si>
    <t>0891-6934</t>
  </si>
  <si>
    <t>1607-842X</t>
  </si>
  <si>
    <t>Autoimmunity</t>
  </si>
  <si>
    <t>10.1080/08916934.2023.2244695</t>
  </si>
  <si>
    <t>P1OC2</t>
  </si>
  <si>
    <t>WOS:001048393200001</t>
  </si>
  <si>
    <t>Wang, YD; Tu, XQ; Shi, L; Yang, H</t>
  </si>
  <si>
    <t>Wang, Yudong; Tu, Xiaoqin; Shi, Liu; Yang, Hong</t>
  </si>
  <si>
    <t>Quality characteristics of silver carp surimi gels as affected by okara</t>
  </si>
  <si>
    <t>Okara; Particle size; Surimi gel; Texture; Color; Rheological property; Sensory</t>
  </si>
  <si>
    <t>DIETARY FIBER; PHYSICOCHEMICAL PROPERTIES; ALASKA POLLOCK; HYPOPHTHALMICHTHYS-MOLITRIX; FUNCTIONAL-PROPERTIES; PHYSICAL-PROPERTIES; RESISTANT STARCH; SOYBEAN RESIDUE; PARTICLE SIZES; BY-PRODUCTS</t>
  </si>
  <si>
    <t>The objective of this study was to investigate the effects of okara on the quality of silver carp surimi gels. The characteristics of surimi gels without and with okara (0%, 2%, 4%, 6%, 8%, and 10% w/w) were evaluated by measuring water-holding capacity (WHC), color, sensory, textural, and rheological properties. With further addition of okara, WHC, breaking force, textural properties, and whiteness were decreased (P &lt; 0.05), while springiness of surimi meatballs had no significant difference in sensory evaluation. Storage modulus (G ') and loss modulus (G '') decreased along with increasing okara concentration. However, the sensory evaluation showed it was acceptable for surimi meatballs with 6% okara or less. Among different particle sizes (375, 805, 509, 387, 190, and 34 mu m) of okara, surimi gels with 6% okara of larger particle sizes had higher values of hardness, gumminess, chewiness, and breaking force, while those with smaller particle sizes showed higher whiteness, but there was no significant difference on WHC of surimi gels. The storage modulus (G ') and loss modulus (G '') of surimi pastes also decreased with increasing particle sizes of okara. However, sensory evaluation showed no difference on surimi meatballs with different particle sizes of okara. Results demonstrated that okara could be used as an ingredient to improve the quality and nutritional value of surimi-based products.</t>
  </si>
  <si>
    <t>[Wang, Yudong; Tu, Xiaoqin; Shi, Liu; Yang, Hong] Huazhong Agr Univ, Coll Food Sci &amp; Technol, Wuhan 430070, Peoples R China; [Yang, Hong] Huazhong Agr Univ, Key Lab Environm Correlat Dietol, Minist Educ, Wuhan 430070, Peoples R China; [Yang, Hong] Ctr Convent Freshwater Fish Proc Wuhan, Natl R&amp;D Branch, Wuhan 430070, Peoples R China; [Yang, Hong] Aquat Prod Engn &amp; Technol Res Ctr Hubei Prov, Wuhan 430070, Peoples R China</t>
  </si>
  <si>
    <t>Huazhong Agricultural University; Huazhong Agricultural University</t>
  </si>
  <si>
    <t>Yang, H (corresponding author), Huazhong Agr Univ, Coll Food Sci &amp; Technol, Wuhan 430070, Peoples R China.</t>
  </si>
  <si>
    <t>yangh@mail.hzau.edu.cn</t>
  </si>
  <si>
    <t>National Key R&amp;D Program of China; [2018YFD0901003]</t>
  </si>
  <si>
    <t>National Key R&amp;D Program of China;</t>
  </si>
  <si>
    <t>Acknowledgments This work was financially supported by the National Key R&amp;D Program of China (2018YFD0901003).</t>
  </si>
  <si>
    <t>10.1080/10942912.2022.2153863</t>
  </si>
  <si>
    <t>6T5MY</t>
  </si>
  <si>
    <t>WOS:000893725400001</t>
  </si>
  <si>
    <t>Wang, ZH; Ye, XQ; Wu, XT; Wang, ZZ; Huang, JH; Chen, XX</t>
  </si>
  <si>
    <t>Wang, Ze-Hua; Ye, Xi-Qian; Wu, Xiao-Tong; Wang, Zhi-Zhi; Huang, Jian-Hua; Chen, Xue-Xin</t>
  </si>
  <si>
    <t>A new gene family (BAPs) of Cotesia bracovirus induces apoptosis of host hemocytes</t>
  </si>
  <si>
    <t>Polydnavirus; cotesia vestalis bracovirus; host immunity; novel gene; apoptosis; Plutella xylostella</t>
  </si>
  <si>
    <t>PLUTELLA-XYLOSTELLA; BANCHINE POLYDNAVIRUS; PROTEIN; HYMENOPTERA; EXPRESSION; PARASITISM; SEQUENCE; FEATURES; REDUCTION; ALIGNMENT</t>
  </si>
  <si>
    <t>Polydnaviruses (PDVs), obligatory symbionts with parasitoid wasps, function as host immune suppressors and growth and development regulator. PDVs can induce host haemocyte apoptosis, but the underlying mechanism remains largely unknown. Here, we provided evidence that, during the early stages of parasitism, the activated Cotesia vestalis bracovirus (CvBV) reduced the overall number of host haemocytes by inducing apoptosis. We found that one haemocyte-highly expressed CvBV gene, CvBV-26-4, could induce haemocyte apoptosis. Further analyses showed that CvBV-26-4 has four homologs from other Cotesia bracoviruses and BV from wasps in the genus Glyptapanteles, and all four of them possessed a similar structure containing 3 copies of a well-conserved motif (Gly-Tyr-Pro-Tyr, GYPY). Mass spectrometry analysis revealed that CvBV-26-4 was secreted into plasma by haemocytes and then degraded into peptides that induced the apoptosis of haemocytes. Moreover, ectopic expression of CvBV-26-4 caused fly haemocyte apoptosis and increased the susceptibility of flies to bacteria. Based on this research, a new family of bracovirus genes, Bracovirus apoptosis-inducing proteins (BAPs), was proposed. Furthermore, it was discovered that the development of wasp larvae was affected when the function of CvBV BAP was obstructed in the parasitized hosts. The results of our study indicate that the BAP gene family from the bracoviruses group is crucial for immunosuppression during the early stages of parasitism.</t>
  </si>
  <si>
    <t>[Wang, Ze-Hua; Ye, Xi-Qian; Wu, Xiao-Tong; Wang, Zhi-Zhi; Huang, Jian-Hua; Chen, Xue-Xin] Zhejiang Univ, Inst Insect Sci, Hangzhou, Peoples R China; [Wang, Ze-Hua; Ye, Xi-Qian; Wu, Xiao-Tong; Wang, Zhi-Zhi; Huang, Jian-Hua; Chen, Xue-Xin] Zhejiang Univ, Minist Agr Key Lab Mol Biol Crop Pathogens &amp; Insec, Hangzhou, Peoples R China; [Wang, Ze-Hua; Ye, Xi-Qian; Wu, Xiao-Tong; Wang, Zhi-Zhi; Huang, Jian-Hua; Chen, Xue-Xin] Zhejiang Univ, Zhejiang Prov Key Lab Biol Crop Pathogens &amp; Insect, Hangzhou, Peoples R China; [Wang, Ze-Hua] Reg Dev &amp; Governance Ctr, Hangzhou, Peoples R China; [Ye, Xi-Qian; Wang, Zhi-Zhi; Huang, Jian-Hua; Chen, Xue-Xin] Guangdong Lab Lingnan Modern Agr, Guangzhou, Peoples R China; [Chen, Xue-Xin] Zhejiang Univ, State Key Lab Rice Biol, Hangzhou, Peoples R China</t>
  </si>
  <si>
    <t>Zhejiang University; Zhejiang University; Zhejiang University; Guangdong Laboratory for Lingnan Modern Agriculture; Zhejiang University</t>
  </si>
  <si>
    <t>Chen, XX (corresponding author), Zhejiang Univ, Inst Insect Sci, Hangzhou, Peoples R China.;Chen, XX (corresponding author), Zhejiang Univ, Minist Agr Key Lab Mol Biol Crop Pathogens &amp; Insec, Hangzhou, Peoples R China.;Chen, XX (corresponding author), Zhejiang Univ, Zhejiang Prov Key Lab Biol Crop Pathogens &amp; Insect, Hangzhou, Peoples R China.;Chen, XX (corresponding author), Guangdong Lab Lingnan Modern Agr, Guangzhou, Peoples R China.;Chen, XX (corresponding author), Zhejiang Univ, State Key Lab Rice Biol, Hangzhou, Peoples R China.</t>
  </si>
  <si>
    <t>xxchen@zju.edu.cn</t>
  </si>
  <si>
    <t>Huang, Jianhua/H-1068-2011</t>
  </si>
  <si>
    <t>Huang, Jianhua/0000-0001-6509-1765</t>
  </si>
  <si>
    <t>10.1080/21505594.2023.2171691</t>
  </si>
  <si>
    <t>8S4CX</t>
  </si>
  <si>
    <t>WOS:000928532800001</t>
  </si>
  <si>
    <t>Wassie, SB; Mengistu, DA; Birlie, AB; Waktola, DK</t>
  </si>
  <si>
    <t>Wassie, Simachew B. B.; Mengistu, Daniel A. A.; Birlie, Arega B. B.; Waktola, Daniel K. K.</t>
  </si>
  <si>
    <t>Drought-induced agricultural livelihood vulnerability: Livelihood-based comparative analysis in Northeast highlands of Ethiopia</t>
  </si>
  <si>
    <t>agricultural drought; livelihood; livelihood zone; vulnerability; vulnerability factors; North Wollo; Ethiopia; &gt;</t>
  </si>
  <si>
    <t>SOCIOECOLOGICAL VULNERABILITY; CLIMATE-CHANGE; STRESSORS; IMPACTS; AFRICA; SHOCKS</t>
  </si>
  <si>
    <t>The main objective of this study was to analyze drought-induced agricultural livelihood vulnerability through a comprehensive assessment of agro-meteorological, biophysical, and socioeconomic variables in North Wollo. The study area has four main livelihood zones, namely, Abay Tekeze watershed (ATW), North Wollo east plain (NWEP), North Wollo highland belg (NWHB), and Northeast woina-dega mixed cereal (NEWMC). A total of 274 sample households were selected from all the livelihood zones by considering wealth rankings. A Survey questionnaire, supplemented with focus group discussions and key informant interviews, was used to collect the data. Principal component analysis was applied to determine the indicators and assign weights. Consequently, from 66 indicators 32 were prioritized to measure the exposure, sensitivity, and adaptive capacity of the system. Both the livelihood vulnerability framework (LVI) and vulnerability sourcebook approach (LVIVSBA) were applied to assess livelihood vulnerability. The results revealed that the entire study area was characterized by higher exposure (0.653) and higher sensitivity (0.632) scores to drought impacts, while it exhibited a lower adaptive capacity (0.37). In both approaches, NWHB obtained the highest vulnerability score (0.681/0.715) followed by NWEP (0.634/0.619), whilst ATW revealed the lowest (0.583/0.555) in LVI and LVIVSBA, respectively. Similarly, the poor (0.671/0.670), medium (0.589/0.593), and better-off (0.554/0.537) were relatively ordered from the highest to the lowest. In conclusion, differential livelihood vulnerability does exist across the livelihood zones and wealth groups. The major sub-components which worsen household's vulnerability were access to irrigation, food self-sufficiency problem, scarcity of livestock fodder, poor access to basic infrastructure, lower livelihood diversification, inadequate economic resources, low educational status, lack of training and support. Hence, the study calls for decision-makers and development partners to develop context-specific planning and interventions that strengthen the farmers' adaptive capacity and minimize their exposure and sensitivity to the issue.</t>
  </si>
  <si>
    <t>[Wassie, Simachew B. B.; Mengistu, Daniel A. A.; Birlie, Arega B. B.] Bahir Dar Univ, Dept Geog &amp; Environm Studies, Bahir Dar, Ethiopia; [Waktola, Daniel K. K.] Austin Community Coll, Dept GIS, Austin, TX USA</t>
  </si>
  <si>
    <t>Bahir Dar University</t>
  </si>
  <si>
    <t>Wassie, SB (corresponding author), Bahir Dar Univ, Dept Geog &amp; Environm Studies, Bahir Dar, Ethiopia.</t>
  </si>
  <si>
    <t>simyebb@gmail.com</t>
  </si>
  <si>
    <t>10.1080/23311932.2023.2238981</t>
  </si>
  <si>
    <t>N7EN7</t>
  </si>
  <si>
    <t>WOS:001038601300001</t>
  </si>
  <si>
    <t>Wei, JY; Wu, HB; Yue, H; Jia, SJ; Li, JT; Liu, C</t>
  </si>
  <si>
    <t>Wei, Junyi; Wu, Hangbin; Yue, Han; Jia, Shoujun; Li, Jintao; Liu, Chun</t>
  </si>
  <si>
    <t>Automatic extraction and reconstruction of a 3D wireframe of an indoor scene from semantic point clouds</t>
  </si>
  <si>
    <t>Point cloud; primitive extraction; semantic optimization; indoor model reconstruction; &gt;</t>
  </si>
  <si>
    <t>BUILDING MODELS; INTERIORS</t>
  </si>
  <si>
    <t>Accurate indoor 3D models are essential for building administration and applications in digital city construction and operation. Developing an automatic and accurate method to reconstruct an indoor model with semantics is a challenge in complex indoor environments. Our method focuses on the permanent structure based on a weak Manhattan world assumption, and we propose a pipeline to reconstruct indoor models. First, the proposed method extracts boundary primitives from semantic point clouds, such as floors, walls, ceilings, windows, and doors. The primitives of the building boundary are aligned to generate the boundaries of the indoor scene, which contains the structure of the horizontal plane and height change in the vertical direction. Then, an optimization algorithm is applied to optimize the geometric relationships among all features based on their categories after the classification process. The heights of feature points are captured and optimized according to their neighborhoods. Finally, a 3D wireframe model of the indoor scene is reconstructed based on the 3D feature information. Experiments on three different datasets demonstrate that the proposed method can be used to effectively reconstruct 3D wireframe models of indoor scenes with high accuracy.</t>
  </si>
  <si>
    <t>[Wei, Junyi; Wu, Hangbin; Yue, Han; Jia, Shoujun; Li, Jintao; Liu, Chun] Tongji Univ, Coll Surveying &amp; Geoinformat, Shanghai, Peoples R China</t>
  </si>
  <si>
    <t>Tongji University</t>
  </si>
  <si>
    <t>Wu, HB (corresponding author), Tongji Univ, Coll Surveying &amp; Geoinformat, Shanghai, Peoples R China.</t>
  </si>
  <si>
    <t>hb@tongji.edu.cn</t>
  </si>
  <si>
    <t>LU, Li/JFJ-9011-2023; Wang, Jinguo/JED-9233-2023; Liu, Yuxin/JCP-4002-2023</t>
  </si>
  <si>
    <t>10.1080/17538947.2023.2246937</t>
  </si>
  <si>
    <t>P2NU6</t>
  </si>
  <si>
    <t>WOS:001049067200001</t>
  </si>
  <si>
    <t>Wen, K; Zhang, LJ; Cai, Y; Teng, H; Liang, JL; Yue, Y; Li, YL; Huang, YF; Liu, M; Zhang, YF; Wei, RH; Sun, J</t>
  </si>
  <si>
    <t>Wen, Kai; Zhang, Lujie; Cai, Yang; Teng, He; Liang, Jingli; Yue, Yi; Li, Yaoling; Huang, Yifang; Liu, Ming; Zhang, Yufeng; Wei, Ruihua; Sun, Jing</t>
  </si>
  <si>
    <t>Identification and characterization of extrachromosomal circular DNA in patients with high myopia and cataract</t>
  </si>
  <si>
    <t>Extrachromosomal circular DNA; high myopia; cataract; Circle-seq; anterior capsule of the lens</t>
  </si>
  <si>
    <t>PATHOLOGICAL MYOPIA; CTNND2; GENE; EPIDEMIOLOGY; POPULATION; PREVALENCE; SEQUENCE</t>
  </si>
  <si>
    <t>To explore the presence of extrachromosomal circular DNA (eccDNA) in the anterior capsule of the lens in the eyes of patients with cataract and with high myopia. Circle-Seq was performed to identify differences in the eccDNA and gene expression between the anterior capsule of the lens of patients with simple nuclear cataract (C, n = 6 cases) and patients with nuclear cataract along with high myopia (HM, n = 6 cases). The expression of eccDNA was confirmed using routine quantitative polymerase chain reaction. The eccDNA ranked in C and HM ranged in length from 0.017 kb - 9.9 Mb with two distinctive peaks detected at 0.2 kb and 0.5 kb, while eccDNA that were differentially expressed ranged in size from 0.05 kb - 57.8 kb with two distinctive peaks observed at 0.1 kb and 0.5 kb. Only 2.5% of the eccDNA in C and 2% in HM were&gt;25 kb in size. The gene-rich chromosomes contributed to more number of eccDNA/Mb, while several well-known high myopia candidate genes, including catenin delta 2 (CTNND2) and ubiquitin-like with PHD, exhibited significantly increased levels of eccDNA in the anterior capsule of the lens in patients with high myopia. This study highlighted the topologic analysis of the anterior capsule of eyes with high myopia, which is an emerging direction for research and clinical applications. These findings suggested that eccDNA was commonly detected in eyes with high myopia and cataracts, and the candidate genes for high myopia identified in previous studies were also observed in the eccDNA.</t>
  </si>
  <si>
    <t>[Wen, Kai; Cai, Yang; Teng, He; Liang, Jingli; Yue, Yi; Li, Yaoling; Huang, Yifang; Liu, Ming; Zhang, Yufeng; Wei, Ruihua; Sun, Jing] Tianjin Med Univ Eye Hosp, Eye Inst, Natl Clin Res Ctr Ocular Dis, Tianjin Key Lab Retinal Funct &amp; Dis,Tianjin Branch, Tianjin, Peoples R China; [Wen, Kai; Cai, Yang; Teng, He; Liang, Jingli; Yue, Yi; Li, Yaoling; Huang, Yifang; Liu, Ming; Zhang, Yufeng; Wei, Ruihua; Sun, Jing] Tianjin Med Univ Eye Hosp, Sch Optometry, Tianjin, Peoples R China; [Zhang, Lujie] Tianjin Childrens Hosp, Tianjin, Peoples R China; [Sun, Jing] 251 Fukang Rd, Tianjin, Peoples R China; [Wei, Ruihua] 251, Fukang Rd, Tianjin 300110, Peoples R China</t>
  </si>
  <si>
    <t>Tianjin Medical University; Tianjin Medical University</t>
  </si>
  <si>
    <t>Sun, J (corresponding author), 251 Fukang Rd, Tianjin, Peoples R China.;Wei, RH (corresponding author), 251, Fukang Rd, Tianjin 300110, Peoples R China.</t>
  </si>
  <si>
    <t>weirhua2009@126.com; TMUeye@163.com</t>
  </si>
  <si>
    <t>Huang, Yi-Fang/ABB-5777-2021</t>
  </si>
  <si>
    <t>10.1080/15592294.2023.2192324</t>
  </si>
  <si>
    <t>9Z4CF</t>
  </si>
  <si>
    <t>WOS:000951089500001</t>
  </si>
  <si>
    <t>Wen, ZY; Sun, C; Lou, Y; Kong, J</t>
  </si>
  <si>
    <t>Wen, Zhouyu; Sun, Can; Lou, Yan; Kong, Juan</t>
  </si>
  <si>
    <t>Vitamin D/Vitamin D receptor mitigates cisplatin-induced acute kidney injury by down-regulating C5aR</t>
  </si>
  <si>
    <t>JOURNAL OF IMMUNOTOXICOLOGY</t>
  </si>
  <si>
    <t>Vitamin D; C5aR; cisplatin; acute kidney injury; renal inflammation</t>
  </si>
  <si>
    <t>TUBULAR EPITHELIAL-CELLS; ANAPHYLATOXIN C5A; RENAL FIBROSIS; IMMUNE-SYSTEM; ACTIVATION; CONTRIBUTES; THERAPY; DISEASE; C3A</t>
  </si>
  <si>
    <t>Cisplatin (DDP) is a potent chemotherapeutic; however, it can also cause acute kidney injury (AKI). Because of the complexity of the toxicity it induces, few effective methods exist for ameliorating any form of DDP-induced AKI. Recent research has suggested that the complement system is a potential molecular target for such amelioration. In the study here, in vivo (male ICR mice) and in vitro (HK-2 cells) models of DDP-induced AKI were established to investigate the potential therapeutic effects of Vitamin D (VD) against this form of AKI. Endpoints assessed in vivo/in vitro included overall renal function, degree of renal damage, and complement receptor C5aR expression using histology, immunohistochemistry, immunofluorescence, RT-PCR, and Western blots. The data indicated that the use of VD treatment could reduce renal pathological damage along with expression of TNF &amp; alpha;, IL-1 &amp; beta;, IL-18, and C5aR; however, an over-expression of C5aR weakened the protective effects of VD/VD receptor (VDR) against oxidative damage and inflammatory cell infiltration. Using a luciferase reporter gene assay and ChIP analysis, it was demonstrated that C5aR was transcriptionally inhibited by VDR. In conclusion, VD/VDR could delay DDP-induced AKI by inhibiting the expression of C5aR through transcriptional regulation and reducing the production of downstream pro-inflammatory cytokines. The present study revealed the regulatory mechanism of VD/VDR in acute renal inflammation and provides new insights into its therapeutic function in DDP-induced AKI.</t>
  </si>
  <si>
    <t>[Wen, Zhouyu; Sun, Can; Kong, Juan] China Med Univ, Shengjing Hosp, Dept Clin Nutr, Shenyang, Peoples R China; [Lou, Yan] China Med Univ, Sch Intelligent Med, Dept Comp Sci, Shenyang, Peoples R China; [Kong, Juan] China Med Univ, Shengjing Hosp, Dept Clin Nutr, Shenyang 110004, Peoples R China; [Lou, Yan] China Med Univ, Sch Intelligent Med, Dept Comp Sci, Shenyang 110122, Peoples R China</t>
  </si>
  <si>
    <t>China Medical University; China Medical University; China Medical University; China Medical University</t>
  </si>
  <si>
    <t>Kong, J (corresponding author), China Med Univ, Shengjing Hosp, Dept Clin Nutr, Shenyang 110004, Peoples R China.;Lou, Y (corresponding author), China Med Univ, Sch Intelligent Med, Dept Comp Sci, Shenyang 110122, Peoples R China.</t>
  </si>
  <si>
    <t>1007245494@qq.com; kongj@cmu.edu.cn</t>
  </si>
  <si>
    <t>The authors sincerely thank M.M. Pan He (Zunyi Medical University, Zunyi, Guizhou) for graciously providing the pcDNA3.1(+) vector</t>
  </si>
  <si>
    <t>1547-691X</t>
  </si>
  <si>
    <t>1547-6901</t>
  </si>
  <si>
    <t>J IMMUNOTOXICOL</t>
  </si>
  <si>
    <t>J. Immunotoxicol.</t>
  </si>
  <si>
    <t>10.1080/1547691X.2023.2248267</t>
  </si>
  <si>
    <t>Toxicology</t>
  </si>
  <si>
    <t>Q6RA1</t>
  </si>
  <si>
    <t>WOS:001058764300001</t>
  </si>
  <si>
    <t>Willems, D; Sayed, CJ; van der Zee, HH; Ingram, JR; Hinzpeter, EL; Beaudart, C; Evers, SMAA; Hiligsmann, M</t>
  </si>
  <si>
    <t>Willems, D.; Sayed, C. J.; van der Zee, H. H.; Ingram, J. R.; Hinzpeter, E. -l.; Beaudart, C.; Evers, S. M. A. A.; Hiligsmann, M.</t>
  </si>
  <si>
    <t>A discrete-choice experiment to elicit the treatment preferences of patients with hidradenitis suppurativa in the United States</t>
  </si>
  <si>
    <t>SECUKINUMAB</t>
  </si>
  <si>
    <t>[Willems, D.; Hinzpeter, E. -l.; Beaudart, C.; Evers, S. M. A. A.; Hiligsmann, M.] Maastricht Univ, Care &amp; Publ Hlth Res Inst CAPHRI, Dept Hlth Serv Res, Maastricht, Netherlands; [Sayed, C. J.] Univ N Carolina, Dept Dermatol, Chapel Hill, NC USA; [van der Zee, H. H.] Erasmus MC, Dept Dermatol, Rotterdam, Netherlands; [Ingram, J. R.] Cardiff Univ, Univ Hosp Wales, Sch Med, Div Infect &amp; Immun, Cardiff, Wales; [Beaudart, C.] Univ Liege, Dept Publ Hlth Epidemiol &amp; Hlth Econ, Liege, Belgium; [Evers, S. M. A. A.] Trimbos Inst Netherlands Inst Mental Hlth &amp; Addict, Utrecht, Netherlands; [Willems, D.] Maastricht Univ, Care &amp; Publ Hlth Res Inst CAPHRI, Fac Hlth Med &amp; Life Sci, Dept Hlth Serv Res, POB 616, NL-6200 Maastricht, Netherlands</t>
  </si>
  <si>
    <t>Maastricht University; University of North Carolina; University of North Carolina Chapel Hill; Erasmus University Rotterdam; Erasmus MC; Cardiff University; University of Liege; Maastricht University</t>
  </si>
  <si>
    <t>Willems, D (corresponding author), Maastricht Univ, Care &amp; Publ Hlth Res Inst CAPHRI, Fac Hlth Med &amp; Life Sci, Dept Hlth Serv Res, POB 616, NL-6200 Maastricht, Netherlands.</t>
  </si>
  <si>
    <t>dmw.willems@maastrichtuniversity.nl</t>
  </si>
  <si>
    <t>; Evers, Silvia/K-9720-2015</t>
  </si>
  <si>
    <t>Hiligsmann, Mickael/0000-0003-4274-9258; Willems, Damon/0000-0001-8263-4047; Evers, Silvia/0000-0003-1026-570X</t>
  </si>
  <si>
    <t>10.1080/13696998.2023.2194804</t>
  </si>
  <si>
    <t>C5XW6</t>
  </si>
  <si>
    <t>Green Published, gold, Green Accepted</t>
  </si>
  <si>
    <t>WOS:000962652400001</t>
  </si>
  <si>
    <t>Wirth, S; Tschumi, P; Mayer, H; Tanner, MB</t>
  </si>
  <si>
    <t>Wirth, Samuel; Tschumi, Pascal; Mayer, Heike; Tanner, Monika Bandi</t>
  </si>
  <si>
    <t>Change agency in social innovation: an analysis of activities in social innovation processes</t>
  </si>
  <si>
    <t>change agency; social innovation; innovation biography; tourism; healthcare; mountain region; Switzerland</t>
  </si>
  <si>
    <t>INSTITUTIONAL ENTREPRENEURSHIP; PLACE LEADERSHIP; ACTORS; FIELD</t>
  </si>
  <si>
    <t>We examine the role of change agency in social innovations. Agency in social innovations can create new resources and capacities for transformative change in a region. To date, there is a lack of empirical studies investigating how agency manifests itself in social innovations. In particular, research has not yet investigated the detailed activities of social innovation actors throughout the phases of social innovation processes. In this paper we apply the concept of trinity of change agency to investigate the activities of social innovation actors. Using innovation biographies and data from 61 interviews for 11 case studies of social innovation in a peripheral mountain region in Switzerland, we analyse the social innovation process from an actor-oriented perspective. Our findings show that the various types of change agency are highly present in social innovations. The significance of change agency alters throughout the innovation process. Our analysis shows that all kinds of actors performed change agency during the social innovation process. Interestingly, same actors performed different types of change agency during the social innovation process. The findings suggest that change agency is as a significant element in social innovations and that we need to consider it as a transformative element of social innovation processes. When policymakers take change agency into account in creating an environment in which social innovations can flourish, there is a great chance that social innovations can contribute to changing regional development paths and perhaps even to regional transformation.</t>
  </si>
  <si>
    <t>[Wirth, Samuel; Tanner, Monika Bandi] Univ Bern, Ctr Reg Econ Dev, CRED T, Bern, Switzerland; [Wirth, Samuel; Tschumi, Pascal; Mayer, Heike] Univ Bern, Inst Geog, Bern, Switzerland; [Wirth, Samuel; Tschumi, Pascal; Mayer, Heike] Univ Bern, Ctr Reg Econ Dev, Bern, Switzerland</t>
  </si>
  <si>
    <t>University of Bern; University of Bern; University of Bern</t>
  </si>
  <si>
    <t>Wirth, S (corresponding author), Univ Bern, Ctr Reg Econ Dev, CRED T, Bern, Switzerland.</t>
  </si>
  <si>
    <t>samuel.wirth@unibe.ch</t>
  </si>
  <si>
    <t>Mayer, Heike/0000-0001-9419-0770</t>
  </si>
  <si>
    <t>Schweizerischer Nationalfonds zur Forderung der Wissenschaftlichen Forschung [10001A_179112]; Swiss National Science Foundation (SNF) [10001A_179112] Funding Source: Swiss National Science Foundation (SNF)</t>
  </si>
  <si>
    <t>Schweizerischer Nationalfonds zur Forderung der Wissenschaftlichen Forschung(Swiss National Science Foundation (SNSF)); Swiss National Science Foundation (SNF)(Swiss National Science Foundation (SNSF))</t>
  </si>
  <si>
    <t>This work was supported by the Schweizerischer Nationalfonds zur Forderung der Wissenschaftlichen Forschung [grant number 10001A_179112].</t>
  </si>
  <si>
    <t>10.1080/21681376.2022.2157324</t>
  </si>
  <si>
    <t>7W9IE</t>
  </si>
  <si>
    <t>WOS:000913819000001</t>
  </si>
  <si>
    <t>Wu, SZ; Liu, LL; Xu, HY; Zhu, QL; Tan, MH</t>
  </si>
  <si>
    <t>Wu, Suzhen; Liu, Lili; Xu, Huanying; Zhu, Qiaoling; Tan, Minhua</t>
  </si>
  <si>
    <t>The involvement of MALAT1-ALKBH5 signaling axis into proliferation and metastasis of human papillomavirus-positive cervical cancer</t>
  </si>
  <si>
    <t>MALAT1; ALKBH5; proliferation; migration; invasion; HPV-positive cervical cancer</t>
  </si>
  <si>
    <t>LONG NONCODING RNA; MALIGNANT PROGRESSION; CELL-PROLIFERATION; M6A MODIFICATION; INVASION; DEMETHYLASE; EXPRESSION; ALKBH5; MALAT1</t>
  </si>
  <si>
    <t>Infection with high-risk human papillomavirus (HPV), for example, with types 16 and 18, is closely associated with cervical cancer development, which continues to threaten women's health globally. Although HPV oncogenes have been recognized as the main cause of transformation of normal cervical epithelial cells, non-coding RNA could also be involved in the initiation and promotion of cervical cancer development. Metastasis-associated lung adenocarcinoma transcript 1 (MALAT1), a well-documented long non-coding RNA (lncRNA), has been previously reported to exert roles in HPV-positive cervical cancer; however, the detailed underlying mechanism has yet to be investigated. In the present study, high expression levels of MALAT1 in HPV-Positive Cervical Cancer cells were confirmed, and silencing MALAT1 resulted in decreased rates of cell proliferation, migration, and invasion, both in vitro and in a zebrafish xenograft tumor model. Moreover, the results obtained showed that silencing MALAT1 led to down-regulation of the N-6-methyladenosine (m6A) demethylase ALKBH5 via regulating miR-141-3p expression, which caused a decrease in the expression levels of matrix metalloproteinase 2 (MMP2) and MMP9 expression, thereby suppressing cell migration and invasion. Taken together, the results obtained have suggested that the MALAT-ALKBH5 signaling axis may be activated in HPV-positive cervical cancer cells, which could contribute to cell proliferation and metastasis through the regulation of key genes, such as MMP2 or MMP9. The findings of the present study should both help to improve our understanding of the underlying tumorigenic mechanisms of HPV-positive cervical cancer and be of further use in the development of potential therapeutic drugs.</t>
  </si>
  <si>
    <t>[Wu, Suzhen; Liu, Lili; Xu, Huanying; Zhu, Qiaoling; Tan, Minhua] Foshan Fosun Chancheng Hosp, Dept Obstet &amp; Gynecol, Foshan, Guangdong, Peoples R China; [Wu, Suzhen] FoshanFosun Chancheng Hosp, Dept Obstet &amp; Gynecol, 3 Sanyou South Rd, Foshan 528031, Guangdong, Peoples R China</t>
  </si>
  <si>
    <t>Wu, SZ (corresponding author), FoshanFosun Chancheng Hosp, Dept Obstet &amp; Gynecol, 3 Sanyou South Rd, Foshan 528031, Guangdong, Peoples R China.</t>
  </si>
  <si>
    <t>wszsci@21cn.com</t>
  </si>
  <si>
    <t>The authors thank NanJing XinJia Medical Technology Co. Ltd. for providing technical support.</t>
  </si>
  <si>
    <t>10.1080/15384047.2023.2249174</t>
  </si>
  <si>
    <t>Q3UQ3</t>
  </si>
  <si>
    <t>WOS:001056806600001</t>
  </si>
  <si>
    <t>Wu, T; Ren, YJ; Liang, LX; Wen, JB; Wu, H; Tian, YT; Tey, WS; Zhou, K</t>
  </si>
  <si>
    <t>Wu, Ting; Ren, Yaojia; Liang, Luxin; Wen, Jiebin; Wu, Hong; Tian, Yingtao; Tey, Wei Shian; Zhou, Kun</t>
  </si>
  <si>
    <t>Tensile strength and wear resistance of glass-reinforced PA1212 fabricated by selective laser sintering</t>
  </si>
  <si>
    <t>GF; PA1212; selective laser sintering; tensile properties; tribological behaviour</t>
  </si>
  <si>
    <t>POLYAMIDE 12; TRIBOLOGICAL PROPERTIES; CARBON; COMPOSITES; TEMPERATURE; BEHAVIOR; POWDERS; FIBERS</t>
  </si>
  <si>
    <t>Glass fibre (GF) and glass bead (GB)-reinforced polyamide1212 (PA1212) was additively manufactured by selective laser sintering. The effects of laser power and GF content on the tensile and tribological properties of the printed specimens with a base GB weight fraction of 40 wt.% were investigated. The strengthening mechanism of GFs/GBs was illustrated by analyzing the interfacial adhesion between the fillers and the PA1212 matrix. The specimens with 40 wt.% GBs and 10 wt.% GFs fabricated at a laser power of 30 W exhibited a strength of 52 MPa, a friction coefficient of 0.23, and a wear rate of 0.0011 mm(3)/N center dot m. The selected optimal laser power and GF addition contributed to the strong interfacial adhesion, which realised flat surface morphology and an adequate encapsulation of fillers in the specimen. The reinforcement of GBs/GFs in PA1212 can serve as a reference for a deeper understanding of the strengthening mechanisms for other additively manufactured engineering plastics.</t>
  </si>
  <si>
    <t>[Wu, Ting; Ren, Yaojia; Liang, Luxin; Wen, Jiebin; Wu, Hong] Cent South Univ, State Key Lab Powder Met, Changsha 410083, Peoples R China; [Wen, Jiebin] Farsoon High Technol Co Ltd, Polymer Prod Line Grp, Changsha, Peoples R China; [Tian, Yingtao] Univ Lancaster, Dept Engn, Lancaster, England; [Tey, Wei Shian; Zhou, Kun] Nanyang Technol Univ, Sch Mech &amp; Aerosp Engn, Singapore, Singapore</t>
  </si>
  <si>
    <t>Central South University; Lancaster University; Nanyang Technological University &amp; National Institute of Education (NIE) Singapore; Nanyang Technological University</t>
  </si>
  <si>
    <t>Wu, H (corresponding author), Cent South Univ, State Key Lab Powder Met, Changsha 410083, Peoples R China.</t>
  </si>
  <si>
    <t>hwucsu@csu.edu.cn</t>
  </si>
  <si>
    <t>Tian, Yingtao/AGG-2786-2022; Zhou, Kun/G-1249-2010; Liang, Luxin/AAP-5312-2021; Wu, Hong/A-4042-2016</t>
  </si>
  <si>
    <t>Tian, Yingtao/0000-0002-3602-259X; Zhou, Kun/0000-0001-7660-2911; Ren, Yaojia/0000-0001-8544-5647; Wu, Hong/0000-0002-8349-4944</t>
  </si>
  <si>
    <t>e2150652</t>
  </si>
  <si>
    <t>10.1080/17452759.2022.2150652</t>
  </si>
  <si>
    <t>8C7HE</t>
  </si>
  <si>
    <t>WOS:000917774400001</t>
  </si>
  <si>
    <t>Xia, SJ; Xiao, WW; Zhu, XR; Liao, SS; Guo, JH; Zhou, JW; Xiao, SB; Fang, PX; Fang, LR</t>
  </si>
  <si>
    <t>Xia, Sijin; Xiao, Wenwen; Zhu, Xuerui; Liao, Shusen; Guo, Jiahui; Zhou, Junwei; Xiao, Shaobo; Fang, Puxian; Fang, Liurong</t>
  </si>
  <si>
    <t>Porcine deltacoronavirus resists antibody neutralization through cell-to-cell transmission</t>
  </si>
  <si>
    <t>Porcine deltacoronavirus; cell-to-cell transmission; cell-cell fusion; neutralization; porcine aminopeptidase N</t>
  </si>
  <si>
    <t>SPIKE PROTEIN; SPREAD; FUSION; PATHOGENICITY; INFECTION; THAILAND; PIGS</t>
  </si>
  <si>
    <t>Porcine deltacoronavirus (PDCoV) is an emerging enteric coronavirus that has been reported to infect a variety of animals and even humans. Cell-cell fusion has been identified as an alternative pathway for the cell-to-cell transmission of certain viruses, but the ability of PDCoV to exploit this transmission model, and the relevant mechanisms, have not been fully elucidated. Herein, we provide evidence that cell-to-cell transmission is the main mechanism supporting PDCoV spread in cell culture and that this efficient spread model is mediated by spike glycoprotein-driven cell-cell fusion. We found that PDCoV efficiently spread to non-susceptible cells via cell-to-cell transmission, and demonstrated that functional receptor porcine aminopeptidase N and cathepsins in endosomes are involved in the cell-to-cell transmission of PDCoV. Most importantly, compared with non-cell-to-cell infection, the cell-to-cell transmission of PDCoV was resistant to neutralizing antibodies and immune sera that potently neutralized free viruses. Taken together, our study revealed key characteristics of the cell-to-cell transmission of PDCoV and provided new insights into the mechanism of PDCoV infection.</t>
  </si>
  <si>
    <t>[Xia, Sijin; Xiao, Wenwen; Zhu, Xuerui; Liao, Shusen; Guo, Jiahui; Zhou, Junwei; Xiao, Shaobo; Fang, Puxian; Fang, Liurong] Huazhong Agr Univ, Coll Vet Med, State Key Lab Agr Microbiol, Wuhan, Peoples R China; [Xia, Sijin; Xiao, Wenwen; Zhu, Xuerui; Liao, Shusen; Guo, Jiahui; Zhou, Junwei; Xiao, Shaobo; Fang, Puxian; Fang, Liurong] Cooperat Innovat Ctr Sustainable Pig Prod, Key Lab Prevent Vet Med Hubei Prov, Wuhan, Peoples R China; [Fang, Puxian; Fang, Liurong] Huazhong Agr Univ, Coll Vet Med, State Key Lab Agr Microbiol, Wuhan 430070, Hubei, Peoples R China</t>
  </si>
  <si>
    <t>Fang, PX; Fang, LR (corresponding author), Cooperat Innovat Ctr Sustainable Pig Prod, Key Lab Prevent Vet Med Hubei Prov, Wuhan, Peoples R China.;Fang, PX; Fang, LR (corresponding author), Huazhong Agr Univ, Coll Vet Med, State Key Lab Agr Microbiol, Wuhan 430070, Hubei, Peoples R China.</t>
  </si>
  <si>
    <t>pxfang@mail.hzau.edu.cn; fanglr@mail.hzau.edu.cn</t>
  </si>
  <si>
    <t>10.1080/22221751.2023.2207688</t>
  </si>
  <si>
    <t>G4UX4</t>
  </si>
  <si>
    <t>WOS:000989134600001</t>
  </si>
  <si>
    <t>Xing, HX; Li, SS; Fu, YC; Wan, X; Zhou, AN; Cao, FF; Sun, Q; Hu, NA; Ma, MQ; Li, WW; Cao, CC</t>
  </si>
  <si>
    <t>Xing, Hongxia; Li, Shensen; Fu, Yongchao; Wan, Xin; Zhou, Annan; Cao, Feifei; Sun, Qing; Hu, Nana; Ma, Mengqing; Li, Wenwen; Cao, Changchun</t>
  </si>
  <si>
    <t>HYAL1 deficiency attenuates lipopolysaccharide-triggered renal injury and endothelial glycocalyx breakdown in septic AKI in mice</t>
  </si>
  <si>
    <t>HYAL1; AMPK; mTOR signaling; acute kidney injury; endothelial glycocalyx; autophagy; &gt;</t>
  </si>
  <si>
    <t>ACUTE KIDNEY INJURY; AUTOPHAGY; HYALURONAN; SEPSIS; CELLS; INFLAMMATION; ACTIVATION; DYSFUNCTION; INHIBITION; EXPRESSION</t>
  </si>
  <si>
    <t>Background Renal dysfunction and disruption of renal endothelial glycocalyx are two important events during septic acute kidney injury (AKI). Here, the role and mechanism of hyaluronidase 1 (HYAL1) in regulating renal injury and renal endothelial glycocalyx breakdown in septic AKI were explored for the first time. Methods BALB/c mice were injected with lipopolysaccharide (LPS, 10 mg/kg) to induce AKI. HYAL1 was blocked in vivo using lentivirus-mediated short hairpin RNA targeting HYAL1 (LV-sh-HYAL1). Biochemical assays were performed to measure the levels and concentrations of biochemical parameters associated with AKI as well as levels of inflammatory cytokines. Renal pathological lesions were determined by hematoxylin-eosin (HE) staining. Cell apoptosis in the kidney was detected using terminal-deoxynucleoitidyl transferase-mediated nick end labeling (TUNEL) assay. Immunofluorescence and immunohistochemical (IHC) staining assays were used to examine the levels of hyaluronic acid in the kidney. The protein levels of adenosine monophosphate-activated protein kinase (AMPK)/mammalian target of rapamycin (mTOR) signaling, endothelial glycocalyx, and autophagy-associated indicators were assessed by western blotting. Results The knockdown of HYAL1 in LPS-subjected mice by LV-sh-HYAL1 significantly reduced renal inflammation, oxidative stress, apoptosis and kidney dysfunction in AKI, as well as alleviated renal endothelial glycocalyx disruption by preventing the release of hyaluronic acid to the bloodstream. Additionally, autophagy-related protein analysis indicated that knockdown of HYAL1 significantly enhanced autophagy in LPS mice. Furthermore, the beneficial actions of HYAL1 blockade were closely associated with the AMPK/mTOR signaling. Conclusion HYAL1 deficiency attenuates LPS-triggered renal injury and endothelial glycocalyx breakdown in septic AKI in mice.</t>
  </si>
  <si>
    <t>[Xing, Hongxia; Li, Shensen; Fu, Yongchao; Zhou, Annan; Cao, Feifei; Sun, Qing; Hu, Nana; Ma, Mengqing; Li, Wenwen; Cao, Changchun] Nanjing Med Univ, Sir Run Hosp, Dept Nephrol, Nanjing, Jiangsu, Peoples R China; [Wan, Xin] Nanjing Med Univ, Nanjing Hosp 1, Dept Nephrol, Nanjing, Jiangsu, Peoples R China; [Cao, Changchun] Nanjing Med Univ, Sir Run Hosp, 109 Longmian Rd, Nanjing, Jiangsu, Peoples R China</t>
  </si>
  <si>
    <t>Cao, CC (corresponding author), Nanjing Med Univ, Sir Run Hosp, 109 Longmian Rd, Nanjing, Jiangsu, Peoples R China.</t>
  </si>
  <si>
    <t>caochangchun@njmu.edu.cn</t>
  </si>
  <si>
    <t>[YKK21261]</t>
  </si>
  <si>
    <t>This work was supported by The mechanism of mitochondrial fusion regulation involved in the repair of acute kidney injury (YKK21261).</t>
  </si>
  <si>
    <t>10.1080/0886022X.2023.2188966</t>
  </si>
  <si>
    <t>O7ZN4</t>
  </si>
  <si>
    <t>WOS:001045954000001</t>
  </si>
  <si>
    <t>Xu, ST; Sun, YJ; Wang, P; Tan, YC; Shi, L; Chen, J</t>
  </si>
  <si>
    <t>Xu, Shengtao; Sun, Yijun; Wang, Peng; Tan, Yuchen; Shi, Lei; Chen, Jian</t>
  </si>
  <si>
    <t>Design, synthesis and evaluation of dihydro-1H-indene derivatives as novel tubulin polymerisation inhibitors with anti-angiogenic and antitumor potency</t>
  </si>
  <si>
    <t>Anticancer; angiogenesis; tubulin; colchicine binding site; indene; &gt;</t>
  </si>
  <si>
    <t>COLCHICINE BINDING-SITE; ANTICANCER AGENTS; COMBRETASTATIN A-4; DISCOVERY; THERAPY; ANALOGS; BIOLOGY; TARGET</t>
  </si>
  <si>
    <t>Angiogenesis plays an important role in tumour generation and progression, which is used to supply nutrients and metastasis. Herein, a series of novel dihydro-1H-indene derivatives were designed and evaluated as tubulin polymerisation inhibitors by binding to colchicine site, exhibiting anti-angiogenic activities against new vessel forming. Through structure-activity relationships study, compound 12d was found to be the most potent derivative possessing the antiproliferative activity against four cancer lines with IC50 values among 0.028-0.087 &amp; mu;M. Compound 12d bound to colchicine site on tubulin and inhibited tubulin polymerisation in vitro. In addition, compound 12d induced cell cycle arrest at G2/M phase, stimulated cell apoptosis, inhibited tumour metastasis and angiogenesis. Finally, the results of in vivo assay suggested that compound 12d could prevent tumour generation, inhibit tumour proliferation and angiogenesis without obvious toxicity. Collectively, all these findings suggested that compound 12d is a novel tubulin polymerisation inhibitor deserving further research.</t>
  </si>
  <si>
    <t>[Xu, Shengtao; Chen, Jian] China Med Univ, Peoples Hosp Kunshan 1, Dept Hepatobiliary Surg, Suzhou, Peoples R China; [Xu, Shengtao; Tan, Yuchen] China Pharmaceut Univ, Dept Med Chem, Nanjing, Peoples R China; [Sun, Yijun] Jiangsu KeyGEN BioTECH Co Ltd, Nanjing, Peoples R China; [Wang, Peng; Shi, Lei] China Med Univ, Peoples Hosp Kunshan 1, Dept Neurosurg, Suzhou, Jiangsu, Peoples R China</t>
  </si>
  <si>
    <t>China Pharmaceutical University</t>
  </si>
  <si>
    <t>Chen, J (corresponding author), China Med Univ, Peoples Hosp Kunshan 1, Dept Hepatobiliary Surg, Suzhou, Peoples R China.;Shi, L (corresponding author), China Med Univ, Peoples Hosp Kunshan 1, Dept Neurosurg, Suzhou, Jiangsu, Peoples R China.</t>
  </si>
  <si>
    <t>shilei@njmu.edu.cn; chenjian@njmu.edu.cn</t>
  </si>
  <si>
    <t>National Natural Science Foundation of China [81973167, 82273472]; Kunshan High-level Medical Talent Post Training Project (2018); Suzhou Health Key Medical Talent Training Project [GSWS2020112]; Suzhou Key Laboratory of Neuro-Oncology and Nano-Bionics</t>
  </si>
  <si>
    <t>National Natural Science Foundation of China(National Natural Science Foundation of China (NSFC)); Kunshan High-level Medical Talent Post Training Project (2018); Suzhou Health Key Medical Talent Training Project; Suzhou Key Laboratory of Neuro-Oncology and Nano-Bionics</t>
  </si>
  <si>
    <t>This study was financially supported by the National Natural Science Foundation of China (no. 81973167 and 82273472), Kunshan High-level Medical Talent Post Training Project (2018), Suzhou Health Key Medical Talent Training Project (GSWS2020112) and Suzhou Key Laboratory of Neuro-Oncology and Nano-Bionics.</t>
  </si>
  <si>
    <t>10.1080/14756366.2023.2247579</t>
  </si>
  <si>
    <t>P3NS3</t>
  </si>
  <si>
    <t>gold, Green Published, Green Submitted</t>
  </si>
  <si>
    <t>WOS:001049749300001</t>
  </si>
  <si>
    <t>Xu, YH; Qian, WW; Huang, LY; Wen, WW; Li, Y; Guo, FL; Zhu, ZX; Li, Z; Gong, JF; Yu, ZQ; Zhou, Y; Lu, N; Zhu, WM; Guo, Z</t>
  </si>
  <si>
    <t>Xu, Yihan; Qian, Wenwei; Huang, Liangyu; Wen, Weiwei; Li, Yi; Guo, Feilong; Zhu, Zhenxing; Li, Zhun; Gong, Jianfeng; Yu, Zeqian; Zhou, Yan; Lu, Nan; Zhu, Weiming; Guo, Zhen</t>
  </si>
  <si>
    <t>Crohn's disease-associated AIEC inhibiting intestinal epithelial cell-derived exosomal let-7b expression regulates macrophage polarization to exacerbate intestinal fibrosis</t>
  </si>
  <si>
    <t>Crohn's disease; adherent-invasiveEscherichia coli; macrophage; miRNA; intestinal fibrosis</t>
  </si>
  <si>
    <t>INVASIVE ESCHERICHIA-COLI; ILEAL MUCOSA; MANAGEMENT; MICRORNAS; MONOCYTES; PREVALENCE; RESPONSES</t>
  </si>
  <si>
    <t>The interaction between adherent-invasive Escherichia coli (AIEC) and intestinal macrophages is implicated in the pathogenesis of Crohn's disease (CD). However, its role in intestinal fibrogenesis and the underlying molecular mechanisms are poorly understood. In addition, miRNAs such as let-7b may participate in AIEC-macrophage interactions. In this study, we identified that the colonization of AIEC in the ileum was associated with enhanced intestinal fibrosis and reduced let-7b expression by enrolling a prospective cohort of CD patients undergoing ileocolectomy. Besides, AIEC-infected IL-10(-/-) mice presented more severe intestinal fibrosis and could be improved by exogenous let-7b. Mechanistically, intestinal macrophages were found to be the main target of let-7b. Transferring let-7b-overexpressing macrophages to AIEC-infected IL-10(-/-) mice significantly alleviated intestinal fibrosis. In vitro, AIEC suppressed exosomal let-7b derived from intestinal epithelial cells (IECs), instead of the direct inhibition of let-7b in macrophages, to promote macrophages to a fibrotic phenotype. Finally, TGF beta R1 was identified as one target of let-7b that regulates macrophage polarization. Overall, the results of our work indicate that AIEC is associated with enhanced intestinal fibrosis in CD. AIEC could inhibit exosomal let-7b from IECs to promote intestinal macrophages to a fibrotic phenotype and then contributed to fibrogenesis. Thus, anti-AIEC or let-7b therapy may serve as novel therapeutic approaches to ameliorate intestinal fibrosis. Plain Language Summary What is the context? Adherent-invasive Escherichia coli (AIEC) plays an important role in the pathogenesis of Crohn's disease (CD) and has a strong association with intestinal fibrosis in animal models. However, how these bacteria contribute to intestinal fibrosis in CD patients is still unclear. The plasticity of macrophages is crucial in immune tolerance and tissue repair in the gastrointestinal tract, and the abnormal interaction between macrophages and gut bacteria triggers the fibrogenesis in the intestine. The association between the miRNA let-7b and fibrosis process has been widely reported in many tissues, except the intestine. What is new? AIEC colonization in the terminal ileum is associated with severe intestinal fibrosis in CD patients and the let-7b plays an anti-fibrotic role in intestinal fibrosis. Intestinal macrophages are the key modulator of AIEC-induced fibrosis and can be promoted to an antifibrotic phenotype through let-7b-targeted TGF beta R1 inhibition. AIEC suppresses intestinal epithelial cell-derived exosomal let-7b to promote intestinal macrophages to a fibrotic phenotype, rather than a direct effect on macrophage regulation. What is the impact? Anti-AIEC and let-7b therapy may serve as potential therapeutic strategies to reduce intestinal fibrosis in CD in the future.</t>
  </si>
  <si>
    <t>[Xu, Yihan; Li, Yi; Guo, Feilong; Zhu, Zhenxing; Li, Zhun; Gong, Jianfeng; Yu, Zeqian; Zhou, Yan; Lu, Nan; Zhu, Weiming; Guo, Zhen] Nanjing Univ, Affiliated Jinling Hosp, Med Sch, Dept Gen Surg, Nanjing 210002, Peoples R China; [Qian, Wenwei; Wen, Weiwei] Southeast Univ, Jinling Hosp, Med Sch, Dept Gen Surg, Nanjing, Peoples R China; [Huang, Liangyu] Zhejiang Univ, Affiliated Hosp 1, Sch Med, Dept Colorectal Surg, Hangzhou, Zhejiang, Peoples R China</t>
  </si>
  <si>
    <t>Nanjing University; Southeast University - China; Zhejiang University</t>
  </si>
  <si>
    <t>Zhu, WM; Guo, Z (corresponding author), Nanjing Univ, Affiliated Jinling Hosp, Med Sch, Dept Gen Surg, Nanjing 210002, Peoples R China.</t>
  </si>
  <si>
    <t>guozhi0809@sina.com; juwiming@nju.edu.cn</t>
  </si>
  <si>
    <t>许, 奕晗/GYD-7329-2022; Wen, Weiwei/AAU-5240-2021</t>
  </si>
  <si>
    <t>Xu, Yihan/0000-0002-9138-4614</t>
  </si>
  <si>
    <t>10.1080/19490976.2023.2193115</t>
  </si>
  <si>
    <t>9Z7JG</t>
  </si>
  <si>
    <t>WOS:000951313000001</t>
  </si>
  <si>
    <t>Xu, ZH; Li, YF; Li, B; Hao, ZB; Lin, LL; Hu, XY; Zhou, X; Yu, H; Xiang, SY; Pascal, MLF; Shen, WL; He, AQ; Chen, LY; Li, ZL</t>
  </si>
  <si>
    <t>Xu, Zhang-hua; Li, Yi-fan; Li, Bin; Hao, Zhen-bang; Lin, Lili; Hu, Xin-yu; Zhou, Xin; Yu, Hui; Xiang, Song-yang; Pascal, Mpomboum -Lingom -Fils; Shen, Wan-ling; He, An-qi; Chen, Ling-yan; Li, Zeng-lu</t>
  </si>
  <si>
    <t>A comparative study on the applicability and effectiveness of NSVI and NDVI for estimating fractional vegetation cover based on multi-source remote sensing image</t>
  </si>
  <si>
    <t>Fractional vegetation coverage; dimidiate pixel model; capability differences to detect vegetation information; bright and shaded areas</t>
  </si>
  <si>
    <t>LANDSAT-8 OLI; INDEX; SOIL; CONSTRUCTION; SENTINEL-2A; AUSTRALIA; MSI</t>
  </si>
  <si>
    <t>Fractional vegetation coverage (FVC) is an important ecological parameter reflecting the growth of regional plants. Existing FVC estimation is often based on vegetation indices, especially the Normalized Difference Vegetation Index (NDVI). However, NDVI can be oversaturated and easily affected by problems such as 'shadow' in images, which leads to a decrease in the precision of FVC estimation. In this study, the Normalized Shaded Vegetation Index (NSVI) was used to comprehensively compare the estimation ability of FVC with NDVI, and the differences in FVC estimation ability between NSVI and NDVI were explored. Based on two dimensions of 'bright' and 'shadow' hierarchies and FVC ranks, four evaluation systems of signal-to-noise ratio (SNR), index range, statistical model and dimidiate pixel model were selected from Sentinel-2A MSI, Landsat-8 OLI and Resource-1-02D (ZY1-02D) images and covered a variety of topographic landscapes. The results showed that: (1) the ability of NSVI to resist soil background is slightly smaller than NDVI; (2) the range of NSVI and NDVI in hyperspectral images is slightly larger than multispectral images, and the ability of NSVI to detect vegetation information in medium-high-rank and high-rank FVC areas has obvious advantages; (3) in the same kind of regression model, the goodness of fit of NSVI, NDVI and FVC was slightly higher in bright areas than in shaded areas, and the goodness of fit of the five regression models obtained from NSVI showed a significant advantage in bright areas compared with NDVI, with the best fit of the cubic curve model; (4) the estimation accuracy of the dimidiate pixel model based on NSVI and NDVI is slightly higher in bright areas than in shaded areas, and the estimation ability of NSVI is slightly better than that of NDVI in bright areas with medium-high-rank and high-rank FVC. NSVI and NDVI have their own advantages in SNR, index range, statistical model and dimidiate pixel model, so it is suggested that when remote sensing estimation of FVC is carried out, NSVI should be preferred in medium-high-rank and high-rank FVC areas, and NDVI should be preferred in low-rank FVC areas in shaded areas.</t>
  </si>
  <si>
    <t>[Xu, Zhang-hua; Li, Yi-fan; Li, Bin; Hu, Xin-yu; Zhou, Xin; Shen, Wan-ling; He, An-qi] Fuzhou Univ, Acad Geog &amp; Ecol Environm, Coll Environm &amp; Safety Engn, Fuzhou, Peoples R China; [Xu, Zhang-hua; Li, Zeng-lu] Fujian Prov Key Lab Resources &amp; Environm Monitorin, Sanming, Peoples R China; [Hao, Zhen-bang] Fujian Agr &amp; Forestry Univ, Coll Forestry, Fuzhou, Peoples R China; [Lin, Lili] Minnan Normal Univ, Dept Biol Sci &amp; Biotechnol, Zhangzhou, Peoples R China; [Yu, Hui; Xiang, Song-yang; Chen, Ling-yan] Fuzhou Univ, Acad Digital China, Key Lab Spatial Data Min &amp; Informat Sharing, Minist Educ, Fuzhou, Peoples R China; [Pascal, Mpomboum -Lingom -Fils] Fuzhou Univ, Coll Elect Engn &amp; Automat, Fuzhou, Peoples R China</t>
  </si>
  <si>
    <t>Fuzhou University; Fujian Agriculture &amp; Forestry University; MinNan Normal University; Fuzhou University; Fuzhou University</t>
  </si>
  <si>
    <t>Xu, ZH (corresponding author), Fuzhou Univ, Acad Geog &amp; Ecol Environm, Coll Environm &amp; Safety Engn, Fuzhou, Peoples R China.;Xu, ZH (corresponding author), Fujian Prov Key Lab Resources &amp; Environm Monitorin, Sanming, Peoples R China.</t>
  </si>
  <si>
    <t>fzucar@fzu.edu.cn</t>
  </si>
  <si>
    <t>li, zenglu/HTO-3519-2023</t>
  </si>
  <si>
    <t>xu, zhang hua/0000-0001-9017-6920</t>
  </si>
  <si>
    <t>10.1080/10106049.2023.2184501</t>
  </si>
  <si>
    <t>9W5KN</t>
  </si>
  <si>
    <t>WOS:000949116100001</t>
  </si>
  <si>
    <t>Yang, WG; Xu, WC; Yan, KT; Cui, ZY; Chen, PC; Zhang, L; Lan, YB</t>
  </si>
  <si>
    <t>Yang, Weiguang; Xu, Weicheng; Yan, Kangtin; Cui, Zongyin; Chen, Pengchao; Zhang, Lei; Lan, Yubin</t>
  </si>
  <si>
    <t>GEE-Based monitoring method of key management nodes in cotton production</t>
  </si>
  <si>
    <t>Google Earth Engine; cotton production; crop monitoring; classification; abandoned cropland detection</t>
  </si>
  <si>
    <t>RANDOM FOREST; LAND-COVER; EARTH; CLASSIFICATION; MACHINE</t>
  </si>
  <si>
    <t>The high-temporal-resolution monitoring of key management nodes in cotton management via agricultural remote sensing is vital for field cotton macro-statistics, particularly for predicting cotton production and obtaining comprehensive data. This study examines Shihezi, Xinjiang as a case study, utilizing Sentinel-1 and Sentinel-2 data from 2019 to 2021. Three machine learning models(RF, SVM, and CART) were employed to extract annual crop classification area rasters, monitor weekly cultivation progress, and monitor abandoned cropland during the cultivation period. The results demonstrate that the random forest model has produced satisfactory results in gridded extraction for cotton classification areas, achieving the producer's accuracy of the cotton category reached 98.5%, and the kappa coefficient is 0.947. Cotton cultivated in 2021 began is a week later than in 2020, yet exhibited a faster cultivate speed. The proportion of abandoned cotton fields in the study area rose in 2020 compared to 2019. The methodology presented in this study has a certain reference value for exploring the monitoring of continuous changes in crops over the years and macro-monitoring of important activities in the entire growth cycle.</t>
  </si>
  <si>
    <t>[Yang, Weiguang; Xu, Weicheng; Yan, Kangtin; Cui, Zongyin; Chen, Pengchao; Lan, Yubin] South China Agr Univ, Coll Elect Engn, Coll Artificial Intelligence, Guangzhou, Peoples R China; [Yang, Weiguang; Xu, Weicheng; Yan, Kangtin; Cui, Zongyin; Chen, Pengchao; Zhang, Lei; Lan, Yubin] Guangdong Lab Lingnan Modern Agr, Guangzhou, Peoples R China; [Zhang, Lei] South China Agr Univ, Coll Agr, Guangzhou, Peoples R China; [Yang, Weiguang; Xu, Weicheng; Yan, Kangtin; Cui, Zongyin; Chen, Pengchao; Zhang, Lei; Lan, Yubin] Natl Ctr Int Collaborat Res Precis Agr Aviat Pesti, Guangzhou, Guangdong, Peoples R China; [Zhang, Lei] Guangdong Lab Lingnan Modern Agr, Guangzhou 510642, Peoples R China; [Zhang, Lei] South China Agr Univ, Coll Agr, Guangzhou 510642, Peoples R China; [Lan, Yubin] South China Agr Univ, Coll Elect Engn, Coll Artificial Intelligence, Guangzhou 510642, Peoples R China</t>
  </si>
  <si>
    <t>South China Agricultural University; Guangdong Laboratory for Lingnan Modern Agriculture; South China Agricultural University; Guangdong Laboratory for Lingnan Modern Agriculture; South China Agricultural University; South China Agricultural University</t>
  </si>
  <si>
    <t>Zhang, L (corresponding author), Guangdong Lab Lingnan Modern Agr, Guangzhou 510642, Peoples R China.;Zhang, L (corresponding author), South China Agr Univ, Coll Agr, Guangzhou 510642, Peoples R China.;Lan, YB (corresponding author), South China Agr Univ, Coll Elect Engn, Coll Artificial Intelligence, Guangzhou 510642, Peoples R China.</t>
  </si>
  <si>
    <t>zhanglei@scau.edu.cn; ylan@scau.edu.cn</t>
  </si>
  <si>
    <t>杨, 炜光/GRR-5586-2022</t>
  </si>
  <si>
    <t>杨, 炜光/0000-0002-9862-5839</t>
  </si>
  <si>
    <t>Laboratory of Lingnan Modern Agriculture Project [NT2021009]; China Agriculture Research System [CARS-15-22]; Guangdong Technical System of Peanut and Soybean Industry [2019KJ136-05]; Key-Area Research and Development Program of Guangdong Province [2019B020214003]; leading talents of Guangdong province program [2016LJ06G689]</t>
  </si>
  <si>
    <t>Laboratory of Lingnan Modern Agriculture Project; China Agriculture Research System; Guangdong Technical System of Peanut and Soybean Industry; Key-Area Research and Development Program of Guangdong Province; leading talents of Guangdong province program</t>
  </si>
  <si>
    <t>This work was supported by the Laboratory of Lingnan Modern Agriculture Project [grant number NT2021009]; China Agriculture Research System [grant number CARS-15-22]; Guangdong Technical System of Peanut and Soybean Industry [grant number 2019KJ136-05]; Key-Area Research and Development Program of Guangdong Province [grant number 2019B020214003]; the leading talents of Guangdong province program [grant number 2016LJ06G689].</t>
  </si>
  <si>
    <t>10.1080/17538947.2023.2218119</t>
  </si>
  <si>
    <t>H7DE3</t>
  </si>
  <si>
    <t>WOS:000997518100001</t>
  </si>
  <si>
    <t>Yang, X; Liu, YQ; Zhu, XD; Chen, PS; Xie, XT; Xu, T; Zhang, XL; Zhao, Y</t>
  </si>
  <si>
    <t>Yang, Xin; Liu, Yuqiu; Zhu, Xiaodong; Chen, Pingsheng; Xie, Xiaotong; Xu, Tian; Zhang, Xiaoliang; Zhao, Yu</t>
  </si>
  <si>
    <t>Vascular, valvular and kidney calcification manifested in mouse models of adenine-induced chronic kidney disease</t>
  </si>
  <si>
    <t>Chronic kidney disease; ectopic calcification; aorta; aortic valves; kidney</t>
  </si>
  <si>
    <t>CORONARY-ARTERY CALCIFICATION; CHRONIC-RENAL-FAILURE; CARDIOVASCULAR-DISEASE; BONE; CKD; CALCINOSIS; INSIGHTS</t>
  </si>
  <si>
    <t>Background Ectopic calcification (EC) involves multiple organ systems in chronic kidney disease (CKD). Previous CKD-animal models primarily focused on a certain histological abnormality but did not show the correlation with calcified development among various tissues. This study compared calcified deposition in various tissues during CKD progression in mice. Methods Male 8-week-old C57BL/6J mice were randomly allocated to the seven groups: a basic, adenine, high-phosphorus, or adenine and high-phosphorus diet for 12-16 weeks (Ctl16, A12, P16, or AP16, respectively); an adenine diet for 4-6 weeks; and a high-phosphorus or adenine and high-phosphorus diet for 10-12 weeks (A6 + P10, A4 + P12, or A4 + AP12, respectively). Results Compared to the Ctl16 mice, the P16 mice only displayed a slight abnormality in serum calcium and phosphorus; the A12 mice had the most serious kidney impairment; the A4 + P12 and A6 + P10 mice had similar conditions of CKD, mineral abnormalities, and mild calcification in the kidney and aortic valves; the A4 + AP12 and AP16 groups had severe kidney impairment, mineral abnormalities and calcification in the kidneys, aortic valves and aortas. Furthermore, calcium-phosphate particles were deposited not only in the tubulointerstitial compartment but in the glomerular and tubular basement membrane. The elemental composition of EC in various tissues matched the calcification of human cardiovascular tissue as determined by energy dispersive spectroscopy. Conclusions The severity of CKD was unparalleled with the progression of mineral metabolism disorder and EC. Calcification was closely related in different tissues and observed in the glomerular and tubular basement membranes. Novelty &amp; noteworthy Previous CKD-animal models primarily focused on a certain histological abnormality but lacked investigations of the interplay of EC in various tissues. This study compared calcified deposition in several tissues during CKD progression in mice, which was closely related. The severity of CKD was unparalleled with the development of ectopic calcification. Glomerular and tubular basement membrane calcification was detected in CKD mice, which has been considered extremely rare in clinical.</t>
  </si>
  <si>
    <t>[Yang, Xin; Liu, Yuqiu; Zhu, Xiaodong; Chen, Pingsheng; Xie, Xiaotong; Xu, Tian; Zhang, Xiaoliang; Zhao, Yu] Southeast Univ, Zhong Da Hosp, Dept Nephrol, Sch Med, Nanjing, Peoples R China; [Zhang, Xiaoliang; Zhao, Yu] Southeast Univ, Zhong Da Hosp, Sch Med, Dept Nephrol, Nanjing 210009, Jiangsu, Peoples R China</t>
  </si>
  <si>
    <t>Southeast University - China; Southeast University - China</t>
  </si>
  <si>
    <t>Zhang, XL; Zhao, Y (corresponding author), Southeast Univ, Zhong Da Hosp, Sch Med, Dept Nephrol, Nanjing 210009, Jiangsu, Peoples R China.</t>
  </si>
  <si>
    <t>tonyxlz@163.com; dndxzy@126.com</t>
  </si>
  <si>
    <t>Jiangsu Provincial Key Research and Development Program [BE2021737]; National Natural Science Foundation Youth Fund [82000650]; Nanjing Health and Scientific Technology Development Program [YKK20237, YKK21268]</t>
  </si>
  <si>
    <t>Jiangsu Provincial Key Research and Development Program; National Natural Science Foundation Youth Fund; Nanjing Health and Scientific Technology Development Program</t>
  </si>
  <si>
    <t>This work was supported by the Jiangsu Provincial Key Research and Development Program [No. BE2021737]; National Natural Science Foundation Youth Fund [No. 82000650]; and Nanjing Health and Scientific Technology Development Program [No. YKK20237 and YKK21268].</t>
  </si>
  <si>
    <t>10.1080/0886022X.2023.2228920</t>
  </si>
  <si>
    <t>K1ZI9</t>
  </si>
  <si>
    <t>WOS:001014490700001</t>
  </si>
  <si>
    <t>Yao, WX; Zheng, DZ; Liu, WF; Zhou, MM; Liu, L; Cai, MJ</t>
  </si>
  <si>
    <t>Yao, Wen-Xi; Zheng, Du-Zhou; Liu, Wei-Feng; Zhou, Mi-Mi; Liu, Li; Cai, Ming-Jin</t>
  </si>
  <si>
    <t>Prognostic value of hysterosalpingography after salpingostomy in patients with hydrosalpinx</t>
  </si>
  <si>
    <t>Hydrosalpinx; hysterosalpingography; laparoscopy; pregnancy; prognosis; salpingostomy</t>
  </si>
  <si>
    <t>IN-VITRO FERTILIZATION; LAPAROSCOPIC SURGERY; MANAGEMENT; IVF; INFERTILITY; CONTRAST</t>
  </si>
  <si>
    <t>SYNOPSIS Postoperative HSG improvement was an independent risk factor for pregnancy rate in patients with hydrosalpinx after laparoscopic surgery. Impact statement What is already known on this subject? Fallopian tube obstruction is an important cause of female infertility. Current studies have shown that most spontaneous pregnancies in patients with hydrosalpinx after salpingostomy occur within 18 months, however, pregnancy rates and outcomes vary from report to report. What do the results of this study add? Many studies have shown that hydrosalpinx reduces the success rate of natural pregnancy and embryo transfer, but the mechanism of hydrosalpinx affecting pregnancy remains unclear. This study explored the mechanism of successful pregnancy through hysterosalpingography after salpingostomy in patients with hydrosalpinx. What are the implications of these findings for clinical practice and/or further research? To evaluate the prognosis of patients with hydrosalpinx after laparoscopic salpingostomy by hysterosalpingography (HSG), and to reflect the improvement according to the postoperative pregnancy rate of the patients. To provide clinical personalized treatment plan. To assess whether post-hysterosalpingography evaluation was associated with pregnancy rate and to identify independent risk factors for pregnancy success after salpingostomy in patients with hydrosalpinx. A retrospective analysis was conducted on the clinical data of 47 patients diagnosed with hydrosalpingography (HSG) in our hospital from 2015 to 2018. These patients received laparoscopic surgery and another salpingography within 2 months after surgery. According to the fallopian tube conditions evaluated by HSG before and after surgery, the patients could be divided into two groups. According to the pregnancy rate and postoperative HSG of patients with hydrosalpinx after laparoscopy, the total pregnancy rate of the tubal improved group was 65.62%, while that of the non-improved group was 20%, with statistical significance (p &lt; 0.05). We found that hysterosalpingography after salpingostomy in patients with hydrosalpinx can provide reference for clinical treatment and improve the prognosis of patients.</t>
  </si>
  <si>
    <t>[Yao, Wen-Xi; Zheng, Du-Zhou; Liu, Wei-Feng; Zhou, Mi-Mi; Cai, Ming-Jin] Guangzhou Med Univ, Affiliated Hosp 3, Dept Radiol, Guangzhou, Peoples R China; [Liu, Li] Guangzhou Med Univ, Affiliated Hosp 3, Dept Gynaecol, Guangzhou, Peoples R China; [Cai, Ming-Jin] Guangzhou Med Univ, Affiliated Hosp 3, Dept Radiol, 63 Duobao Rd, Guangzhou 510150, Guangdong, Peoples R China</t>
  </si>
  <si>
    <t>Guangzhou Medical University; Guangzhou Medical University; Guangzhou Medical University</t>
  </si>
  <si>
    <t>Cai, MJ (corresponding author), Guangzhou Med Univ, Affiliated Hosp 3, Dept Radiol, 63 Duobao Rd, Guangzhou 510150, Guangdong, Peoples R China.</t>
  </si>
  <si>
    <t>mingjincai@163.com</t>
  </si>
  <si>
    <t>zhou, yang/JED-3951-2023; LI, WEI/ISS-1208-2023; yuan, lin/JDW-7387-2023; zhang, yan/JGL-8022-2023; zhou, mimi/AAA-2869-2022; zhang, chen/JES-0371-2023; yang, peng/JEZ-8452-2023; Yang, Jing/JFK-4046-2023; Yang, Jie/JDM-6213-2023; li, wei/IUQ-2973-2023; wang, KiKi/JFZ-3334-2023; wu, p/JDW-5015-2023; yang, li/JGM-1009-2023; li, xiang/JCN-9316-2023; zhang, xu/JEO-4879-2023</t>
  </si>
  <si>
    <t>Yang, Jing/0009-0004-8274-9863; Yang, Jie/0000-0002-3941-0053;</t>
  </si>
  <si>
    <t>10.1080/01443615.2022.2158322</t>
  </si>
  <si>
    <t>7O6GR</t>
  </si>
  <si>
    <t>WOS:000908120500001</t>
  </si>
  <si>
    <t>Yao, YZ; Li, ZN; Liu, J; Fu, JF; Hou, TT; Zhang, YL</t>
  </si>
  <si>
    <t>Yao, Yuzeng; Li, Zining; Liu, Jing; Fu, Jianfei; Hou, Tingting; Zhang, Yongli</t>
  </si>
  <si>
    <t>BIF-hosted high-grade magnetite iron ore targeting by hyperspectral wavelength mapping of chlorite: case study of Qidashan Iron Mine, northeast China</t>
  </si>
  <si>
    <t>High-grade magnetite iron ore; chlorite; wavelength mapping; hyperspectral</t>
  </si>
  <si>
    <t>ANSHAN-BENXI AREA; U-PB; LIAONING PROVINCE; REFLECTANCE SPECTROSCOPY; SPECTRAL REFLECTANCE; FORMATION MECHANISM; SIMILAR-TO-900 NM; HYPERION; ABSORPTION; POSITION</t>
  </si>
  <si>
    <t>There are two kinds of chlorites occurred in Anshan area, among which the hydrothermal Fe-chlorite with longer Fe-OH wavelength is spatially related to the high-grade magnetite ore, meaning that wavelength mapping of chlorites can be used to target the BIF-hosted high grade iron ore. In this article, quadratic polynomial, cubic spline, and quartic polynomial method were used to interpolate the absorption wavelength near 2250 nm of China ZY1-02D satellite hyperspectral image. The result of quadratic polynomial is continuous without data overlapping or intervals, thus most suitable for discrimination of the chlorites. The field truth shows that the spatial distribution of Fe-chlorite, validated by XRD analysis, is not only in accordance with that of high grade magnetite ore bodies, but also consistent with the recently discovered concealed iron bonanza. The study shows that hyperspectral remote sensing techniques can play significant role in the exploration of magnetite iron ore in east Liaoning Province.</t>
  </si>
  <si>
    <t>[Yao, Yuzeng; Li, Zining; Liu, Jing; Fu, Jianfei; Hou, Tingting; Zhang, Yongli] Northeastern Univ, Dept Geol, Shenyang, Peoples R China</t>
  </si>
  <si>
    <t>Northeastern University - China</t>
  </si>
  <si>
    <t>Li, ZN (corresponding author), Northeastern Univ, Dept Geol, Shenyang, Peoples R China.</t>
  </si>
  <si>
    <t>2100985@stu.neu.edu.cn</t>
  </si>
  <si>
    <t>10.1080/10106049.2023.2226109</t>
  </si>
  <si>
    <t>J5XU5</t>
  </si>
  <si>
    <t>WOS:001010352300001</t>
  </si>
  <si>
    <t>Yi, Y; Zhang, Q; Li, JP; Xie, S; Fu, J; Li, YP; Zhao, J</t>
  </si>
  <si>
    <t>Yi, Yan; Zhang, Qiong; Li, Jingpei; Xie, Shi; Fu, Jing; Li, Yanping; Zhao, Jing</t>
  </si>
  <si>
    <t>The association between SARS-CoV-2 infection with menstrual characteristics changes in China: a cross-sectional study</t>
  </si>
  <si>
    <t>JOURNAL OF PSYCHOSOMATIC OBSTETRICS &amp; GYNECOLOGY</t>
  </si>
  <si>
    <t>COVID-19; SARS-CoV-2 infection; menstruation; &gt;</t>
  </si>
  <si>
    <t>COVID-19</t>
  </si>
  <si>
    <t>Objective To evaluate the association between severe acute respiratory syndrome coronavirus 2 (SARS-CoV-2) infection with menstrual changes, and analyze the possible related factors to menstrual changes. Methods A cross-sectional study based on online survey was conducted. Women who had been infected with SARS-CoV-2 completed the questionnaires voluntarily and were enrolled in this study. Participants were divided into menstrual change group and no menstrual change group, based on the presence or absence of menstrual changes. Results A total of 1016 women were enrolled, including 530 in the menstrual change group and 486 in the no menstrual change group. The three most common abnormalities were changes of menstruation cycles, menstruation flow and menstruation duration. Compared with the no menstrual change group, participants in the menstrual change group were significantly younger (32.55 &amp; PLUSMN; 7.00 vs. 33.67 &amp; PLUSMN; 7.39, p = .013), reported more severe symptoms with score &amp; GE; 6 (32.1% vs. 21.1%), and had more severe mental health problems, showing nervous (22.6% vs. 17.3%, p = .009), anxiety (34.9% vs. 24.5%, p &lt; .001), depression (14.7% vs. 8.2%, p = .003) and fear (10.8% vs. 6.4%, p = .011). Conclusions SARS-CoV-2 infection was associated with menstrual changes. The age, the severity of symptoms and mental health problems were related to menstrual changes.</t>
  </si>
  <si>
    <t>[Yi, Yan; Zhang, Qiong; Xie, Shi; Fu, Jing; Li, Yanping; Zhao, Jing] Cent South Univ, Reprod Med Ctr, Xiangya Hosp, Changsha, Hunan, Peoples R China; [Yi, Yan; Zhang, Qiong; Xie, Shi; Fu, Jing; Li, Yanping; Zhao, Jing] Clin Res Ctr Womens Reprod Hlth Hunan Prov, Changsha, Hunan, Peoples R China; [Li, Jingpei] Baoding 1 Cent Hosp, Dept Gynecol &amp; Obstet, Baoding, Hebei, Peoples R China; [Zhao, Jing] Cent South Univ, Reprod Med Ctr, Xiangya Hosp, Changsha 410000, Hunan, Peoples R China</t>
  </si>
  <si>
    <t>Central South University; Central South University</t>
  </si>
  <si>
    <t>Zhao, J (corresponding author), Cent South Univ, Reprod Med Ctr, Xiangya Hosp, Changsha 410000, Hunan, Peoples R China.</t>
  </si>
  <si>
    <t>zjclivia@csu.edu.cn</t>
  </si>
  <si>
    <t>Natural Science Foundation of Hunan Province of China [2021JJ31128]</t>
  </si>
  <si>
    <t>Natural Science Foundation of Hunan Province of China(Natural Science Foundation of Hunan Province)</t>
  </si>
  <si>
    <t>This work was supported by the Natural Science Foundation of Hunan Province of China (No. 2021JJ31128).</t>
  </si>
  <si>
    <t>0167-482X</t>
  </si>
  <si>
    <t>1743-8942</t>
  </si>
  <si>
    <t>J PSYCHOSOM OBST GYN</t>
  </si>
  <si>
    <t>J. Psychosomat. Obstet. Gynecol.</t>
  </si>
  <si>
    <t>10.1080/0167482X.2023.2238243</t>
  </si>
  <si>
    <t>Psychology, Clinical; Obstetrics &amp; Gynecology; Psychiatry</t>
  </si>
  <si>
    <t>Psychology; Obstetrics &amp; Gynecology; Psychiatry</t>
  </si>
  <si>
    <t>N2MD5</t>
  </si>
  <si>
    <t>WOS:001035406800001</t>
  </si>
  <si>
    <t>Yu, D; Pahl, E</t>
  </si>
  <si>
    <t>Yu, Diana; Pahl, Elke</t>
  </si>
  <si>
    <t>Melting of atomic materials under high pressures using computer simulations</t>
  </si>
  <si>
    <t>High-pressure physics; melting; phase diagrams; parallel-tempering Monte Carlo; molecular dynamics simulations; thermodynamic integration; &gt;</t>
  </si>
  <si>
    <t>MONTE-CARLO CALCULATIONS; FREE-ENERGY CALCULATIONS; MOLECULAR-DYNAMICS; EARTHS CORE; PHASE-DIAGRAM; STATISTICAL THERMODYNAMICS; STRUCTURAL-PROPERTIES; TEMPERATURE PHASE; CRYSTAL-STRUCTURE; IRON</t>
  </si>
  <si>
    <t>Enormous progress has been made in high-pressure research over the last decades in both, experiments and computer simulations, many challenges still remain. This is evidenced by controversial experimental and numerical data even for the simplest atomic systems exhibiting different types of bonding. Here we discuss the determination of the solid-liquid co-existence (melting) lines reviewing the computational techniques for studying the high-pressure melting of atomic systems based on molecular dynamic or Monte Carlo algorithms. Some emphasis is put on presenting the parallel-tempering Monte Carlo method that gives direct access to heat capacity curves and entropic information as a function of temperature allowing for an easy detection and interpretation of the melting transition. For molecular dynamics simulations there exist a variety of methods to extract melting information - here we include a more thorough discussion of thermodynamic integration as it is frequently used for high-pressure melting. Applications of these techniques and discussion for different atomic systems are presented including an overview of experimental and numerical results of the weakly, van-der-Waals bond noble gases, of diamond as a representative for covalent bonding and of alkali metals and iron. We conclude by summarizing some outstanding problems and challenges for numerical simulations.</t>
  </si>
  <si>
    <t>[Pahl, Elke] Univ Auckland, MacDiarmid Inst Adv Mat &amp; Nanotechnol, Auckland, New Zealand; [Pahl, Elke] Univ Auckland, Dept Phys, Auckland, New Zealand</t>
  </si>
  <si>
    <t>University of Auckland; University of Auckland</t>
  </si>
  <si>
    <t>Pahl, E (corresponding author), Univ Auckland, MacDiarmid Inst Adv Mat &amp; Nanotechnol, Auckland, New Zealand.;Pahl, E (corresponding author), Univ Auckland, Dept Phys, Auckland, New Zealand.</t>
  </si>
  <si>
    <t>elke.pahl@auckland.ac.nz</t>
  </si>
  <si>
    <t>Marsden Fund of the Royal Society of New Zealand [MAU1409]</t>
  </si>
  <si>
    <t>Marsden Fund of the Royal Society of New Zealand(Royal Society of New ZealandMarsden Fund (NZ))</t>
  </si>
  <si>
    <t>Financial support by the Marsden Fund of the Royal Society of New Zealand (MAU1409) is acknowledged.</t>
  </si>
  <si>
    <t>10.1080/23746149.2023.2235060</t>
  </si>
  <si>
    <t>N6DJ4</t>
  </si>
  <si>
    <t>WOS:001037892300001</t>
  </si>
  <si>
    <t>Yuslaini, N; Suwaryo, U; Deliarnoor, NA; Kartini, DS</t>
  </si>
  <si>
    <t>Yuslaini, Nina; Suwaryo, Utang; Deliarnoor, Nandang A. A.; Kartini, Dede Sri</t>
  </si>
  <si>
    <t>Palm oil industry and investment development in Dumai City, Indonesia: A focus on local economy development and sustainability</t>
  </si>
  <si>
    <t>socio-economic; sustainability; strategy; investment; palm oil</t>
  </si>
  <si>
    <t>This study focused on the impact of investment in the palm oil industry on promoting socio-economic development in Dumai City, Indonesia. Currently, sustainable investment practices, such as economic growth, environment, and people's welfare, had not been widely implemented in the industry, and to address this issue, a qualitative methodology was employed with the support of NVivo 12 Plus software. Therefore, this study aimed to determine the impact of palm oil industry investment on sustainable economic development in Dumai. The obtained results showed that investment in the palm oil industry was still fluctuating, and this resulted in an unstable investment climate. The government had taken steps to increase investment in the industry by facilitating licensing and non-licensing services through the Online Single Submission (OSS) and additional fees. It was also found that social conflict arises between the local community and the private sector over land use in areas designated for the palm oil industry, thereby disrupting the urban forest area. Furthermore, this study revealed an important aspect that has been overlooked concerning this industry in the target area. This aspect is concernEd with the benefits of investment in palm oil for the community and the environment in Dumai City (i.e. the social term: Lucky Farmers in the Land of Oil Palm). This study contributed to the efforts of the local government to increase investment in Dumai, with a focus on socio-economic, ecological, and sustainable aspects.</t>
  </si>
  <si>
    <t>[Yuslaini, Nina; Suwaryo, Utang; Deliarnoor, Nandang A. A.; Kartini, Dede Sri] Univ Padjadjaran, Fac Social &amp; Polit Sci, Dept Adm Sci, Bandung, Indonesia; [Yuslaini, Nina] Univ Islam Riau, Fac Social &amp; Polit Sci, Dept Govt Sci, Pekanbaru, Indonesia</t>
  </si>
  <si>
    <t>Universitas Padjadjaran; Islamic University of Riau Indonesia</t>
  </si>
  <si>
    <t>Yuslaini, N (corresponding author), Univ Padjadjaran, Fac Social &amp; Polit Sci, Dept Adm Sci, Bandung, Indonesia.</t>
  </si>
  <si>
    <t>nina21003@mail.unpad.ac.id</t>
  </si>
  <si>
    <t>Universitas Padjadjaran, Bandung, Indonesia.</t>
  </si>
  <si>
    <t>This research was funded by Universitas Padjadjaran, Bandung, Indonesia.</t>
  </si>
  <si>
    <t>10.1080/23311886.2023.2235780</t>
  </si>
  <si>
    <t>L5XO2</t>
  </si>
  <si>
    <t>WOS:001023995300001</t>
  </si>
  <si>
    <t>Zanon, T; Fuerst-Waltl, B; Gruber, S; Gauly, M</t>
  </si>
  <si>
    <t>Zanon, Thomas; Fuerst-Waltl, Birgit; Gruber, Sarah; Gauly, Matthias</t>
  </si>
  <si>
    <t>Estimation of the genetic parameters for temperament in Haflinger horses based on the results of a character test using a pedigree-based relationship matrix</t>
  </si>
  <si>
    <t>Temperament; breeding; haflinger; horse; character testing; &gt;</t>
  </si>
  <si>
    <t>TRAITS; PERSONALITY</t>
  </si>
  <si>
    <t>Literature provides indications that the personality and temperament of a horse are sufficiently genetically determined. This background was the impetus to continue collecting phenotypic information on the temperament in the South Tyrolean Haflinger horses, not only to have marketing tools but also to be able to estimate genetic parameters for a future genetic evaluation. The latter should open the possibility to include temperament traits in the breeding goal. Therefore, the aim of the present study was to consider for the very first-time phenotypic information from character testing for estimating genetic parameters for temperament in Haflinger horses. For the present study, data from routine character testing of 210 South Tyrolean Haflinger mares between 2019 and 2021 were considered. A multivariate estimation of heritability (h(2)) and genetic correlations (r) was carried out for the criteria 'Interest', 'Activity' and 'Excitement'. In addition, univariate and bivariate estimation runs were also carried out. The pedigree-based heritability for the behavioural trait Interest was lowest with 0.07 and a standard error of &amp; PLUSMN;0.04. For the other two criteria, Activity and Excitement, h(2) was 0.19 &amp; PLUSMN; 0.05 and 0.21 &amp; PLUSMN; 0.04, respectively. The genetic correlation between Interest and Activity and between Interest and Excitement was in both cases negative with -0.52 and -0.61, respectively while the genetic correlation between Excitement and Activity was positive (0.99). Results of the present study highlight the potential of considering temperament traits in breeding of Haflinger horses.</t>
  </si>
  <si>
    <t>[Zanon, Thomas; Gruber, Sarah; Gauly, Matthias] Free Univ Bolzano, Fac Agr Environm &amp; Food Sci, Bolzano, Italy; [Fuerst-Waltl, Birgit] Univ Nat Resources &amp; Life Sci, Inst Livestock Sci, Vienna, Austria</t>
  </si>
  <si>
    <t>Free University of Bozen-Bolzano; University of Natural Resources &amp; Life Sciences, Vienna</t>
  </si>
  <si>
    <t>Zanon, T (corresponding author), Free Univ Bolzano, Fac Agr Environm &amp; Food Sci, Bolzano, Italy.</t>
  </si>
  <si>
    <t>thomas.zanon@unibz.it</t>
  </si>
  <si>
    <t>Zanon, Thomas/AAD-1272-2021</t>
  </si>
  <si>
    <t>Zanon, Thomas/0000-0003-0397-2756</t>
  </si>
  <si>
    <t>10.1080/1828051X.2023.2247013</t>
  </si>
  <si>
    <t>P2LV4</t>
  </si>
  <si>
    <t>WOS:001049015000001</t>
  </si>
  <si>
    <t>Zhang, CM; Wang, ZL; Ma, SC; Chen, RB; Wang, SQ; Zhang, H; Hua, Z; Sun, ZX</t>
  </si>
  <si>
    <t>Zhang, Chenming; Wang, Zulong; Ma, Sicheng; Chen, Rubing; Wang, Shiqi; Zhang, Hao; Hua, Zhong; Sun, Zixue</t>
  </si>
  <si>
    <t>Repair mechanism of Yishen Tongluo formula on mouse sperm DNA fragmentation caused by polystyrene microplastics</t>
  </si>
  <si>
    <t>Endocrine-disrupting chemical (EDC); traditional Chinese medicine (TCM); sperm chromatin structure assay (SCSA); RNA-seq; data-independent acquisition (DIA); PI3K; Akt pathway; SPARC</t>
  </si>
  <si>
    <t>QUALITY; INFERTILITY; INTEGRITY; NETWORK</t>
  </si>
  <si>
    <t>Context Plastics can break down into millions of microplastic (MPs, &lt; 5 mm) particles in the soil and ocean. These MPs can then affect the function of the reproductive system. There is currently no effective solution to this problem aside from traditional Chinese medicine. We have previously used Yishen Tongluo formula (YSTL) to treat sperm DNA damage caused by some toxic substances. Objective To investigate the mechanism underlying the repair of mouse sperm DNA fragmentation caused by polystyrene microplastics by YSTL. Materials and methods An animal model of polystyrene microplastic (PS-MP)-induced sperm DNA damage was replicated by gavage of SPF ICR (CD1) mice PS-MPs at 1 mg/d and treated with YSTL at 11.89, 23.78 and 47.56 g/kg, respectively, for 60 days. The Sperm DNA fragmentation index (DFI) of each group was detected and compared. The target genes of YSTL identified by transcriptomic and proteomic analyses were validated by qRT-PCR and western blotting. Results The DFI of the PS group (20.66%) was significantly higher than that of the control group (4.23%). The medium and high doses of the YSTL group (12.8% and 11.31%) exhibited a significant repairing effect. The most enriched pathway was PI3K/Akt. TBL1X, SPARC, hnRNP0, Map7D1, Eps8 and Mrpl27 were screened and SPARC was validated. Discussion and conclusions The precise mechanism by which YSTL inhibits PD-MPs DNA damage may be associated with the PI3K/Akt pathway and SPARC. It provides a new direction for using traditional Chinese medicine to prevent and repair reproductive system injury caused by MPs.</t>
  </si>
  <si>
    <t>[Zhang, Chenming; Wang, Zulong; Chen, Rubing; Wang, Shiqi] Henan Univ Chinese Med, Androl Dept, Affiliated Hosp 1, Zhengzhou, Peoples R China; [Zhang, Chenming; Hua, Zhong] Henan Univ Chinese Med, Clin Med Sch 2, Zhengzhou, Peoples R China; [Ma, Sicheng] Henan Univ Chinese Med, Tradit Chinese Med ZHONG JING Sch, Zhengzhou, Peoples R China; [Zhang, Hao] Macau Univ Sci &amp; Technol, Fac Chinese Med, State Key Lab Qual Res Chinese Med, Macau, Peoples R China; [Sun, Zixue] Henan Prov Hosp Tradit Chinese Med, Reprod Med Dept, Zhengzhou, Peoples R China; [Wang, Zulong] Henan Univ Chinese Med, Affiliated Hosp 1, 19 Renmin Rd, Zhengzhou 450003, Henan, Peoples R China; [Sun, Zixue] Henan Prov Hosp Tradit Chinese Med, 6 Dongfeng Rd, Zhengzhou 450002, Peoples R China</t>
  </si>
  <si>
    <t>Henan University of Traditional Chinese Medicine; Henan University of Traditional Chinese Medicine; Henan University of Traditional Chinese Medicine; Macau University of Science &amp; Technology; Henan University of Traditional Chinese Medicine</t>
  </si>
  <si>
    <t>Wang, ZL (corresponding author), Henan Univ Chinese Med, Affiliated Hosp 1, 19 Renmin Rd, Zhengzhou 450003, Henan, Peoples R China.;Sun, ZX (corresponding author), Henan Prov Hosp Tradit Chinese Med, 6 Dongfeng Rd, Zhengzhou 450002, Peoples R China.</t>
  </si>
  <si>
    <t>wangzulong123@126.com; sunhhzx@163.com</t>
  </si>
  <si>
    <t>Zhang, Chenming/AAH-2363-2020</t>
  </si>
  <si>
    <t>Zhang, Chenming/0000-0003-1426-0092</t>
  </si>
  <si>
    <t>National Natural Science Foundation of China [82174377]; China Postdoctoral Science Foundation Project [2022M721068]; Science and Technology Program of Henan Province [192102310159]; Key scientific research Project of colleges and universities in Henan Province [23A360005]; Special Scientific Research Project of National TCM Clinical Research Base [2021JDZX2056]; Innovative Training program for College students in Henan Province [202210471022, 202210471057]</t>
  </si>
  <si>
    <t>National Natural Science Foundation of China(National Natural Science Foundation of China (NSFC)); China Postdoctoral Science Foundation Project(China Postdoctoral Science Foundation); Science and Technology Program of Henan Province; Key scientific research Project of colleges and universities in Henan Province; Special Scientific Research Project of National TCM Clinical Research Base; Innovative Training program for College students in Henan Province</t>
  </si>
  <si>
    <t>This work was supported by the National Natural Science Foundation of China [82174377], the China Postdoctoral Science Foundation Project [2022M721068], the Science and Technology Program of Henan Province [192102310159], the Key scientific research Project of colleges and universities in Henan Province [23A360005], the Special Scientific Research Project of National TCM Clinical Research Base [2021JDZX2056] and Innovative Training program for College students in Henan Province [202210471022 and 202210471057].</t>
  </si>
  <si>
    <t>10.1080/13880209.2023.2168705</t>
  </si>
  <si>
    <t>9T1CG</t>
  </si>
  <si>
    <t>WOS:000946771500001</t>
  </si>
  <si>
    <t>Zhang, K; Wang, MD; Jiang, SS; Tang, L; Wang, YF; Meng, Y; Cai, Z; Sun, XY; Cui, FQ; Zhao, WJ</t>
  </si>
  <si>
    <t>Zhang, Kang; Wang, Meng-di; Jiang, Shang-shang; Tang, Long; Wang, Yue-fen; Meng, Yuan; Cai, Zhen; Sun, Xue-yan; Cui, Fang-qiang; Zhao, Wen-jing</t>
  </si>
  <si>
    <t>Is serum hemoglobin level an independent prognostic factor for IgA nephropathy?: a systematic review and meta-analysis of observational cohort studies</t>
  </si>
  <si>
    <t>Immunoglobulin A nephropathy; serum hemoglobin level; prognosis</t>
  </si>
  <si>
    <t>PROLYL HYDROXYLASE INHIBITOR; TUBULOINTERSTITIAL INJURY; CLINICAL-SIGNIFICANCE; NATURAL-HISTORY; KIDNEY-DISEASE; RENAL-DISEASES; RISK-FACTORS; HYPOXIA; PROGRESSION; ALPHA</t>
  </si>
  <si>
    <t>Background Decreased serum hemoglobin (Hb) level is associated with Immunoglobulin A nephropathy (IgAN) progression. However, whether serum Hb level is an independent prognostic factor of IgAN remains controversial. Herein, we aimed to investigate the prognostic value of serum Hb level in IgAN. Methods The Cochrane Library, Embase, PubMed and Open Grey databases were systematically searched and reviewed. Kidney disease progression of IgAN was defined as a doubling of serum creatinine (SCr), a 30% reduction in estimated glomerular filtration rate (eGFR), end-stage renal disease (ESRD), or death. We evaluated the hazard ratio (HR) between serum Hb level and the incidence of kidney disease progression in IgAN before and after adjusting for relevant covariates. Results We included nine studies with 10006 patients in the meta-analysis. As a continuous variable, we found that serum Hb was an independent prognostic factor of IgAN [unadjusted HR = 0.89, 95% confidence interval (CI) = 0.84-0.95, I (2) = 98%; adjusted HR = 0.85, 95% CI = 0.79-0.91, I (2) = 0%]. The sensitivity analysis confirmed the stability of these results. Consistently, as a dichotomous variable defined as the below/above cutoff for anemia, we observed a positive correlation between serum Hb and kidney disease progression in IgAN (unadjusted HR = 2.12, 95% CI = 1.44-3.12, I (2) = 79%; adjusted HR = 1.65, 95% CI = 1.20-2.27, I (2) = 0%). Conclusion Serum Hb level was independently correlated with the incidence of kidney disease progression in IgAN.</t>
  </si>
  <si>
    <t>[Zhang, Kang; Wang, Meng-di; Tang, Long; Wang, Yue-fen; Meng, Yuan; Cai, Zhen; Sun, Xue-yan; Cui, Fang-qiang; Zhao, Wen-jing] Capital Med Univ, Beijing Hosp Tradit Chinese Med, Dept Nephrol, Beijing, Peoples R China; [Jiang, Shang-shang] Beijing Univ Chinese Med, Dongzhimen Hosp, Beijing, Peoples R China</t>
  </si>
  <si>
    <t>Capital Medical University; Beijing University of Chinese Medicine</t>
  </si>
  <si>
    <t>Zhao, WJ (corresponding author), Capital Med Univ, Beijing Hosp Tradit Chinese Med, Dept Nephrol, Beijing, Peoples R China.</t>
  </si>
  <si>
    <t>wenjingz@263.net</t>
  </si>
  <si>
    <t>Zhang, Kang/0000-0002-7405-3047</t>
  </si>
  <si>
    <t>10.1080/0886022X.2023.2171885</t>
  </si>
  <si>
    <t>8E9ZC</t>
  </si>
  <si>
    <t>Green Published, Green Submitted, gold</t>
  </si>
  <si>
    <t>WOS:000919327200001</t>
  </si>
  <si>
    <t>Zhang, RT; Zhou, ZK; Ma, YH; Du, KJ; Sun, MZ; Zhang, H; Tu, HY; Jiang, XR; Lu, J; Tu, LX; Niu, YQ; Chen, P</t>
  </si>
  <si>
    <t>Zhang, Rentao; Zhou, Zhongkun; Ma, Yunhao; Du, Kangjia; Sun, Mengze; Zhang, Hao; Tu, Hongyuan; Jiang, Xinrong; Lu, Juan; Tu, Lixue; Niu, Yuqing; Chen, Peng</t>
  </si>
  <si>
    <t>Production of the exopolysaccharide from Lactiplantibacillus plantarum YT013 under different growth conditions: optimum parameters and mathematical analysis</t>
  </si>
  <si>
    <t>AGS cells; exopolysaccharide; Lactiplantibacillus plantarum YT013; Voigt function; optimal parameters; &gt;</t>
  </si>
  <si>
    <t>LACTIC-ACID BACTERIA; ANTITUMOR-ACTIVITY; ANTIOXIDANT ACTIVITY; POLYSACCHARIDE PRODUCTION; OPTIMIZATION; TEMPERATURE; PH; ELUCIDATION; BULGARICUS; KINETICS</t>
  </si>
  <si>
    <t>Exopolysaccharides (EPSs) are highly heterogeneous natural polymers, can exhibit some unique bio-logical activities, such as anti-oxidation, inflammation regulation, anticancer and anti-viral activities, etc. A new type of EPS was obtained from the fermentation supernatant of Lactiplantibacillus plantarum YT013. However, the low yield of EPS posed a challenge for further research and application. Therefore, in this study, the production process of EPS was optimized, and anti-cancer cells proliferation activity was investigated. Identified the best single-factor conditions for EPS production, including initial pH 6, inoculation amount 5% (v/v), temperature 37 &amp; DEG;C, cultivation time 36 h, glucose 3% (w/v), soy peptone 1.5% (w/v), KH2PO4 0.3% (w/v). Under these conditions, the maximum production of EPS reached 0.630 mg/mL, which is 1.31 times higher than that before optimization. Concurrently, the nonlinear model was used for fitting, and it was found that the Voigt nonlinear model was in better agreement with the optimization results, which can be used as an effective tool for optimizing EPS production conditions. Furthermore, the anti-proliferative activity of EPS was evaluated using the human gastric cancer AGS cell line in vitro. MTT assay revealed a strong inhibitory effect of EPS on AGS cell proliferation. Additionally, flow cytometry analysis indicated that EPS promoted apoptosis in AGS cells. Lactiplantibacillus plantarum YT013 EPS, as a biodegradable and nontoxic natural active substance, shows potential as a natural antitumor substance.</t>
  </si>
  <si>
    <t>[Zhang, Rentao; Zhou, Zhongkun; Ma, Yunhao; Du, Kangjia; Sun, Mengze; Zhang, Hao; Tu, Hongyuan; Jiang, Xinrong; Lu, Juan; Tu, Lixue; Niu, Yuqing; Chen, Peng] Lanzhou Univ, Sch Pharm, Lanzhou, Peoples R China; [Zhang, Rentao] Hiroshima Univ, Grad Sch Biomed &amp; Hlth Sci, Dept Probiot Sci Prevent Med, Hiroshima, Japan</t>
  </si>
  <si>
    <t>Lanzhou University; Hiroshima University</t>
  </si>
  <si>
    <t>Chen, P (corresponding author), Lanzhou Univ, Sch Pharm, Lanzhou, Peoples R China.</t>
  </si>
  <si>
    <t>chenpeng@lzu.edu.cn</t>
  </si>
  <si>
    <t>Key Research and Development Program of Gansu Province [21YF5FA112]; Technological Innovation Guidance Program of Gansu Province [21CX6QA127]; Technology Program of Lanzhou City [2022-2-52, 2022-2-67]; Medical Innovation and Development Project of Lanzhou University [lzuyxcy-2022-95]; College Students' Innovation and Entrepreneurship Program of Lanzhou University, China [20230260008]; Innovation and Entrepreneurship Training Program of Lanzhou University, China [cxcy2023013]</t>
  </si>
  <si>
    <t>Key Research and Development Program of Gansu Province; Technological Innovation Guidance Program of Gansu Province; Technology Program of Lanzhou City; Medical Innovation and Development Project of Lanzhou University; College Students' Innovation and Entrepreneurship Program of Lanzhou University, China; Innovation and Entrepreneurship Training Program of Lanzhou University, China</t>
  </si>
  <si>
    <t>This work was supported by the Key Research and Development Program of Gansu Province (Grant No. 21YF5FA112), the Technological Innovation Guidance Program of Gansu Province (Grant No. 21CX6QA127), Technology Program of Lanzhou City (Grant Nos. 2022-2-52 and 2022-2-67), Medical Innovation and Development Project of Lanzhou University (Grant No. lzuyxcy-2022-95), the College Students' Innovation and Entrepreneurship Program of Lanzhou University, China (Grant No. 20230260008) and Innovation and Entrepreneurship Training Program of Lanzhou University, China (Grant No. cxcy2023013).</t>
  </si>
  <si>
    <t>10.1080/10942912.2023.2239518</t>
  </si>
  <si>
    <t>N3TG2</t>
  </si>
  <si>
    <t>WOS:001036270400001</t>
  </si>
  <si>
    <t>Zhang, WQ; Luo, GP; Hamdi, R; Ma, XM; Li, YZ; Yuan, XL; Li, CF; Ling, Q; Hellwich, O; Termonia, P; De Maeyer, P</t>
  </si>
  <si>
    <t>Zhang, Wenqiang; Luo, Geping; Hamdi, Rafiq; Ma, Xiumei; Li, Yuzhen; Yuan, Xiuliang; Li, Chaofan; Ling, Qing; Hellwich, Olaf; Termonia, Piet; De Maeyer, Philippe</t>
  </si>
  <si>
    <t>Can Gross Primary Productivity Products be effectively evaluated in regions with few observation data?</t>
  </si>
  <si>
    <t>Gross Primary Productivity; Central Asia; Three-cornered hat (TCH) method; Uncertainties quantification; Attribution analysis</t>
  </si>
  <si>
    <t>CLIMATE-CHANGE; SEMIARID ECOSYSTEMS; CARBON-DIOXIDE; ENERGY FLUXES; CENTRAL-ASIA; EXCHANGE; TOWER; VARIABILITY; SITES</t>
  </si>
  <si>
    <t>The dynamics of Gross Primary Productivity (GPP) is key to understand the global carbon cycle. Multiple GPP products are currently available based on remote sensing, Light Use Efficiency model (LUE) or diagnostic biophysical model. However, little knowledge is available on the spatial patterns of the uncertainty of different GPP products and their potential drivers over the Central Asia (CA), a fragile environment for accurate GPP estimation. This study investigates the sensitivity of the 8-day, monthly and yearly GPP uncertainties based on the three-cornered hat (TCH) method and Shapley additive explanation (SHAP) model in terms of vegetation, energy, water, climate and terrain factors in the dryland ecosystem during the 2003-2015 period. Ten GPP products were examined, including one product (FLUXCOM) from machine learning (ML), six products (EC-LUE, FluxSat, LUEopt, MODIS, MuSyQ and VPM) based on the (LUE), two products (GOSIF and NIRv) from satellite-based direct proxies (Proxies) and one product (PML) from the diagnostic biophysical model. The results indicate that the spatial distribution of the ten GPP products in CA showed similar patterns at different time scales, but with values varied at different products and time scales. According to the eddy covariance (EC) observations and the TCH-based uncertainties, the FLUXCOM product showed smaller relative uncertainties than other products. The attribution analysis denotes that the sources of uncertainty of the GPP varied for each product, and thus the improvement strategies for different products should be implemented separately The FLUXCOM should adapt the vegetation- related module to the dryland environment of CA. The LUE model should optimize the LUE parameters for the dryland ecosystem and incorporate the water related variables in the model. The Proxies model should incorporate the water and energy variables (such as soil moisture and radiation) as input data to improve their performance in CA. The diagnostic model should consider the elevation variable as input data, which may improve the performance of the PML in CA. Our results do not only provide an important basis for the selection of GPP products in the study of the carbon cycle in CA, but also offer a new insight into the GPP model development and improvement for the dryland ecosystem.</t>
  </si>
  <si>
    <t>[Zhang, Wenqiang; Luo, Geping; Hamdi, Rafiq; Ma, Xiumei; Yuan, Xiuliang; Ling, Qing] Chinese Acad Sci, Xinjiang Inst Ecol &amp; Geog, State Key Lab Desert &amp; Oasis Ecol, Urumqi, Peoples R China; [Zhang, Wenqiang; Luo, Geping; Ma, Xiumei; Yuan, Xiuliang; Ling, Qing] Univ Chinese Acad Sci, Coll Resources &amp; Enviroment, Beijing, Peoples R China; [Zhang, Wenqiang; Ma, Xiumei; De Maeyer, Philippe] Univ Ghent, Dept Geog, Ghent, Belgium; [Hamdi, Rafiq; Termonia, Piet] Royal Meteorol Inst, Brussels, Belgium; [Hamdi, Rafiq; Termonia, Piet] Univ Ghent, Dept Phys &amp; Astron, Ghent, Belgium; [Li, Yuzhen] Xihua Univ, Sch Emergency Management, Chengdu, Peoples R China; [Li, Chaofan] Nanjing Univ Informat Sci &amp; Technol, Sch Geog Sci, Nanjing, Peoples R China; [Hellwich, Olaf] Tech Univ Berlin, Dept Comp Vis &amp; Remote Sensing, Berlin, Germany; [De Maeyer, Philippe] Sino Belgian Lab Geoinformat, Ghent, Belgium</t>
  </si>
  <si>
    <t>Chinese Academy of Sciences; Xinjiang Institute of Ecology &amp; Geography, CAS; Chinese Academy of Sciences; University of Chinese Academy of Sciences, CAS; Ghent University; Royal Meteorological Institute of Belgium; Ghent University; Xihua University; Nanjing University of Information Science &amp; Technology; Technical University of Berlin</t>
  </si>
  <si>
    <t>Luo, GP; Yuan, XL (corresponding author), Chinese Acad Sci, Xinjiang Inst Ecol &amp; Geog, State Key Lab Desert &amp; Oasis Ecol, Urumqi, Peoples R China.;Luo, GP; Yuan, XL (corresponding author), Univ Chinese Acad Sci, Coll Resources &amp; Enviroment, Beijing, Peoples R China.</t>
  </si>
  <si>
    <t>luogp@ms.xjb.ac.cn; yuanxiuliang@ms.xjb.ac.cn</t>
  </si>
  <si>
    <t>OCO, OCO/GVS-4314-2022</t>
  </si>
  <si>
    <t>ling, qing/0009-0000-0095-0223</t>
  </si>
  <si>
    <t>Strategic Priority Research Program of the Chinese Academy of Sciences [XDA20060302]; Tianshan Talent Cultivation [2022TSYCLJ0001]; High-End Foreign Experts Project; Natural Science Foundation of Sichuan [2022NSFCSC1124]; National Natural Science Foundation of China [42205127]</t>
  </si>
  <si>
    <t>Strategic Priority Research Program of the Chinese Academy of Sciences(Chinese Academy of Sciences); Tianshan Talent Cultivation; High-End Foreign Experts Project; Natural Science Foundation of Sichuan; National Natural Science Foundation of China(National Natural Science Foundation of China (NSFC))</t>
  </si>
  <si>
    <t>~This work was supported by the Strategic Priority Research Program of the Chinese Academy of Sciences (Grant No. XDA20060302), the Tianshan Talent Cultivation (Grant No. 2022TSYCLJ0001), the High-End Foreign Experts Project, the Natural Science Foundation of Sichuan (Grant No. 2022NSFCSC1124), and the National Natural Science Foundation of China (42205127).</t>
  </si>
  <si>
    <t>10.1080/15481603.2023.2213489</t>
  </si>
  <si>
    <t>H1ZB6</t>
  </si>
  <si>
    <t>WOS:000994006600001</t>
  </si>
  <si>
    <t>Zhang, XY; Gong, XM; Cao, JL; Liu, Q; Li, YJ</t>
  </si>
  <si>
    <t>Zhang, Xiangyi; Gong, Xuemin; Cao, Jilin; Liu, Qing; LI, Yajie</t>
  </si>
  <si>
    <t>Phase Diagrams of the Quaternary System Na+, Mg2+, NH4 +//SO4 2--H2O at 288.15K and Their Application</t>
  </si>
  <si>
    <t>Astrakanite; Phase equilibrium; Salting-out method; Mg-N compound fertilizer; Na2SO4; 10H(2)O</t>
  </si>
  <si>
    <t>60 DEGREES-C; NA2SO4-MGSO4-CO(NH2)(2)-H2O SYSTEM; EQUILIBRIUM</t>
  </si>
  <si>
    <t>In order to process and utilize the astrakanite resources comprehensively, the technology of (NH4)(2)SO4 salting-out method was proposed. On the base of the salt-water system phase equilibrium theory, The phase equilibrium solubilities of the quaternary system Na+, Mg2+, NH4 (+)//SO4 (2-)-H2O and its subsystems at 288.15K were determined by isothermal method, and the phase diagrams were drawn. The results showed that the phase diagram of Na+, Mg2+, NH4 (+)//SO4 (2-)-H2O system at 288.15K exists three co-saturation points and five crystallization fields, which the largest crystallization field is MgSO4 center dot(NH4)(2)SO4 center dot 6H(2)O. The technique of processing astrakanite was proposed. The Mg-N compound fertilizer can be yielded with astrakanite and (NH4)(2)SO4 as the raw materials at 288.15K, and then Na2SO4 center dot 10H(2)O would be obtained when the remaining mother liquor was cooled to 273.15K. The method can separate and process astrakanite effectively with the advantages of simple operation, energy saving, environmental protection and so on, and can realize recycling production.</t>
  </si>
  <si>
    <t>[Zhang, Xiangyi; Gong, Xuemin; Liu, Qing; LI, Yajie] North China Univ Sci &amp; Technol, Coll Chem Engn, Tangshan 063210, Hebei, Peoples R China; [Cao, Jilin] Hebei Univ Technol, Coll Chem Engn, Tianjin 300130, Peoples R China</t>
  </si>
  <si>
    <t>North China University of Science &amp; Technology; Hebei University of Technology</t>
  </si>
  <si>
    <t>Gong, XM (corresponding author), North China Univ Sci &amp; Technol, Coll Chem Engn, Tangshan 063210, Hebei, Peoples R China.</t>
  </si>
  <si>
    <t>gongxm1212@163.com</t>
  </si>
  <si>
    <t>National Natural Science Foundation of China [21076057]</t>
  </si>
  <si>
    <t>The financial support received from the National Natural Science Foundation of China [No. 21076057] is gratefully acknowledged.</t>
  </si>
  <si>
    <t>10.1080/00219592.2023.2197956</t>
  </si>
  <si>
    <t>E6DF7</t>
  </si>
  <si>
    <t>WOS:000976419700001</t>
  </si>
  <si>
    <t>Zhang, XF; Feng, M; Xu, JH; Yan, DZ; Wang, J; Zhou, XQ; Li, T; Zhang, X</t>
  </si>
  <si>
    <t>Zhang, Xuefei; Feng, Min; Xu, Jinhao; Yan, Dezhao; Wang, Jing; Zhou, Xiaoqing; Li, Tao; Zhang, Xiang</t>
  </si>
  <si>
    <t>Kinematic inventory of rock glaciers in the Nyainq &amp; ecirc;ntanglha Range using the MT-InSAR method</t>
  </si>
  <si>
    <t>Rock glacier; MT-InSAR; quadtree segmentation; Nyainqentanglha; kinematics</t>
  </si>
  <si>
    <t>WESTERN NYAINQENTANGLHA RANGE; NORTHERN TIEN-SHAN; ATMOSPHERIC CORRECTION; SURFACE DEFORMATION; PHASE; MOUNTAINS; LANDSLIDE; INSIGHTS; HIMALAYA; REGIONS</t>
  </si>
  <si>
    <t>Rock glaciers are typical periglacial landforms with tongue or lobate morphological shapes and characterized by the distinct front, lateral margins, and often by ridge-and-furrow surface topography textures as well as kinematic characteristics, widely distributed in alpine environments. Multitemporal Synthetic aperture radar interferometry (MT-InSAR), is a remote sensing technique with demonstrated effectiveness for detecting landform kinematics. However, its application to rock glaciers is challenged by temporal decorrelation and atmospheric phase noises due to complex topography and snow cover. We designed a quadtree segmentation and parallel computing-based MT-InSAR method to improve the quality and efficiency of deformation measurement of rock glaciers. We applied the method to a rock glacier inventory of the Nyainqentanglha Range, China, derived from high-resolution Gaofen-2 images, to quantify the activity rate of each rock glacier. Results showed that 32.1% (6,389) of the identified rock glaciers exhibited slope-parallel deformation rates exceeding 100 mm/y. The activities of the rock glaciers exhibited strong correlations with their distance to glaciers, precipitation, freeze-thaw magnitude, and permafrost occurrence probability. The results demonstrate the effectiveness of the developed segmentation-parallel MT-InSAR method for monitoring rock glacier deformation over a large region.</t>
  </si>
  <si>
    <t>[Zhang, Xuefei; Zhou, Xiaoqing; Li, Tao; Zhang, Xiang] Minist Nat Resources, Land Satellite Remote Sensing Applicat Ctr, Beijing, Peoples R China; [Feng, Min; Xu, Jinhao; Yan, Dezhao] Chinese Acad Sci, Inst Tibetan Plateau Res, Natl Tibetan Plateau Data Ctr, State Key Lab Tibetan Plateau Earth Syst Environm, Beijing, Peoples R China; [Feng, Min] Qinghai Normal Univ, Acad Plateau Sci &amp; Sustainabil, Xining, Peoples R China; [Feng, Min] Univ Chinese Acad Sci, Beijing, Peoples R China; [Wang, Jing] Zhejiang Lab, Res Inst Intelligent Comp, Hangzhou, Peoples R China; [Feng, Min] Bldg 3,16 Lincui Rd, Beijing, Peoples R China</t>
  </si>
  <si>
    <t>Ministry of Natural Resources of the People's Republic of China; Chinese Academy of Sciences; Institute of Tibetan Plateau Research, CAS; Qinghai Normal University; Chinese Academy of Sciences; University of Chinese Academy of Sciences, CAS; Zhejiang Laboratory</t>
  </si>
  <si>
    <t>Feng, M (corresponding author), Bldg 3,16 Lincui Rd, Beijing, Peoples R China.</t>
  </si>
  <si>
    <t>mfeng@itpcas.ac.cn</t>
  </si>
  <si>
    <t>The authors would like to thank ESA and the EU Copernicus Programme for providing the Sentinel-1A SAR data and Alaska Satellite Facility Distributed Active Archive Center for providing ALOS PALSAR RTC DEM data.; ESA</t>
  </si>
  <si>
    <t>The authors would like to thank ESA and the EU Copernicus Programme for providing the Sentinel-1A SAR data and Alaska Satellite Facility Distributed Active Archive Center for providing ALOS PALSAR RTC DEM data.; ESA(European Space Agency)</t>
  </si>
  <si>
    <t>The authors would like to thank ESA and the EU Copernicus Programme for providing the Sentinel-1A SAR data and Alaska Satellite Facility Distributed Active Archive Center for providing ALOS PALSAR RTC DEM data.</t>
  </si>
  <si>
    <t>10.1080/17538947.2023.2260778</t>
  </si>
  <si>
    <t>S4CS1</t>
  </si>
  <si>
    <t>WOS:001070669500001</t>
  </si>
  <si>
    <t>Zhang, Y; Zhou, XB; Chen, SY; Sun, XC; Zhou, CL</t>
  </si>
  <si>
    <t>Zhang, Yue; Zhou, Xiaobin; Chen, Shuyi; Sun, Xinchen; Zhou, Chenglin</t>
  </si>
  <si>
    <t>Immune mechanisms of group B coxsackievirus induced viral myocarditis</t>
  </si>
  <si>
    <t>Viral myocarditis; innate immunity; adaptive immunity; pattern recognition receptors (PRRs); T lymphocytes</t>
  </si>
  <si>
    <t>DILATED CARDIOMYOPATHY; NLRP3 INFLAMMASOME; PARVOVIRUS B19; RECEPTOR 4; INNATE; CELLS; INFECTION; CONTRIBUTES; ACTIVATION; EXPRESSION</t>
  </si>
  <si>
    <t>Viral myocarditis is known to be a primary cause of dilated cardiomyopathy (DCM) that can lead to heart failure and sudden cardiac death and is invariably caused by myocardial viral infection following active inflammatory destruction of the myocardium. Although acute viral myocarditis frequently recovers on its own, current chronic myocarditis therapies are unsatisfactory, where the persistence of viral or immunological insults to the heart may play a role. Cellular and mouse experimental models that utilized the most prevalent Coxsackievirus group B type 3 (CVB3) virus infection causing myocarditis have illustrated the pathophysiology of viral myocarditis. In this review, immunological insights into the different stages of development of viral myocarditis were discussed, concentrating on the mechanisms of innate and adaptive immunity in the development of CVB3-induced myocarditis.</t>
  </si>
  <si>
    <t>[Zhang, Yue; Zhou, Xiaobin; Chen, Shuyi; Sun, Xinchen; Zhou, Chenglin] Nanjing Med Univ, Affiliated Taizhou Peoples Hosp, Clin Med Lab Ctr, Taizhou, Peoples R China; [Zhang, Yue] Nantong Univ, Sch publ Hlth, Nantong, Peoples R China</t>
  </si>
  <si>
    <t>Nanjing Medical University; Nantong University</t>
  </si>
  <si>
    <t>Zhou, CL (corresponding author), Nanjing Med Univ, Affiliated Taizhou Peoples Hosp, Clin Med Lab Ctr, Taizhou, Peoples R China.</t>
  </si>
  <si>
    <t>18762340015@njmu.edu.cn</t>
  </si>
  <si>
    <t>Zhang, Yue/0000-0002-5141-6992</t>
  </si>
  <si>
    <t>High-level Innovation and Entrepreneurship Talent Introduction Plan of Jiangsu Province [JSSCBS20211599]; Taizhou Social Development Project [TS202005]; Taizhou Fengcheng Talents Young Science and Technology Talents Support Project [14]; Taizhou People's Hospital Research Fund [ZL202042]</t>
  </si>
  <si>
    <t>High-level Innovation and Entrepreneurship Talent Introduction Plan of Jiangsu Province; Taizhou Social Development Project; Taizhou Fengcheng Talents Young Science and Technology Talents Support Project; Taizhou People's Hospital Research Fund</t>
  </si>
  <si>
    <t>This work was supported by the High-level Innovation and Entrepreneurship Talent Introduction Plan of Jiangsu Province under Grant JSSCBS20211599; Taizhou Social Development Project under Grant TS202005; Taizhou Fengcheng Talents Young Science and Technology Talents Support Project under Grant 14 to ZY; and Taizhou People's Hospital Research Fund under Grant ZL202042.</t>
  </si>
  <si>
    <t>10.1080/21505594.2023.2180951</t>
  </si>
  <si>
    <t>9H5FX</t>
  </si>
  <si>
    <t>WOS:000938859600001</t>
  </si>
  <si>
    <t>Zhang, YW; Liu, P; Chen, LJ; Xu, MZ; Guo, XY; Zhao, LJ</t>
  </si>
  <si>
    <t>Zhang, Yuwei; Liu, Peng; Chen, Lajiao; Xu, Mengzhen; Guo, Xingyan; Zhao, Lingjun</t>
  </si>
  <si>
    <t>A new multi-source remote sensing image sample dataset with high resolution for flood area extraction: GF-FloodNet</t>
  </si>
  <si>
    <t>Flood area extraction; dataset construction; multi-source remote sensing data; deep learning</t>
  </si>
  <si>
    <t>WATER BODY EXTRACTION; SEGMENTATION; INUNDATION</t>
  </si>
  <si>
    <t>Deep learning algorithms show good prospects for remote sensing flood monitoring. They mostly rely on huge amounts of labeled data. However, there is a lack of available labeled data in actual needs. In this paper, we propose a high-resolution multi-source remote sensing dataset for flood area extraction: GF-FloodNet. GF-FloodNet contains 13388 samples from Gaofen-3 (GF-3) and Gaofen-2 (GF-2) images. We use a multi-level sample selection and interactive annotation strategy based on active learning to construct it. Compare with other flood-related datasets, GF-FloodNet not only has a spatial resolution of up to 1.5 m and provides pixel-level labels, but also consists of multi-source remote sensing data. We thoroughly validate and evaluate the dataset using several deep learning models, including quantitative analysis, qualitative analysis, and validation on large-scale remote sensing data in real scenes. Experimental results reveal that GF-FloodNet has significant advantages by multi-source data. It can support different deep learning models for training to extract flood areas. There should be a potential optimal boundary for model training in any deep learning dataset. The boundary seems close to 4824 samples in GF-FloodNet. We provide GF-FloodNet at https://www.kaggle.com/datasets/pengliuair/gf-floodnet and https://pan.baidu.com/s/11yx5ERsGkkfUQXPYn34KkQ?pwd=yh47.</t>
  </si>
  <si>
    <t>[Zhang, Yuwei; Liu, Peng; Chen, Lajiao; Zhao, Lingjun] Chinese Acad Sci, Aerosp Informat Res Inst, Beijing, Peoples R China; [Zhang, Yuwei] Univ Chinese Acad Sci, Sch Elect Elect &amp; Commun Engn, Beijing, Peoples R China; [Xu, Mengzhen; Guo, Xingyan] Tsinghua Univ, Dept Hydraul Engn, State Key Lab Hydrosci &amp; Engn, Beijing, Peoples R China; [Liu, Peng; Chen, Lajiao] Chinese Acad Sci, Aerosp Informat Res Inst, Beijing 100094, Peoples R China</t>
  </si>
  <si>
    <t>Chinese Academy of Sciences; Chinese Academy of Sciences; University of Chinese Academy of Sciences, CAS; Tsinghua University; Chinese Academy of Sciences</t>
  </si>
  <si>
    <t>Liu, P; Chen, LJ (corresponding author), Chinese Acad Sci, Aerosp Informat Res Inst, Beijing 100094, Peoples R China.</t>
  </si>
  <si>
    <t>liupeng@radi.ac.cn; chenlj@radi.ac.cn</t>
  </si>
  <si>
    <t>National Natural Science Foundation of China [U2243222, 42071413, 41971397]</t>
  </si>
  <si>
    <t>This work was supported by the National Natural Science Foundation of China under Grant number U2243222, 42071413, and 41971397.</t>
  </si>
  <si>
    <t>10.1080/17538947.2023.2230978</t>
  </si>
  <si>
    <t>L0UZ1</t>
  </si>
  <si>
    <t>WOS:001020504700001</t>
  </si>
  <si>
    <t>Zhao, XJ; Li, CJ; Lu, YW; Li, S; Guo, FZ; Xue, HY; Wang, ZZ; Jiang, YL; Liu, SG; Chai, MM; Du, TH; Zhu, FX</t>
  </si>
  <si>
    <t>Zhao, Xiujuan; Li, Chengjian; Lu, Yunwei; Li, Shu; Guo, Fuzheng; Xue, Haiyan; Wang, Zhenzhou; Jiang, Yulan; Liu, Shaoguang; Chai, Mingming; Du, Tonghai; Zhu, Fengxue</t>
  </si>
  <si>
    <t>Characteristics and risk factors for renal recovery after acute kidney injury in critically ill patients in cohorts of elderly and non-elderly: a multicenter retrospective cohort study</t>
  </si>
  <si>
    <t>Acute kidney injury; renal recovery; risk factors; age</t>
  </si>
  <si>
    <t>DIALYSIS; EPIDEMIOLOGY; IMPACT; AKI</t>
  </si>
  <si>
    <t>Background The purpose of this study was to explore the risk factors for renal nonrecovery among elderly and nonelderly patients with acute kidney injury (AKI) in critically ill patients. Methods A multicenter retrospective cohort of 583 critically ill patients with AKI was examined. We found the best cutoff value for predicting renal recovery by age was 63 years old through logistic regression. All patients were divided into two cohorts, age &lt;63 and age &gt;= 63-years old; on the basis of renal recovery at 30 days after AKI, the two patient cohorts were further divided into a renal recovery group and a renal nonrecovery group. Multivariate logistic regression was used to analyze the risk factors affecting renal recovery in the two cohorts. Results The 30-day renal recovery rate of patients aged &lt;63 years was 70.0% (198/283), multivariate analysis showed that the independent risk factors affecting renal nonrecovery in age &lt;63 years old included AKI stage, blood lactate level and hemoglobin level. The 30-day renal recovery rate of patients aged &gt;= 63 years was 28.7% (86/300), multivariate analysis showed that the independent risk factors for renal nonrecovery in age &gt;= 63-years old included diabetes mellitus, surgery with general anesthesia, AKI stage, APACHE II score, eGFR, and hemoglobin level. Conclusions The renal nonrecovery after AKI in critically ill patients in patients aged &gt;= 63 years was more strongly affected by multiple risk factors, such as diabetes mellitus, surgery with general anesthesia, eGFR, and APACHE II score, in addition to hemoglobin and AKI stage.</t>
  </si>
  <si>
    <t>[Zhao, Xiujuan; Lu, Yunwei; Li, Shu; Guo, Fuzheng; Xue, Haiyan; Wang, Zhenzhou; Zhu, Fengxue] Peking Univ Peoples Hosp, Trauma Med Ctr, Dept Crit Care Med, Beijing, Peoples R China; [Zhao, Xiujuan] Neural Regenerat Peking Univ, Natl Ctr Trauma Med China, Key Lab Trauma, Minist Educ, Beijing, Peoples R China; [Li, Chengjian] Zhengzhou Cent Hosp, Dept Crit Care Med, Zhengzhou, Peoples R China; [Jiang, Yulan] Hunan Univ Med, Dept Crit Care Med, Affiliated Hosp 1, Huaihua, Peoples R China; [Liu, Shaoguang; Chai, Mingming] Gansu Prov Hosp, Emergency Dept, Gansu, Peoples R China; [Du, Tonghai] Handan First Hosp, Emergency &amp; Traumat Surg Dept, Handan, Peoples R China; [Zhu, Fengxue] Neural Regenerat Peking Univ, Key Lab Trauma, Minist Educ, Beijing, Peoples R China; [Zhu, Fengxue] Natl Ctr Trauma Med China, Beijing, Peoples R China</t>
  </si>
  <si>
    <t>Zhengzhou University</t>
  </si>
  <si>
    <t>Zhu, FX (corresponding author), Peking Univ Peoples Hosp, Trauma Med Ctr, Dept Crit Care Med, Beijing, Peoples R China.;Zhu, FX (corresponding author), Neural Regenerat Peking Univ, Key Lab Trauma, Minist Educ, Beijing, Peoples R China.;Zhu, FX (corresponding author), Natl Ctr Trauma Med China, Beijing, Peoples R China.</t>
  </si>
  <si>
    <t>fengxue_zhu@126.com</t>
  </si>
  <si>
    <t>10.1080/0886022X.2023.2166531</t>
  </si>
  <si>
    <t>8E9YK</t>
  </si>
  <si>
    <t>WOS:000919325400001</t>
  </si>
  <si>
    <t>Zheng, CK; Qiu, J; Zhai, YM; Wei, M; Zhou, XH; Jiao, XA</t>
  </si>
  <si>
    <t>Zheng, Chengkun; Qiu, Jun; Zhai, Yimeng; Wei, Man; Zhou, Xiaohui; Jiao, Xinan</t>
  </si>
  <si>
    <t>ZrgA contributes to zinc acquisition in Vibrio parahaemolyticus</t>
  </si>
  <si>
    <t>Vibrio parahaemolyticus; zinc acquisition; ZrgA; Zur; motility; virulence</t>
  </si>
  <si>
    <t>VIRULENCE DETERMINANTS; GENE-EXPRESSION; HOMEOSTASIS; ADCAII; STRATEGIES; IMPORTER; DISTINCT; GROWTH</t>
  </si>
  <si>
    <t>Metals are nutrients essential for almost all lifeforms. Bacteria have evolved several mechanisms to overcome the metal restrictions imposed by the host. Vibrio parahaemolyticus causes severe threats to public health and significant economic losses in shrimp aquaculture. Herein, we report that ZrgA contributes to zinc acquisition in this pathogen. The operon VP_RS01455 to VP_RS01475 of V. parahaemolyticus encodes the putative Zn transporter ZrgABCDE, whose homologs are widely distributed in Vibrionaceae. RNA sequencing analysis revealed that V. parahaemolyticus modulates the transcriptome in response to Zn limitation. Genes in the Zinc uptake regulator (Zur) regulon are upregulated during Zn limitation, including three genes annotated to encode Zn-binding proteins. Significant upregulation of these three genes during Zn limitation was also confirmed by quantitative real-time PCR (qRT-PCR) analysis. However, only the mutants containing a VP_RS01470 (zrgA) deletion exhibited impaired growth under Zn-deficient conditions, indicating that VP_RS01470 plays the predominant role in V. parahaemolyticus Zn acquisition. The VP_RS01470 deletion mutant displayed a false appearance of decreased swimming motility under Zn-deficient conditions, as revealed by the fact that the polar flagellar-related genes were not downregulated in the mutant. Moreover, VP_RS01470 deletion produced no noticeable impact on the swarming motility and virulence in mice. qRT-PCR analysis and beta-galactosidase activity assays indicated that Zur negatively regulates VP_RS01470 expression in V. parahaemolyticus. Collectively, our findings suggest that ZrgA is required for Zn acquisition in V. parahaemolyticus and highlight the importance of detecting the expression of flagellar genes during analysis of motility of a mutant deficient in growth.</t>
  </si>
  <si>
    <t>[Zheng, Chengkun; Qiu, Jun; Zhai, Yimeng; Wei, Man; Jiao, Xinan] Yangzhou Univ, Jiangsu Key Lab Zoonosis, Yangzhou, Peoples R China; [Zheng, Chengkun; Qiu, Jun; Zhai, Yimeng; Wei, Man; Jiao, Xinan] Yangzhou Univ, Joint Int Res Lab Agr &amp; Agriprod Safety, Minist Educ China, Yangzhou, Peoples R China; [Zhou, Xiaohui] Southern Univ Sci &amp; Technol, Sch Publ Hlth &amp; Emergency Management, Shenzhen, Peoples R China</t>
  </si>
  <si>
    <t>Yangzhou University; Ministry of Education, China; Yangzhou University; Southern University of Science &amp; Technology</t>
  </si>
  <si>
    <t>Jiao, XA (corresponding author), Yangzhou Univ, Jiangsu Key Lab Zoonosis, Yangzhou, Peoples R China.;Jiao, XA (corresponding author), Yangzhou Univ, Joint Int Res Lab Agr &amp; Agriprod Safety, Minist Educ China, Yangzhou, Peoples R China.;Zhou, XH (corresponding author), Southern Univ Sci &amp; Technol, Sch Publ Hlth &amp; Emergency Management, Shenzhen, Peoples R China.</t>
  </si>
  <si>
    <t>zhouxh@sustech.edu.cn; jiao@yzu.edu.cn</t>
  </si>
  <si>
    <t>National Natural Science Foundation of China; Priority Academic Program Development of Jiangsu Higher Education Institutions (PAPD); Interdisciplinary Project from Veterinary Science of Yangzhou University; [31802210]; [yzuxk202002]</t>
  </si>
  <si>
    <t>National Natural Science Foundation of China(National Natural Science Foundation of China (NSFC)); Priority Academic Program Development of Jiangsu Higher Education Institutions (PAPD); Interdisciplinary Project from Veterinary Science of Yangzhou University; ;</t>
  </si>
  <si>
    <t>This work was supported by the National Natural Science Foundation of China (No. 31802210), the Priority Academic Program Development of Jiangsu Higher Education Institutions (PAPD), and the Interdisciplinary Project from Veterinary Science of Yangzhou University (yzuxk202002).</t>
  </si>
  <si>
    <t>10.1080/21505594.2022.2156196</t>
  </si>
  <si>
    <t>7O1IV</t>
  </si>
  <si>
    <t>WOS:000907786200001</t>
  </si>
  <si>
    <t>Zheng, LY; Li, LL; Zhao, ZY; Qian, WR</t>
  </si>
  <si>
    <t>Zheng, Linyi; Li, Lili; Zhao, Zongyin; Qian, Wenrong</t>
  </si>
  <si>
    <t>Does land certification increase farmers' use of organic fertilizer? evidence from China</t>
  </si>
  <si>
    <t>JOURNAL OF LAND USE SCIENCE</t>
  </si>
  <si>
    <t>Land certification; panel logit model; organic fertilizer; land conservation; land system</t>
  </si>
  <si>
    <t>TENURE INSECURITY; INVESTMENT; RIGHTS</t>
  </si>
  <si>
    <t>Based on the data from the China Rural Household Panel Survey, a panel logit model is adopted to examine the impact of land certification on farmers' use of organic fertilizers. The results reveal that land certification increases the probability of farmers using organic fertilizer by approximately 15%, with an average expenditure and amount of 35 yuan per mu and 23 kg per mu, respectively. This is mainly achieved by stabilizing farmers' expectations of property rights and increasing the availability of agricultural subsidies. Moreover, it varies significantly with different production characteristics, property rights, and regional groupings. Specifically, land certification mainly benefits small-scale farmers planting food crops, farmers with contracted land or without land adjustment experience, and farmers in western regions, but it is not beneficial for others. The study highlights the role of land certification in improving the quality of cropland and is a reference for China and other developing countries.</t>
  </si>
  <si>
    <t>[Zheng, Linyi; Zhao, Zongyin; Qian, Wenrong] Zhejiang Univ, China Acad Rural Dev, Sch Publ Affairs, Room 305-2, Hangzhou, Peoples R China; [Zheng, Linyi] Zhejiang Univ, Ctr Res Socialism Chinese Characterist, Hangzhou, Peoples R China; [Li, Lili] Hangzhou Dianzi Univ, Coll Econ, Hangzhou, Peoples R China</t>
  </si>
  <si>
    <t>Zhejiang University; Zhejiang University; Hangzhou Dianzi University</t>
  </si>
  <si>
    <t>Qian, WR (corresponding author), Zhejiang Univ, China Acad Rural Dev, Sch Publ Affairs, Room 305-2, Hangzhou, Peoples R China.</t>
  </si>
  <si>
    <t>wrqian@zju.edu.cn</t>
  </si>
  <si>
    <t>zheng, lin yi/0000-0002-7392-1666</t>
  </si>
  <si>
    <t>Major Program of National Fund of Philosophy and Social Science of China [19ZDA088]; National Natural Science Foundation of China [72273061]; Zhejiang New Think Tank Research Project [22ZK23YB]; Fundamental Research Funds for the Central Universities [20221121]</t>
  </si>
  <si>
    <t>Major Program of National Fund of Philosophy and Social Science of China; National Natural Science Foundation of China(National Natural Science Foundation of China (NSFC)); Zhejiang New Think Tank Research Project; Fundamental Research Funds for the Central Universities(Fundamental Research Funds for the Central Universities)</t>
  </si>
  <si>
    <t>This study was supported by the Major Program of National Fund of Philosophy and Social Science of China (19ZDA088), the National Natural Science Foundation of China (72273061),the Zhejiang New Think Tank Research Project (22ZK23YB) and the Fundamental Research Funds for the Central Universities (20221121).</t>
  </si>
  <si>
    <t>1747-423X</t>
  </si>
  <si>
    <t>1747-4248</t>
  </si>
  <si>
    <t>J LAND USE SCI</t>
  </si>
  <si>
    <t>J. Land Use Sci.</t>
  </si>
  <si>
    <t>10.1080/1747423X.2023.2178536</t>
  </si>
  <si>
    <t>Agriculture, Multidisciplinary; Ecology</t>
  </si>
  <si>
    <t>Agriculture; Environmental Sciences &amp; Ecology</t>
  </si>
  <si>
    <t>9N0LM</t>
  </si>
  <si>
    <t>WOS:000942611700001</t>
  </si>
  <si>
    <t>Zhou, XR; Wang, X; Xu, J; Tang, Q; Bergquist, R; Shi, LM; Qin, ZQ</t>
  </si>
  <si>
    <t>Zhou, Xiaorong; Wang, Xi; Xu, Jing; Tang, Qi; Bergquist, Robert; Shi, Leming; Qin, Zhiqiang</t>
  </si>
  <si>
    <t>High-throughput autoantibody profiling of different stages of Schistosomiasis japonica</t>
  </si>
  <si>
    <t>Schistosomiasis japonica; autoantibodies; Schistosoma egg antigen (SEA); diagnosis; serum markers; &gt;</t>
  </si>
  <si>
    <t>ANTIBODY</t>
  </si>
  <si>
    <t>Infection by the Schistosoma japonicum can result in acute, chronic and late-stage manifestations. The latter often presents with severe organ failures and premature death. Importantly, infection can also produce autoimmune phenomena reflected by the development of autoantibodies. We wished to explore and profile the presence of autoantibodies in sera of patients with different stages of S. japonicum infection with the added aim of providing a reference assisting diagnosis. Blood samples from 55 patients with chronic and 20 patients with late-stage schistosomiasis japonica together, with a control group of 50 healthy people were randomly investigated against a microarray of 121 different autoantigens. In addition, the frequency of antibodies against Schistosoma egg antigen (SEA) was examined. In the sera from patients with chronic schistosomiasis japonica, 14 different highly expressed autoantibodies were detected, while patients with late-stage schistosomiasis were found to express as many as 43 autoantibody specificities together with a significantly higher frequency of antibodies against SEA compared to the control group. The findings presented suggest that autoantibody-based classification of schistosomiasis japonica represents a promising approach for the elucidation of subtypes of the disease. This approach may reflect differential disease mechanisms, which could ultimately lead to better treatment.</t>
  </si>
  <si>
    <t>[Zhou, Xiaorong] Hubei Prov Ctr Dis Control &amp; Prevent, Wuhan, Hubei, Peoples R China; [Wang, Xi; Xu, Jing; Tang, Qi; Qin, Zhiqiang] Natl Ctr Int Res Trop Dis, Chinese Ctr Dis Control &amp; Prevent, Chinese Ctr Trop Dis Res,Natl Inst Parasit Dis, WHO Collaborating Ctr trop Dis,NHC Key Lab Parasi, Shanghai, Peoples R China; [Bergquist, Robert] UNICEF, UNDP World Bank, WHO Special Programme Res &amp; Training Trop Dis TDR, Brastad, Sweden; [Shi, Leming] Fudan Univ, Human Phenome Inst, Sch Life Sci, State Key Lab Genet Engn, Shanghai, Peoples R China; [Shi, Leming] Fudan Univ, Shanghai Canc Ctr, Shanghai, Peoples R China</t>
  </si>
  <si>
    <t>Chinese Center for Disease Control &amp; Prevention; National Institute of Parasitic Diseases, Chinese Center for Disease Control &amp; Prevention; World Health Organization; Shanghai Center for Disease Control &amp; Prevention; Fudan University; Fudan University</t>
  </si>
  <si>
    <t>Qin, ZQ (corresponding author), Natl Ctr Int Res Trop Dis, Chinese Ctr Dis Control &amp; Prevent, Chinese Ctr Trop Dis Res,Natl Inst Parasit Dis, WHO Collaborating Ctr trop Dis,NHC Key Lab Parasi, Shanghai, Peoples R China.</t>
  </si>
  <si>
    <t>qinzq@nipd.chinacdc.cn</t>
  </si>
  <si>
    <t>National Key Research and Development Program of Ministry of Science and Technology of the People's Republic of China [2021YFC2300800, 2021YFC2300804]</t>
  </si>
  <si>
    <t>National Key Research and Development Program of Ministry of Science and Technology of the People's Republic of China</t>
  </si>
  <si>
    <t>The National Key Research and Development Program of Ministry of Science and Technology of the People's Republic of China, Grant/Award Number: 2021YFC2300800, 2021YFC2300804.</t>
  </si>
  <si>
    <t>10.1080/08916934.2023.2250102</t>
  </si>
  <si>
    <t>P6HU1</t>
  </si>
  <si>
    <t>WOS:001051673300001</t>
  </si>
  <si>
    <t>Zhu, H; Sun, QL; Tao, J; Sun, H; Chen, ZQ; Zeng, XY; Soulat, D</t>
  </si>
  <si>
    <t>Zhu, Hong; Sun, Qinglin; Tao, Jin; Sun, Hao; Chen, Zengqiang; Zeng, Xianyi; Soulat, Damien</t>
  </si>
  <si>
    <t>Fluid-structure interaction simulation for performance prediction and design optimization of parafoils</t>
  </si>
  <si>
    <t>Fluid-structure interaction; parafoil design; aerodynamic characteristics; performance prediction; flexible deformation; inflation</t>
  </si>
  <si>
    <t>NUMERICAL-SIMULATION; AERODYNAMICS; COMPUTATION; AIRFOIL; FLOW</t>
  </si>
  <si>
    <t>Parachute design is challenging to achieve innovative progress if the dominant role of testing continues, as it will be an increasingly expensive and time-consuming work. The aim of this study is to establish a reliable and efficient design tool using existing advanced numerical modeling methods. This paper presents a numerical method based on two-way coupled fluid-structure interaction (FSI) strategies for predicting aerodynamic and flight performance for parafoil design optimization. The nonlinear finite element method was used for the canopy fabric model and flow field, and the fluid dynamics were solved by Reynolds-averaged Navier-Stokes with the Spalart-Allmaras turbulence model. The FSI simulations are performed to assess the aerodynamic performance and structural deformations of full-scale parafoil canopies. The equilibrium shape of the parafoil canopy under steady gliding states and the relevant flow field were analyzed to enhance confidence and understanding in the performance prediction of new parachutes. Three-dimensional FSI simulation results of parafoils show that the inflation caused flexible bulges of canopy cells, and the maximum lift coefficient increased more than 16% with a higher stall angle of attack than that of the rigid body model. A parafoil with a smaller leading edge inlet or a scaling down area can improve the aerodynamic performance, mainly manifested in a higher lift-to-drag ratio and better anti-stall performance. Finally, the prediction results of parafoil glide performance were verified by flight test data, and the prediction accuracy of the flexible model is more than 10% higher than that of the rigid model. This work makes the simulation tools a step closer to practical application.</t>
  </si>
  <si>
    <t>[Zhu, Hong; Sun, Qinglin; Tao, Jin; Sun, Hao; Chen, Zengqiang] Nankai Univ, Coll Artificial Intelligence, Tianjin 300350, Peoples R China; [Zeng, Xianyi; Soulat, Damien] Univ Lille, ENSAIT, Lab Genie &amp; Mat Text GEMTEX, Roubaix, France</t>
  </si>
  <si>
    <t>Nankai University; Universite de Lille - ISITE; Universite de Lille; Ecole Nationale Superieure des Arts et Industries Textiles (ENSAIT)</t>
  </si>
  <si>
    <t>Sun, QL (corresponding author), Nankai Univ, Coll Artificial Intelligence, Tianjin 300350, Peoples R China.</t>
  </si>
  <si>
    <t>sunql@nankai.edu.cn</t>
  </si>
  <si>
    <t>Zeng, Xianyi/AAQ-1183-2021; Soulat, Damien/AAM-7300-2021</t>
  </si>
  <si>
    <t>Zeng, Xianyi/0000-0002-3236-6766; Soulat, Damien/0000-0001-7911-4243</t>
  </si>
  <si>
    <t>National Natural Science Foundation of China [NoS. 61973172, 61973175, 62003175, 62003177]; Key Technologies Research and Development Program of Tianjin [19JCZD-JC32800]; Research and Innovation Project for Postgraduates in Tianjin [2021YJSO2B02]; China Scholarship Council</t>
  </si>
  <si>
    <t>National Natural Science Foundation of China(National Natural Science Foundation of China (NSFC)); Key Technologies Research and Development Program of Tianjin; Research and Innovation Project for Postgraduates in Tianjin; China Scholarship Council(China Scholarship Council)</t>
  </si>
  <si>
    <t>This work was supported by the National Natural Science Foundation of China (Grant NoS. 61973172, 61973175, 62003175 and 62003177), the Key Technologies Research and Development Program of Tianjin (Grant No. 19JCZD-JC32800), and Research and Innovation Project for Postgraduates in Tianjin (Grant No. 2021YJSO2B02), this project is also funded by the China Scholarship Council.</t>
  </si>
  <si>
    <t>10.1080/19942060.2023.2194359</t>
  </si>
  <si>
    <t>A3MA0</t>
  </si>
  <si>
    <t>WOS:000954194500001</t>
  </si>
  <si>
    <t>Zhu, YT; Zhang, GL; Anme, T</t>
  </si>
  <si>
    <t>Zhu, Yantong; Zhang, Gengli; Anme, Tokie</t>
  </si>
  <si>
    <t>Intergenerational associations of adverse and positive maternal childhood experiences with young children's psychosocial well-being</t>
  </si>
  <si>
    <t>EUROPEAN JOURNAL OF PSYCHOTRAUMATOLOGY</t>
  </si>
  <si>
    <t>Maternal ACEs; maternal PCEs; offspring psychosocial well-being; Chinese preschoolers; resilience</t>
  </si>
  <si>
    <t>MENTAL-ILLNESS; TRANSMISSION; PSYCHOPATHOLOGY; PARENTS; MOTHERS; HEALTH; PERSPECTIVE; PREVALENCE; STRENGTHS; ABUSE</t>
  </si>
  <si>
    <t>Background: Maternal adverse childhood experiences (ACEs) are believed to have negative consequences on offspring health. However, positive childhood experiences (PCEs) may be concurrent with ACEs, and little is known about how ACEs and PCEs transmit intergenerationally in the context of each other. Objective: To explore the independent effect of maternal ACEs and PCEs on offspring psychosocial well-being and how ACEs and PCEs are intergenerationally transmitted in their context. Method: Data were 2587 mother-child dyads in Anhui provinces of China. Mothers retrospectively reported their ACEs and PCEs, as well as provided demographic characteristics and their children's psychosocial well-being. Logistic regression models were performed to explore the associations of maternal ACEs and PCEs with offspring psychosocial well-being. Results: Separate unadjusted logistic regression models showed that children with mothers reported high ACEs scores were more likely to have psychosocial challenges (total difficulties and prosocial problems), while children whose mothers reported high PCEs scores were less likely to have psychosocial challenges. When we added maternal ACEs and PCEs to a same model, we found that PCEs slightly neutralised the negative effects of ACEs on offspring's total difficulties and prosocial problems. When stratified by sample, mothers with high PCE scores and higher maternal ACEs were related with a higher risk of offspring total difficulties; mothers with low levels of ACEs and high PCEs tend to report a lower risk of offspring total difficulties. Conclusions: Results suggest that PCEs are positively and intergenerationally transmitted. Results suggest that PCEs are positively and intergenerationally transmitted. More programme should be provided to increase maternal PCEs. When preventing the intergenerational transmission of ACEs, specific interventions should be provided to mothers with different levels of PCEs.</t>
  </si>
  <si>
    <t>[Zhu, Yantong] Univ Tsukuba, Grad Sch Comprehens Human Sci, Tsukuba, Japan; [Zhang, Gengli] Anhui Normal Univ, Fac Educ Sci, Wuhu, Peoples R China; [Anme, Tokie] Univ Tsukuba, Fac Med, 1-1-1 Tennoudai, Tsukuba, Ibaragi 3058577, Japan</t>
  </si>
  <si>
    <t>University of Tsukuba; Anhui Normal University; University of Tsukuba</t>
  </si>
  <si>
    <t>Anme, T (corresponding author), Univ Tsukuba, Fac Med, 1-1-1 Tennoudai, Tsukuba, Ibaragi 3058577, Japan.</t>
  </si>
  <si>
    <t>tokieanme@gmail.com</t>
  </si>
  <si>
    <t>Zhu, Yantong/HTP-8829-2023</t>
  </si>
  <si>
    <t>Zhu, Yantong/0000-0002-5408-3986; Anme, Tokie/0000-0002-3361-7715</t>
  </si>
  <si>
    <t>2000-8198</t>
  </si>
  <si>
    <t>2000-8066</t>
  </si>
  <si>
    <t>EUR J PSYCHOTRAUMATO</t>
  </si>
  <si>
    <t>Eur. J. Psychotraumatol.</t>
  </si>
  <si>
    <t>10.1080/20008066.2023.2185414</t>
  </si>
  <si>
    <t>Psychology, Clinical; Psychiatry</t>
  </si>
  <si>
    <t>Psychology; Psychiatry</t>
  </si>
  <si>
    <t>9W4VG</t>
  </si>
  <si>
    <t>WOS:000949075700001</t>
  </si>
  <si>
    <t>Zhu, ZL; Chen, YM; Chen, FD; Li, Z</t>
  </si>
  <si>
    <t>Zhu, Zhenliang; Chen, Yuming; Chen, Fengde; Li, Zhong</t>
  </si>
  <si>
    <t>Complex dynamics of a predator-prey model with opportunistic predator and weak Allee effect in prey</t>
  </si>
  <si>
    <t>Opportunistic predator; Allee effect; predator-prey; Hopf bifurcation; Bogdanov-Takens bifurcation</t>
  </si>
  <si>
    <t>GENERALIST; SYSTEM; PERSISTENCE; STABILITY</t>
  </si>
  <si>
    <t>In this work, we first modify a Lotka-Volterra predator-prey system to incorporate an opportunistic predator and weak Allee effect in prey. The prey will be extinct if the combined effect of hunting and other food resources of predator is large. Otherwise, the dynamic behaviour of the system is extremely rich. A series of bifurcations such as saddle-node bifurcation, Hopf bifurcation, and Bogdanov-Takens bifurcation can happen. The validity of the theoretical results are supported with numerical simulations.</t>
  </si>
  <si>
    <t>[Zhu, Zhenliang] Minjiang Univ, Coll Math &amp; Data Sci, Fuzhou, Fujian, Peoples R China; [Chen, Yuming] Wilfrid Laurier Univ, Dept Math, Waterloo, ON, Canada; [Chen, Fengde; Li, Zhong] Fuzhou Univ, Coll Math &amp; Comp Sci, Fuzhou, Fujian, Peoples R China</t>
  </si>
  <si>
    <t>Minjiang University; Wilfrid Laurier University; Fuzhou University</t>
  </si>
  <si>
    <t>Chen, YM (corresponding author), Wilfrid Laurier Univ, Dept Math, Waterloo, ON, Canada.</t>
  </si>
  <si>
    <t>ychen@wlu.ca</t>
  </si>
  <si>
    <t>Natural Science Foundation of Fujian Province [2020J01499]; NSERC of Canada [RGPIN-2019-05892]</t>
  </si>
  <si>
    <t>Natural Science Foundation of Fujian Province(Natural Science Foundation of Fujian Province); NSERC of Canada(Natural Sciences and Engineering Research Council of Canada (NSERC))</t>
  </si>
  <si>
    <t>This work was supported partially by the Natural Science Foundation of Fujian Province [2020J01499] and NSERC of Canada [RGPIN-2019-05892].</t>
  </si>
  <si>
    <t>10.1080/17513758.2023.2225545</t>
  </si>
  <si>
    <t>J4SI3</t>
  </si>
  <si>
    <t>WOS:001009522800001</t>
  </si>
  <si>
    <t>Zulpa, AK; Muttiah, B; Vellasamy, KM; Mariappan, V; Vadivelu, J</t>
  </si>
  <si>
    <t>Zulpa, Ahmad Khusairy; Muttiah, Barathan; Vellasamy, Kumutha Malar; Mariappan, Vanitha; Vadivelu, Jamuna</t>
  </si>
  <si>
    <t>Dentatin triggers ROS-mediated apoptosis, G0/G1 cell cycle arrest and release of Th1-related cytokines in colorectal carcinoma cells</t>
  </si>
  <si>
    <t>Dentatin; apoptosis; natural compound; colorectal carcinoma; cytokines</t>
  </si>
  <si>
    <t>CANCER; INHIBITION; ACTIVATION; MECHANISMS; PATHWAY</t>
  </si>
  <si>
    <t>Naturally occurring carbazole alkaloid, Dentatin (DTN), is known to inhibit human cancer cell lines. However, it's inhibitory and immunomodulatory activities in colorectal carcinoma HCT-116 cells remain obscure. This study compares DTN's inhibitory effect against 5-FU in HCT-116 cells using in vitro anticancer assays including cell cytotoxicity, migration, colony formation, cell cycle and apoptosis, while assessing its immunomodulatory activity via Th1/Th2/Th17 inflammatory cytokines assay. DTN triggered the intrinsic and extrinsic apoptosis pathways by actuating caspases-8, -9 and -3 while inhibiting cell migration and colonies formation, and inducing cell cycle arrest at the G0/G1 phase. Accumulation of iROS with loss of MMP and DNA damage was observed with elevation of several Th1 cytokines, the TNF-alpha and IFN-gamma with lower pro-inflammatory IL-6 compared to 5-fluorouracil. In conclusion, DTN triggered ROS-mediated apoptosis with release of inflammatory cytokines, potentially evoking anticancer immunity in CRC. Further validation of DTN's mechanism in vivo is warranted.</t>
  </si>
  <si>
    <t>[Zulpa, Ahmad Khusairy; Muttiah, Barathan; Vellasamy, Kumutha Malar; Vadivelu, Jamuna] Univ Malaya, Fac Med, Dept Med Microbiol, Kuala Lumpur, Malaysia; [Mariappan, Vanitha] Univ Kebangsaan Malaysia, Fac Hlth Sci, Ctr Toxicol Hlth Risk Studies CORE, Kuala Lumpur, Malaysia</t>
  </si>
  <si>
    <t>Universiti Malaya; Universiti Kebangsaan Malaysia</t>
  </si>
  <si>
    <t>Vellasamy, KM; Vadivelu, J (corresponding author), Univ Malaya, Fac Med, Dept Med Microbiol, Kuala Lumpur, Malaysia.</t>
  </si>
  <si>
    <t>kumuthamalar@um.edu.my; jamuna@um.edu.my</t>
  </si>
  <si>
    <t>Mariappan, Vanitha/I-4769-2013; S VADIVELU, JAMUNARANI/B-8696-2010</t>
  </si>
  <si>
    <t>Mariappan, Vanitha/0000-0002-2351-1597; S VADIVELU, JAMUNARANI/0000-0001-7322-3676; Zulpa, Ahmad Khusairy/0000-0003-3924-016X</t>
  </si>
  <si>
    <t>Ministry of Higher Education, Malaysia [FRGS/1/2019/SKK15/UM/01/2 (FP109-2019A)]</t>
  </si>
  <si>
    <t>Ministry of Higher Education, Malaysia(Ministry of Education, Malaysia)</t>
  </si>
  <si>
    <t>This work was supported by Ministry of Higher Education, Malaysia [grant number FRGS/1/2019/SKK15/UM/01/2 (FP109-2019A)].</t>
  </si>
  <si>
    <t>10.1080/16583655.2023.2194231</t>
  </si>
  <si>
    <t>C5AA4</t>
  </si>
  <si>
    <t>WOS:000962027800001</t>
  </si>
  <si>
    <t>Gomez, J; Felder, L; Chalikonda, D; Schlachterman, A; Berghella, V</t>
  </si>
  <si>
    <t>Gomez, Julie; Felder, Laura; Chalikonda, Divya; Schlachterman, Alexander; Berghella, Vincenzo</t>
  </si>
  <si>
    <t>Per Oral Endoscopic Myotomy in pregnancy</t>
  </si>
  <si>
    <t>Achalasia; pregnancy; per oral endoscopic myotomy</t>
  </si>
  <si>
    <t>ACHALASIA</t>
  </si>
  <si>
    <t>Objective To report the first successful full-term delivery following Per Oral Endoscopic Myotomy (POEM) performed during pregnancy. Methods/Background Achalasia is an esophageal motility disorder characterized by dysphagia, regurgitation, reflux, recurrent vomiting, and weight loss. Achalasia in pregnancy can affect nutritional status of the mother, and subsequently, the child, increasing morbidity and creating potential pregnancy complications. POEM is a novel endoscopic procedure which involves cutting the lower esophageal sphincter to allow food to pass, and is considered a safe and effective management option for achalasia in non-pregnant individuals. Results We discuss the case of a patient with achalasia and a prior Heller myotomy who presented with recrudescence of severe symptoms prompting evaluation and treatment with POEM. Conclusion This is the first report of successful full-term delivery following POEM performed during pregnancy, demonstrating its feasibility and safety in this patient population when approached with a multidisciplinary team.</t>
  </si>
  <si>
    <t>[Gomez, Julie; Felder, Laura; Berghella, Vincenzo] Thomas Jefferson Univ Hosp, Dept Obstet &amp; Gynecol, Philadelphia, PA USA; [Chalikonda, Divya; Schlachterman, Alexander] Thomas Jefferson Univ Hosp, Dept Gastroenterol &amp; Hepatol, Philadelphia, PA USA; [Berghella, Vincenzo] Thomas Jefferson Univ Hosp, Dept Obstet &amp; Gynecol, Div Maternal Fetal Med, 833 Chestnut St,1st Floor, Philadelphia, PA 19107 USA</t>
  </si>
  <si>
    <t>Jefferson University; Jefferson University; Jefferson University</t>
  </si>
  <si>
    <t>Berghella, V (corresponding author), Thomas Jefferson Univ Hosp, Dept Obstet &amp; Gynecol, Div Maternal Fetal Med, 833 Chestnut St,1st Floor, Philadelphia, PA 19107 USA.</t>
  </si>
  <si>
    <t>vincenzo.berghella@jefferson.edu</t>
  </si>
  <si>
    <t>Gomez, Julie/0000-0002-9011-7637</t>
  </si>
  <si>
    <t>DEC 15</t>
  </si>
  <si>
    <t>10.1080/14767058.2023.2229474</t>
  </si>
  <si>
    <t>K9OM2</t>
  </si>
  <si>
    <t>WOS:001019655800001</t>
  </si>
  <si>
    <t>Liang, SY; Lyu, J; Shi, HF; Zhao, YY; Chong, YW; Hou, XF; Chen, L</t>
  </si>
  <si>
    <t>Liang, Shuangyi; Lyu, Jiaxin; Shi, Huifeng; Zhao, Yangyu; Chong, Yiwen; Hou, Xiaofei; Chen, Lian</t>
  </si>
  <si>
    <t>Management strategy for urologic morbidity in surgery of placenta accreta spectrum: stents or catheters?</t>
  </si>
  <si>
    <t>Urologic complication; placenta accreta; ureteral stents; catheters; surgery</t>
  </si>
  <si>
    <t>HYSTERECTOMY; DISORDERS; PLACEMENT; INJURY</t>
  </si>
  <si>
    <t>Objective Surgery for placenta accreta spectrum disorders is known to be associated with urologic morbidity. Although previous studies have shown preoperative ureteral stent placement might be useful for preventing the urologic morbidity, the patient's discomfort caused by it should not be ignored. Whether there is an alternative management strategy remains unknown. This study was to evaluate the effectiveness of ureteral stents and catheters in preventing urologic injury in patients with placenta accreta spectrum undergoing surgery. Methods We conducted a retrospective cohort study. All cases with diagnosed placenta accreta spectrum who underwent surgery at Peking University Third Hospital between January 2018 and December 2020 were collected and reviewed. They were divided into two groups according to the different management strategies for preoperative placement of ureteral catheters or stents. The primary outcome was urologic injury, which was defined as the presence of ureteral or bladder injury during and after surgery. Secondary outcomes included urologic complications within the first three months after surgery. The median (interquartile range) or proportions were reported for variables. The Man Whitney U test, chi-square test and multivariate logistic regression were used for analysis. Results Ultimately, 99 patients were included in this study. Ureteral catheters were placed in 52 patients and ureteral stents were placed in 47 patients. Placenta accreta, placenta increta, and placenta percreta were diagnosed in three, 19, and 77 women, respectively. The hysterectomy rate was 52.53%. Overall, urologic injuries occurred in three patients (3.03%), including one case of combined bladder and ureteral injury (1.01%) and two cases of bladder injuries (2.02%). Only one ureteral injury occurred in a patient with a ureteral stent, which was recognized postoperatively (p = .475). All bladder injuries were vesical rupture which were recognized and repaired intraoperatively; one patient in the catheter group and two patients in the stent group (p = .929). After adjusting for confounding variables, multinomial regression analysis revealed no significant differences between the two groups in the incidence of bladder injuries(aOR: 0.695, 95% CI: 0.035-13.794, p = .811). A lower risk of urinary irritation (aOR: 0.186, 95% CI: 0.057-0.605, p = .005), hematuria (aOR: 0.011, 95% CI: 0.001-0.136, p &lt; .001), and lower back pain (aOR: 0.075, 95% CI: 0.022-0.261, p &lt; .001) was found in patients with ureteral catheters than in those with ureteral stents. Conclusion The ureteral stents didn't confer a protective benefit in the surgical management for placenta accreta spectrum compare with catheters; however, they did result in a higher incidence of postoperative urologic complications. Ureteral temporal catheters may be an alternative strategy for placenta accreta spectrum cases suspected with urinary tract involved prenatally. Moreover, clearly and explicitly reporting double J stent or temporal catheter is necessary for future researches.</t>
  </si>
  <si>
    <t>[Liang, Shuangyi; Lyu, Jiaxin; Shi, Huifeng; Zhao, Yangyu; Chong, Yiwen; Chen, Lian] Peking Univ Third Hosp, Dept Obstet &amp; Gynecol, Beijing, Peoples R China; [Liang, Shuangyi; Lyu, Jiaxin; Shi, Huifeng; Zhao, Yangyu; Chong, Yiwen; Chen, Lian] Peking Univ Third Hosp, Natl Clin Res Ctr Obstet &amp; Gynecol, Beijing, Peoples R China; [Liang, Shuangyi; Lyu, Jiaxin; Shi, Huifeng; Zhao, Yangyu; Chong, Yiwen; Chen, Lian] Natl Ctr Healthcare Qual Management Obstet, Beijing, Peoples R China; [Hou, Xiaofei] Peking Univ Third Hosp, Dept Urol, Beijing, Peoples R China; [Chen, Lian] Peking Univ Third Hosp, 49 Garden North Rd, Beijing 100191, Peoples R China</t>
  </si>
  <si>
    <t>Peking University</t>
  </si>
  <si>
    <t>Chen, L (corresponding author), Peking Univ Third Hosp, 49 Garden North Rd, Beijing 100191, Peoples R China.</t>
  </si>
  <si>
    <t>chenlian@bjmu.edu.cn</t>
  </si>
  <si>
    <t>National Key Research and Development Program of China #1 [2022YFC2704503]; National Natural Science Foundation of China #2 [82101821]; the Capital Health development Scientific Research project #3 [2020-1-4093]</t>
  </si>
  <si>
    <t>National Key Research and Development Program of China #1; National Natural Science Foundation of China #2(National Natural Science Foundation of China (NSFC)); the Capital Health development Scientific Research project #3</t>
  </si>
  <si>
    <t>This work was supported by National Key Research and Development Program of China #1 under Grant number 2022YFC2704503; National Natural Science Foundation of China #2 under Grant number 82101821. the Capital Health development Scientific Research project #3 under Grant number 2020-1-4093</t>
  </si>
  <si>
    <t>10.1080/14767058.2023.2232076</t>
  </si>
  <si>
    <t>K9RJ4</t>
  </si>
  <si>
    <t>WOS:001019731100001</t>
  </si>
  <si>
    <t>Mungmunpuntipantip, R; Wiwanitkit, V</t>
  </si>
  <si>
    <t>Mungmunpuntipantip, Rujittika; Wiwanitkit, Viroj</t>
  </si>
  <si>
    <t>Sociodemographic predictors of COVID-19 vaccine hesitancy: correspondence</t>
  </si>
  <si>
    <t>[Mungmunpuntipantip, Rujittika] Private Acad Consultant, Bangkok, Thailand; [Wiwanitkit, Viroj] Chandigarh Univ Gharuan, Univ Ctr Res &amp; Dev Dept Pharmaceut Sci, Mohali, Punjab, India</t>
  </si>
  <si>
    <t>Chandigarh University</t>
  </si>
  <si>
    <t>Mungmunpuntipantip, R (corresponding author), Private Acad Consultant, Bangkok, Thailand.</t>
  </si>
  <si>
    <t>rujittika@gmail.com</t>
  </si>
  <si>
    <t>Ciprandi, Giorgio/G-7462-2012</t>
  </si>
  <si>
    <t>Ciprandi, Giorgio/0000-0001-7016-8421</t>
  </si>
  <si>
    <t>10.1080/14767058.2023.2229475</t>
  </si>
  <si>
    <t>L8OJ4</t>
  </si>
  <si>
    <t>WOS:001025799400001</t>
  </si>
  <si>
    <t>Rezk, M; Dawood, R; Abo-Elnasr, M; Al Halaby, A; Marawan, H</t>
  </si>
  <si>
    <t>Rezk, Mohamed; Dawood, Ragab; Abo-Elnasr, Mohamed; Al Halaby, Alaa; Marawan, Hala</t>
  </si>
  <si>
    <t>RETRACTION: Lactoferrin versus ferrous sulphate for the treatment of iron deficiency anemia during pregnancy: a randomized clinical trial (Retraction of Vol 29, Pg 1387, 2016)</t>
  </si>
  <si>
    <t>Retraction</t>
  </si>
  <si>
    <t>10.1080/14767058.2023.2235773</t>
  </si>
  <si>
    <t>M8XC9</t>
  </si>
  <si>
    <t>WOS:001032979700001</t>
  </si>
  <si>
    <t>Rezk, M; Dawood, R; Badr, H</t>
  </si>
  <si>
    <t>Rezk, Mohamed; Dawood, Ragab; Badr, Hassan</t>
  </si>
  <si>
    <t>RETRACTION: Maternal and fetal outcome in women with antiphospholipid syndrome: a three-year observational study (Retraction of Vol 29, Pg 4015, 2016)</t>
  </si>
  <si>
    <t>10.1080/14767058.2023.2235775</t>
  </si>
  <si>
    <t>M9LZ1</t>
  </si>
  <si>
    <t>WOS:001033368000001</t>
  </si>
  <si>
    <t>Angioni, S; Saponara, S; Vitale, SG</t>
  </si>
  <si>
    <t>Angioni, Stefano; Saponara, Stefania; Vitale, Salvatore Giovanni</t>
  </si>
  <si>
    <t>Metabolomics analysis in endometriosis patients: is it a step toward the future?</t>
  </si>
  <si>
    <t>GYNECOLOGICAL ENDOCRINOLOGY</t>
  </si>
  <si>
    <t>EARLY-DIAGNOSIS; BIOMARKERS; DISCOVERY</t>
  </si>
  <si>
    <t>[Angioni, Stefano; Saponara, Stefania; Vitale, Salvatore Giovanni] Univ Cagliari, Dept Surg Sci, Div Gynecol &amp; Obstet, Cagliari, Italy</t>
  </si>
  <si>
    <t>University of Cagliari</t>
  </si>
  <si>
    <t>Angioni, S (corresponding author), Univ Cagliari, Dept Surg Sci, Div Gynecol &amp; Obstet, Cagliari, Italy.</t>
  </si>
  <si>
    <t>sangioni@yahoo.it</t>
  </si>
  <si>
    <t>Saponara, Stefania/JAO-5137-2023</t>
  </si>
  <si>
    <t>Saponara, Stefania/0000-0003-1022-0958</t>
  </si>
  <si>
    <t>0951-3590</t>
  </si>
  <si>
    <t>1473-0766</t>
  </si>
  <si>
    <t>GYNECOL ENDOCRINOL</t>
  </si>
  <si>
    <t>Gynecol. Endocrinol.</t>
  </si>
  <si>
    <t>DEC 14</t>
  </si>
  <si>
    <t>10.1080/09513590.2023.2227276</t>
  </si>
  <si>
    <t>Endocrinology &amp; Metabolism; Obstetrics &amp; Gynecology</t>
  </si>
  <si>
    <t>L2KU7</t>
  </si>
  <si>
    <t>hybrid, Green Published</t>
  </si>
  <si>
    <t>WOS:001021606800001</t>
  </si>
  <si>
    <t>Boiger, T; Schweiger, G</t>
  </si>
  <si>
    <t>Boiger, Theresa; Schweiger, Gerald</t>
  </si>
  <si>
    <t>SHP2SIM: a python pipeline for Modelica based district and urban scale energy simulations</t>
  </si>
  <si>
    <t>INTERNATIONAL JOURNAL OF SUSTAINABLE ENERGY</t>
  </si>
  <si>
    <t>Building energy simulation; data enrichment; Modelica model; district scale; urban scale</t>
  </si>
  <si>
    <t>BUILDINGS</t>
  </si>
  <si>
    <t>Energy simulation models are crucial to estimate the energy demand of buildings, especially for prospective planning on a district or city scale. As required input data is not available in many cases, an automated model generation workflow is needed. Existing workflows have several disadvantages, including: (i) dependence on large input datasets of existing buildings; (ii) no 3D representation to support the planning process; (iii) they are proprietary solutions. The pipeline 'SHP2SIM' is an open-source python pipeline enabling enrichment and generation of building energy simulation models based on little input data for district and urban scale. The pipeline is tested by simulating the heat load for a district with 27 buildings and validated for one building: R squared is 0.9825, CV(RMSE) is 22.10%, and NMBE is 4.06% on a monthly basis. To enable reproducibility and encourage open science, input data, output models, and the pipeline are openly available (https://github.com/tug-cps/shp2sim).</t>
  </si>
  <si>
    <t>[Boiger, Theresa; Schweiger, Gerald] Inst Software Technol, Graz, Austria; [Boiger, Theresa] Inst Environm Syst Sci, Graz, Austria</t>
  </si>
  <si>
    <t>Boiger, T (corresponding author), Inst Software Technol, Graz, Austria.;Boiger, T (corresponding author), Inst Environm Syst Sci, Graz, Austria.</t>
  </si>
  <si>
    <t>theresa.boiger@uni-graz.at</t>
  </si>
  <si>
    <t>Boiger, Theresa/0000-0003-1843-3704</t>
  </si>
  <si>
    <t>Austrian Ministry for Transport, Innovation and Technology (BMVIT); TU Graz Open Access Publishing Fund; University of Graz, Institute of Environmental System Sciences; [879419]</t>
  </si>
  <si>
    <t>Austrian Ministry for Transport, Innovation and Technology (BMVIT); TU Graz Open Access Publishing Fund; University of Graz, Institute of Environmental System Sciences;</t>
  </si>
  <si>
    <t>The reported research has been conducted within the project KityVR (879419), which has received funding in the framework of Stadt der Zukunft', a research and technology programme of the Austrian Ministry for Transport, Innovation and Technology (BMVIT). Supported by TU Graz Open Access Publishing Fund. The authors acknowledge the support by the University of Graz, Institute of Environmental System Sciences.</t>
  </si>
  <si>
    <t>1478-6451</t>
  </si>
  <si>
    <t>1478-646X</t>
  </si>
  <si>
    <t>INT J SUSTAIN ENERGY</t>
  </si>
  <si>
    <t>Int. J. Sustain. Energy</t>
  </si>
  <si>
    <t>10.1080/14786451.2023.2248526</t>
  </si>
  <si>
    <t>Q1OD6</t>
  </si>
  <si>
    <t>WOS:001055272800001</t>
  </si>
  <si>
    <t>Pan, Y; Li, F; Yang, CX; Sun, Y; Zhang, CW; Zhang, SM; Xue, TM</t>
  </si>
  <si>
    <t>Pan, Yu; Li, Feng; Yang, Chun-Xia; Sun, Yan; Zhang, Chen-Wang; Zhang, Shen-Min; Xue, Tong-Min</t>
  </si>
  <si>
    <t>Correlation between different endometrial preparation protocols and pregnancy outcome of frozen embryo transfer in patients with polycystic ovary syndrome: a retrospective study</t>
  </si>
  <si>
    <t>Polycystic ovary syndrome; different endometrial preparation protocols; frozen embryo transfer; pregnancy outcome; correlation analysis</t>
  </si>
  <si>
    <t>WOMEN</t>
  </si>
  <si>
    <t>Objective We retrospectively analyzed the correlation between different endometrial preparation protocols and pregnancy outcomes in patients with polycystic ovary syndrome (PCOS) who underwent frozen embryo transfer (FET). Methods A total of 200 PCOS patients who underwent FET were divided into HRT group (n = 65), LE group (n = 65), GnRHa + HRT group (n = 70) according to different endometrial preparation protocols. The endometrial thickness on the day of endometrial transformation, the number of embryos transferred, and the number of high-quality embryos transferred were compared among the three groups. The pregnancy outcomes of FET in the three groups were compared and analyzed, and a further multivariate logistic regression model was used to analyze the factors influencing FET pregnancy outcomes in PCOS patients. Results Endometrial thickness on the day of endometrial transformation, clinical pregnancy rate and live birth rate in GnRHa + HRT group were higher than those in the HRT group and LE group. The results of multivariate regression analysis showed that the pregnancy outcome of PCOS patients undergoing FET was significantly associated with the patient's age, endometrial preparation protocols, number of embryos transferred, endometrial thickness, and duration of infertility. Conclusion Compared with HRT or LE alone, GnRHa + HRT protocol results in higher levels of endometrial thickness on the day of endometrial transformation, clinical pregnancy rate, and live birth rate. Female age, endometrial preparation protocols, number of embryos transferred, endometrial thickness, and duration of infertility are determined as factors influencing pregnancy outcomes in PCOS patients undergoing FET.</t>
  </si>
  <si>
    <t>[Pan, Yu; Li, Feng; Yang, Chun-Xia; Sun, Yan; Zhang, Chen-Wang; Zhang, Shen-Min; Xue, Tong-Min] Yangzhou Univ, Northern Jiangsu Peoples Hosp, Reprod Med Ctr, Yangzhou, Jiangsu, Peoples R China</t>
  </si>
  <si>
    <t>Yangzhou University</t>
  </si>
  <si>
    <t>Xue, TM (corresponding author), Yangzhou Univ, Northern Jiangsu Peoples Hosp, Reprod Med Ctr, Yangzhou, Jiangsu, Peoples R China.</t>
  </si>
  <si>
    <t>tmxue@yzu.edu.cn</t>
  </si>
  <si>
    <t>10.1080/09513590.2023.2217260</t>
  </si>
  <si>
    <t>H1QZ4</t>
  </si>
  <si>
    <t>WOS:000993791300001</t>
  </si>
  <si>
    <t>Seyam, E; Hasan, M; Khalifa, EM; Ramadan, A; Hefzy, E</t>
  </si>
  <si>
    <t>Seyam, E.; Hasan, M.; Khalifa, E. M.; Ramadan, A.; Hefzy, E.</t>
  </si>
  <si>
    <t>RETRACTION: Evaluation of tumor necrosis factor alpha serum level in obese and lean women with clomiphene citrate-resistant polycystic ovary disease (Retraction of Vol 33, Pg 892, 2017)</t>
  </si>
  <si>
    <t>10.1080/09513590.2023.2197696</t>
  </si>
  <si>
    <t>H3NS5</t>
  </si>
  <si>
    <t>WOS:000995073600001</t>
  </si>
  <si>
    <t>Suhonen, J; Lindholm, J; Verbeck, M; Ju, YC; Jokisalo, J; Kosonen, R; Janssen, P; Schafers, H</t>
  </si>
  <si>
    <t>Suhonen, Janne; Lindholm, Joakim; Verbeck, Moritz; Ju, Yuchen; Jokisalo, Juha; Kosonen, Risto; Janssen, Philipp; Schaefers, Hans</t>
  </si>
  <si>
    <t>Energy, cost and emission saving potential of demand response and peak power limiting in the German district heating system</t>
  </si>
  <si>
    <t>Demand response; peak power limiting; district heating; energy cost; thermal comfort</t>
  </si>
  <si>
    <t>SIDE MANAGEMENT; SMART GRIDS; PRICE</t>
  </si>
  <si>
    <t>The demand response and peak power limiting could potentially reduce the peak power and energy demand. This study examines the effect of rule-based demand response and peak power limiting on the peak power and energy demand of heating. Study was conducted as a co-simulation where buildings and district heating production were simulated separately but both inclusively. Results indicate that demand response provides 2.8-4.7% energy saving and 2.3-3.4% total district heating cost saving potential. Moreover, according to the simulations, demand response provides 32% emission reduction in district heating production in contrast to the reference case. Peak power limiting provides significant reduction in the peak power and district heating base cost. However, its ability to provide additional reduction in the energy demand and emissions is confined compared to the demand response due to the effective time of the limit. Chosen acceptable temperature range can be maintained decently.</t>
  </si>
  <si>
    <t>[Suhonen, Janne; Lindholm, Joakim; Ju, Yuchen; Jokisalo, Juha; Kosonen, Risto] Aalto Univ, Dept Mech Engn, Espoo, Finland; [Suhonen, Janne] Hemso Fastighets AB, Helsinki, Finland; [Verbeck, Moritz; Janssen, Philipp; Schaefers, Hans] Hamburg Univ Appl Sci, Dept Environm Engn, Hamburg, Germany; [Verbeck, Moritz; Janssen, Philipp; Schaefers, Hans] Competence Ctr Renewable Energy &amp; Energy Efficienc, Hamburg, Germany; [Ju, Yuchen; Jokisalo, Juha; Kosonen, Risto] TalTech, Smart City Ctr Excellence, Tallinn, Estonia; [Kosonen, Risto] Nanjing Tech Univ, Coll Urban Construct, Nanjing, Peoples R China</t>
  </si>
  <si>
    <t>Aalto University; Hochschule Angewandte Wissenschaft Hamburg; Nanjing Tech University</t>
  </si>
  <si>
    <t>Suhonen, J (corresponding author), Aalto Univ, Dept Mech Engn, Espoo, Finland.;Suhonen, J (corresponding author), Hemso Fastighets AB, Helsinki, Finland.</t>
  </si>
  <si>
    <t>janne.suhonen@aalto.fi</t>
  </si>
  <si>
    <t>Suhonen, Janne/0000-0002-3929-0266</t>
  </si>
  <si>
    <t>Business Finland; Caverion Ltd; Fourdeg Ltd; Halton Ltd; Aalto University; Federal Ministry for Economic Affairs and Energy of Germany; EnEff; Waearme SmartProHeaT: Smart Prosumer Heating Technologies [03ET1598]; European Union [856602]; Estonian government</t>
  </si>
  <si>
    <t>Business Finland; Caverion Ltd; Fourdeg Ltd; Halton Ltd; Aalto University; Federal Ministry for Economic Affairs and Energy of Germany; EnEff; Waearme SmartProHeaT: Smart Prosumer Heating Technologies; European Union(European Union (EU)); Estonian government</t>
  </si>
  <si>
    <t>This study is part of the Smart Pro HeaT - Smart Prosumer Heating Technologies and FINEST Twins projects. Smart Pro Heat project is funded by Business Finland and private companies Caverion Ltd., Fourdeg Ltd., Halton Ltd., and Aalto University as well as the Federal Ministry for Economic Affairs and Energy of Germany in the project; EnEff: Waearme SmartProHeaT: Smart Prosumer Heating Technologies, Subproject: Integration of smart prosumers into smart thermal grids (Project number: 03ET1598), executed by Hamburg University of Applied Sciences. FINEST Twins project is funded by European Union (Horizon 2020 programme, Grant No. 856602) and the Estonian government.</t>
  </si>
  <si>
    <t>10.1080/14786451.2023.2251601</t>
  </si>
  <si>
    <t>Q2HQ0</t>
  </si>
  <si>
    <t>WOS:001055782400001</t>
  </si>
  <si>
    <t>Abd-El-Salam, EM</t>
  </si>
  <si>
    <t>Abd-El-Salam, Eman Mohamed</t>
  </si>
  <si>
    <t>Exploring factors affecting Employee Loyalty through the relationship between Service Quality and Management Commitment a case study analysis in the iron and steel industry Al Ezz Dekheila Steel Company in Egypt</t>
  </si>
  <si>
    <t>Corporate Social Responsibility; service quality; working atmosphere; management commitment; employee loyalty; social exchange theory; resource-based theory; iron and steel industry; Egypt</t>
  </si>
  <si>
    <t>JOB-SATISFACTION; LEADERSHIP</t>
  </si>
  <si>
    <t>The purpose of this study is to discover factors affecting employee loyalty through the relationship between service quality and management commitment from the employees' perspective on the iron and steel industry, specifically in Al Ezz Dekheila Steel Company (EZDK) (a Middle East steel producer with a global reach) in Egypt. The author employed an inductive qualitative research approach through semi-structured interviews with 15 employees from different managerial levels (top, middle, and divisional) to achieve the study aim. All interviews were conducted in Arabic, the mother tongue of all respondents. Data were gathered personally by the researcher and statistically analyzed using thematic analysis to determine the main ideas of the transcripts. Based on the analysis of the interviews, the study has identified main themes, which refer to the important factors identified by employees of EZDK. Through these themes, the conceptual framework of factors affecting employee loyalty is developed. Five main themes are presented, where each theme consists of many codes. Themes and codes could be represented as follows; theme of Corporate Social Responsibility (Environmental Impact, Helping the Government, CSR Projects, and Reducing Energy Consumption), theme of Quality of Service Offered to Employees (Safety Climate, Service Recovery Performance, and Policies), theme of Working Atmosphere (Friendly, Supportive, Teamwork, Fair environment, and obstacles of CRM), theme of Management Commitment (Management support, Supervisor Support, and Transparency) and theme of Employee Loyalty (Employees Empowerment, Employees Satisfaction, Employees planning, and being a part of the company). This paper contributes by filling the gap in the business field in both marketing (service quality, internal marketing) and management (HR, CSR) in discovering the factors affecting employee loyalty from the employees' frame of reference, as it is considered as the first of its sort to develop a conceptual framework that explores the factors affecting employee loyalty in the iron and steel industry in the setting of one of the leading developing nations in Africa and the Middle East.</t>
  </si>
  <si>
    <t>[Abd-El-Salam, Eman Mohamed] Arab Acad Sci Technol &amp; Maritime Transport, Cairo, Egypt</t>
  </si>
  <si>
    <t>Egyptian Knowledge Bank (EKB); Arab Academy for Science, Technology &amp; Maritime Transport</t>
  </si>
  <si>
    <t>Abd-El-Salam, EM (corresponding author), Arab Acad Sci Technol &amp; Maritime Transport, Cairo, Egypt.</t>
  </si>
  <si>
    <t>ema6285@gmail.com</t>
  </si>
  <si>
    <t>DEC 12</t>
  </si>
  <si>
    <t>10.1080/23311975.2023.2212492</t>
  </si>
  <si>
    <t>G6JA1</t>
  </si>
  <si>
    <t>WOS:000990184600001</t>
  </si>
  <si>
    <t>Belay, HA; Hailu, FK; Sinshaw, GT</t>
  </si>
  <si>
    <t>Belay, Habtie Alemnew; Hailu, Fentaye Kassa; Sinshaw, Gedif Tessema</t>
  </si>
  <si>
    <t>Linking internal stakeholders' pressure and Corporate Social Responsibility (CSR) practices: The moderating role of organizational culture</t>
  </si>
  <si>
    <t>stakeholder theory; cultural theory; large manufacturing firms; aggregation procedure; Ethiopia; business and society</t>
  </si>
  <si>
    <t>STATISTICAL CONTROL; PERFORMANCE; BUSINESS; SALIENCE; VARIABLES; SOCIETY; RECOMMENDATIONS; OWNERSHIP; FRAMEWORK; SEARCH</t>
  </si>
  <si>
    <t>The central research question in the area of corporate social responsibility (CSR) has been Why do some businesses act responsibly, while others do not? To contribute to answering this fundamental question, the study aimed at empirically determining the influence of stakeholders, which is operationalized as stakeholder pressure, on stakeholder-oriented CSR practices. Because of its generic and versatile nature, this link has been posited as being moderated by organizational culture. For doing so, large manufacturing firms in the Amhara region of Ethiopia, with a sample size of 53, were the target units of analysis. Randomly chosen 473 employees rated the current CSR and organizational culture practices of the firms. Because it is mainly felt by managers, internal stakeholders' pressure has rather been judged by managers (sampled 253). Consequently, the aggregated process produced data at the organizational level. According to analysis using structural equation modeling, (1) internal stakeholders' pressure and organizational culture have both been identified as potential factors influencing CSR practices and (2) organizational culture has a moderating role in the relationship between internal stakeholders' pressure and CSR practices. Notwithstanding its limitations, the study has provided useful insights into both the theory and practice of CSR. Similar studies with tailored designs are encouraged for future research.</t>
  </si>
  <si>
    <t>[Belay, Habtie Alemnew; Hailu, Fentaye Kassa; Sinshaw, Gedif Tessema] Univ Gondar, Dept Management, Gondar, Ethiopia; [Belay, Habtie Alemnew] Univ Gondar, Dept Management, Gondar 196, Ethiopia</t>
  </si>
  <si>
    <t>University of Gondar; University of Gondar</t>
  </si>
  <si>
    <t>Belay, HA (corresponding author), Univ Gondar, Dept Management, Gondar 196, Ethiopia.</t>
  </si>
  <si>
    <t>habtiealemnew26@gmail.com</t>
  </si>
  <si>
    <t>10.1080/23311975.2023.2229099</t>
  </si>
  <si>
    <t>K5FC1</t>
  </si>
  <si>
    <t>WOS:001016685200001</t>
  </si>
  <si>
    <t>Chen, FY; Wang, YM; Chen, XY; Yang, N; Li, L</t>
  </si>
  <si>
    <t>Chen, Fangyuan; Wang, Yiman; Chen, Xinyi; Yang, Nan; Li, Li</t>
  </si>
  <si>
    <t>Targeting interleukin 4 and interleukin 13: a novel therapeutic approach in bullous pemphigoid</t>
  </si>
  <si>
    <t>Bullous pemphigoid; Th2 cells; interleukin-4; interleukin-13; dupilumab; monoclonal antibody therapy</t>
  </si>
  <si>
    <t>T FOLLICULAR HELPER; INNATE LYMPHOID-CELLS; ANTI-BP180 AUTOANTIBODIES; IGG4 AUTOANTIBODIES; CYTOPLASMIC DOMAINS; PERIPHERAL-BLOOD; PATHOGENIC ROLE; SERUM-LEVELS; HUMAN SKIN; IGE</t>
  </si>
  <si>
    <t>Aim: Bullous pemphigoid (BP) is an organ-specific autoimmune bullous disease characterized by autoantibodies that target the cellular adhesion molecules BP180 and BP230. Both immunoglobulin (Ig)G and IgE are involved in the induction of subepidermal blisters. Specifically, IgE autoantibodies are presumed to be responsible for the pruritic and erythematous features of BP. Histologically, eosinophil infiltration is a prominent feature in BP. Eosinophils and IgE are mostly associated with the Th2 immune response. Th2 cytokines, particularly interleukin (IL)-4 and IL-13, are presumed to contribute to the pathology of BP. The aim of this review is to discuss the role of IL-4/13 in the pathogenesis of BP and the potential of using IL-4/13 antagonists for treatment.Methods: After searching in PubMed and Web of Science databases using 'bullous pemphigoid', 'interleukin-4/13', and 'dupilumab' as keywords, studies related was compiled and examined.Results: Overall, IgE, eosinophils, IL-4, and IL-13 may interact with each other in the pathogenesis of BP; these potential interactions provide clues concerning targets for molecular treatment.Conclusion: Anti-IL-4/13 treatment has been experimentally used in patients with BP, with satisfactory outcomes and few side effects. However, before this novel therapy can be approved for regular usage, further studies are needed concerning the long-term safety and systemic usage of IL-4/13 monoclonal antibody treatment in BP. KEY MESSAGES BP is an autoimmune skin disease with Th2-mediated autoimmune response involvement. As typical Th2 cytokines, IL-4 and IL-13 may contribute to the pathogenesis of BP in multiple ways, such as promoting Th2 cell polarization, driving the immunoglobulin class switching, recruiting eosinophils and basophils, and inducing pruritus. As a promising therapeutic approach for BP, IL-4/13 antagonists have shown satisfactory outcomes in preliminary clinical studies.</t>
  </si>
  <si>
    <t>[Chen, Fangyuan; Wang, Yiman; Chen, Xinyi; Li, Li] Chinese Acad Med Sci &amp; Peking Union Med Coll, Peking Union Med Coll Hosp, Natl Clin Res Ctr Dermatol &amp; Immunol Dis, State Key Lab Complex Severe &amp; Rare Dis, Beijing, Peoples R China; [Yang, Nan] Chinese Acad Med Sci, Inst Basic Med Sci, Peking Union Med Coll, Dept Pharmacol, Beijing, Peoples R China; [Yang, Nan] Peking Union Med Coll, Sch Basic Med, Beijing, Peoples R China; [Li, Li] Peking Union Med Coll Hosp, Dept Dermatol, 1 Shuai Fu Yuan St, Beijing 100730, Peoples R China</t>
  </si>
  <si>
    <t>Chinese Academy of Medical Sciences - Peking Union Medical College; Peking Union Medical College; Peking Union Medical College Hospital; Chinese Academy of Medical Sciences - Peking Union Medical College; Peking Union Medical College; Chinese Academy of Medical Sciences - Peking Union Medical College; Peking Union Medical College; Chinese Academy of Medical Sciences - Peking Union Medical College; Peking Union Medical College Hospital</t>
  </si>
  <si>
    <t>Li, L (corresponding author), Peking Union Med Coll Hosp, Dept Dermatol, 1 Shuai Fu Yuan St, Beijing 100730, Peoples R China.</t>
  </si>
  <si>
    <t>lilipumch2007@sina.com</t>
  </si>
  <si>
    <t>10.1080/07853890.2023.2188487</t>
  </si>
  <si>
    <t>C3HR2</t>
  </si>
  <si>
    <t>WOS:000960871900001</t>
  </si>
  <si>
    <t>Chen, ZY; Lin, YM; Wu, JH; Fu, YY; Xu, XT; Li, Y; Chen, LH; Xu, LM</t>
  </si>
  <si>
    <t>Chen, Zhi-yuan; Lin, Yu-mei; Wu, Jian-hua; Fu, Yu-yu; Xu, Xiao-ting; Li, Yan; Chen, Li-hong; Xu, Li-ming</t>
  </si>
  <si>
    <t>Does the periportal end of a double-lumen endobronchial tube need to be fixed to prevent dislocation of the cuffed end caused by a change in position? A randomized controlled trial</t>
  </si>
  <si>
    <t>Intubation; dislocation; poor alignment; double-lumen endobronchial tube; one-lung ventilation</t>
  </si>
  <si>
    <t>ENDOTRACHEAL-TUBE; CERVICAL MOTION; HEAD; MOVEMENT; PRESSURE; EFFICACY; SAFETY</t>
  </si>
  <si>
    <t>Objective: This study aimed to evaluate the effects on the dislocation and misalignment of the cuffed end of a double-lumen endobronchial tube (DLT) when a patient moves from a horizontal to a lateral position without fixation.Methods: A total of 148 patients who had undergone video-assisted thoracoscope surgery were enrolled and randomly divided into two groups: a group in which the periportal end of the DLT was fixed with tape (group I; n = 74) and a group in which the periportal end of the DLT remained unfixed (group II; n = 74). Both groups were given an intravenous induction for double-lumen endobronchial intubation and then moved from a horizontal position to a lateral position, after which the alignment of the bronchial cuffed end of the DLT was assessed using a fiberoptic bronchoscope.Results: After lateral position, the dislocation rate of group I and group II was 44.6% and 20.2%, and the misalignment rate was 27.0% and 8.1%, respectively, the incidence of dislocation and misalignment was significantly lower in group II than in group I after the change to a lateral position (p &lt; 0.05). After lateral position, the total rate of airway injury was 25.7% in group I and 5.4% in group II, the incidence of airway injury was significantly lower in group II than in group I (p &lt; 0.05), as was the incidence of sore throat, hoarseness, and cough on postoperative day 1 (p &lt; 0.05). The average outward dislocation of the periportal end of the DLT in group II was 1.5 cm.Conclusion: A DLT without periportal fixation is less likely to be displaced and poorly aligned when the patient moves from a horizontal to a lateral position, which could facilitate intra-operative management and reduce the incidence of postoperative complications.</t>
  </si>
  <si>
    <t>[Chen, Zhi-yuan; Lin, Yu-mei; Wu, Jian-hua; Fu, Yu-yu; Xu, Xiao-ting; Li, Yan; Chen, Li-hong; Xu, Li-ming] Fujian Med Univ, Affiliated Hosp 2, Dept Anesthesiol, 950 Donghai St, Quanzhou 362000, Peoples R China</t>
  </si>
  <si>
    <t>Fujian Medical University</t>
  </si>
  <si>
    <t>Wu, JH; Xu, LM (corresponding author), Fujian Med Univ, Affiliated Hosp 2, Dept Anesthesiol, 950 Donghai St, Quanzhou 362000, Peoples R China.</t>
  </si>
  <si>
    <t>wujiamhua@126.com; xulimingdr63@outlook.com</t>
  </si>
  <si>
    <t>Quanzhou Science and Technology Plan Project [2020N032s]</t>
  </si>
  <si>
    <t>Quanzhou Science and Technology Plan Project</t>
  </si>
  <si>
    <t>This study was supported by Quanzhou Science and Technology Plan Project: 2020N032s. The funding source had no role in the design of the study, the collection, analysis and interpretation of data or in writing the manuscript.</t>
  </si>
  <si>
    <t>10.1080/07853890.2023.2247422</t>
  </si>
  <si>
    <t>P9PA2</t>
  </si>
  <si>
    <t>WOS:001053913900001</t>
  </si>
  <si>
    <t>Ganotice, FG; Shen, XA; Yuen, JKY; Chow, YMA; Wong, AMY; Chan, KMK; Zheng, BB; Chan, LD; Ng, PY; Leung, SC; Barrett, E; Chan, HYC; Chan, WN; Chan, KWS; Chan, SLP; Chan, SCS; Chan, EWY; Cheuk, YYJ; Choy, J; He, Q; Jen, JLN; Jin, JW; Khoo, US; Lam, HYA; Lam, MPS; Law, YW; Lee, JCY; Leung, FCY; Leung, A; Liu, RKW; Lou, VWQ; Luk, P; Ng, ZLH; Ng, AYM; Pun, MWM; See, MLM; Shen, JA; Szeto, GPY; Tam, EYT; Tso, WWY; Wang, N; Wang, RJ; Wong, JKT; Wong, JYH; Yuen, GWY; Tipoe, GL</t>
  </si>
  <si>
    <t>Ganotice Jr, Fraide A.; Shen, Xiaoai; Yuen, Jacqueline Kwan Yuk; Chow, Yin Man Amy; Wong, Anita M. Y.; Chan, Karen M. K.; Zheng, Binbin; Chan, Linda; Ng, Pauline Yeung; Leung, Siu Chung; Barrett, Elizabeth; Chan, Hoi Yan Celia; Chan, Wing Nga; Chan, Kit Wa Sherry; Chan, Siu Ling Polly; Chan, So Ching Sarah; Chan, Esther W. Y.; Cheuk, Yuet Ying Jessica; Choy, Jacky; He, Qing; Jen, Julienne; Jin, Jingwen; Khoo, Ui Soon; Lam, Ho Yan Angie; Lam, May P. S.; Law, Yik Wa; Lee, Jetty Chung Yung; Leung, Feona Chung Yin; Leung, Ann; Liu, Rebecca K. W.; Lou, Vivian Wei Qun; Luk, Pauline; Ng, Zoe Lai Han; Ng, Alina Yee Man; Pun, Maggie Wai Ming; See, Mary Lok Man; Shen, Jiangang; Szeto, Grace Pui Yuk; Tam, Eliza Y. T.; Tso, Winnie Wan Yee; Wang, Ning; Wang, Runjia; Wong, Janet Kit Ting; Wong, Janet Yuen Ha; Yuen, Grace Wai Yee; Tipoe, George Lim</t>
  </si>
  <si>
    <t>Students' interaction anxiety and social phobia in interprofessional education in Hong Kong: mapping a new research direction</t>
  </si>
  <si>
    <t>Construct validation; interprofessional education; social interaction anxiety</t>
  </si>
  <si>
    <t>SCALE SPS; FIT INDEXES; DISAFFECTION; IMPACT; SIAS; COMMUNICATION; EQUIVALENCE; VALIDATION; ENGAGEMENT; DISORDERS</t>
  </si>
  <si>
    <t>Background Interprofessional education (IPE) has been promoted as a breakthrough in healthcare because of the impact when professionals work as a team. However, despite its inception dating back to the 1960s, its science has taken a long time to advance. There is a need to theorize IPE to cultivate creative insights for a nuanced understanding of IPE. This study aims to propose a research agenda on social interaction by understanding the measurement scales used and guiding researchers to contribute to the discussion of social processes in IPE. Method This quantitative research was undertaken in a cross-institutional IPE involving 925 healthcare students (Medicine, Nursing, Social Work, Chinese Medicine, Pharmacy, Speech Language Pathology, Clinical Psychology, Food and Nutritional Science and Physiotherapy) from two institutions in Hong Kong. Participants completed the Social Interaction Anxiety Scale (SIAS-6) and Social Phobia Scale (SPS-6). We applied a construct validation approach: within-network and between-network validation. We performed confirmatory factors analysis, t-test, analysis of variance and regression analysis. Results CFA results indicated that current data fit the a priori model providing support to within-network validity [RMSEA=.08, NFI=.959, CFI=.965, IFI=.965, TLI=.955]. The criteria for acceptable fit were met. The scales were invariant between genders, across year levels and disciplines. Results indicated that social interaction anxiety and social phobia negatively predicted behavioural engagement (F = 25.093, p&lt;.001, R (2)=.065) and positively predicted behavioural disaffection (F = 22.169, p&lt;.001, R (2)=.057) to IPE, suggesting between-network validity. Conclusions Our data provided support for the validity of the scales when used among healthcare students in Hong Kong. SIAS-6 and SPS-6 have sound psychometric properties based on students' data in Hong Kong. We identified quantitative, qualitative and mixed methods research designs to guide researchers in getting involved in the discussion of students' social interactions in IPE. Key Messages The Social Anxiety Scale (SIAS-6) and Social Phobia Scale (SPS-6) scales have sound psychometric properties based on the large-scale healthcare students' data in IPE in Hong Kong. Social interaction anxiety and social phobia negatively predicted students' behavioural engagement with IPE and positively predicted behavioural disaffection. The scales are invariant in terms of gender, year level and discipline. Quantitative, qualitative and mixed methods studies are proposed to aid researchers to contribute in healthcare education literature using the SIAS-6 and SPS-6.</t>
  </si>
  <si>
    <t>[Ganotice Jr, Fraide A.; Shen, Xiaoai; Zheng, Binbin; Chan, Linda; Chan, So Ching Sarah; He, Qing; Liu, Rebecca K. W.; Luk, Pauline; Wang, Runjia; Tipoe, George Lim] Univ Hong Kong, Bau Inst Med &amp; Hlth Sci Educ, Hong Kong, Peoples R China; [Yuen, Jacqueline Kwan Yuk; Ng, Pauline Yeung] Univ Hong Kong, Dept Med, Hong Kong, Peoples R China; [Chow, Yin Man Amy; Chan, Hoi Yan Celia; Choy, Jacky; Law, Yik Wa; Lou, Vivian Wei Qun] Univ Hong Kong, Dept Social Work, Social Adm, Hong Kong, Peoples R China; [Wong, Anita M. Y.; Chan, Karen M. K.; Barrett, Elizabeth] Univ Hong Kong, Fac Educ, Hong Kong, Peoples R China; [Leung, Siu Chung] Univ Hong Kong, Emergency Med Unit, Hong Kong, Peoples R China; [Chan, Wing Nga] Hong Kong Metropolitan Univ, Sch Nursing &amp; Hlth Studies, Hong Kong, Peoples R China; [Chan, Kit Wa Sherry] Univ Hong Kong, Dept Psychiat, Hong Kong, Peoples R China; [Chan, Siu Ling Polly; Cheuk, Yuet Ying Jessica; Lam, Ho Yan Angie; Ng, Zoe Lai Han; Ng, Alina Yee Man; Pun, Maggie Wai Ming; See, Mary Lok Man; Wong, Janet Yuen Ha; Yuen, Grace Wai Yee] Univ Hong Kong, Sch Nursing, Hong Kong, Peoples R China; [Chan, Esther W. Y.; Lam, May P. S.; Leung, Ann; Tam, Eliza Y. T.; Wong, Janet Kit Ting] Univ Hong Kong, Dept Pharmacol &amp; Pharm, Hong Kong, Peoples R China; [Jen, Julienne] Univ Hong Kong, Dept Profess Legal Educ, Hong Kong, Peoples R China; [Jin, Jingwen] Univ Hong Kong, Dept Psychol, Hong Kong, Peoples R China; [Khoo, Ui Soon] Univ Hong Kong, Dept Pathol, Hong Kong, Peoples R China; [Lee, Jetty Chung Yung] Univ Hong Kong, Fac Sci, Hong Kong, Peoples R China; [Leung, Feona Chung Yin; Shen, Jiangang; Wang, Ning] Univ Hong Kong, Sch Chinese Med, Hong Kong, Peoples R China; [Szeto, Grace Pui Yuk] Tung Wah Coll, Sch Med &amp; Hlth Sci, Hong Kong, Peoples R China; [Tso, Winnie Wan Yee] Univ Hong Kong, Dept Paediat &amp; Adolescent Med, Hong Kong, Peoples R China; [Ganotice Jr, Fraide A.] Univ Hong Kong, Li Ka shing Fac Med, A5-15, 5-f, William MW Mong Block, 21 sassoon Rd,, Hong Kong, Peoples R China; [Tipoe, George Lim] Univ Hong Kong, Li Ka shing Fac Med, Rm l4-51, 4-f,Lab Block, 21 sassoon Rd, Hong Kong, Peoples R China</t>
  </si>
  <si>
    <t>University of Hong Kong; University of Hong Kong; University of Hong Kong; University of Hong Kong; University of Hong Kong; Hong Kong Metropolitan University; University of Hong Kong; University of Hong Kong; University of Hong Kong; University of Hong Kong; University of Hong Kong; University of Hong Kong; University of Hong Kong; University of Hong Kong; University of Hong Kong; University of Hong Kong; University of Hong Kong</t>
  </si>
  <si>
    <t>Ganotice, FG (corresponding author), Univ Hong Kong, Li Ka shing Fac Med, A5-15, 5-f, William MW Mong Block, 21 sassoon Rd,, Hong Kong, Peoples R China.;Tipoe, GL (corresponding author), Univ Hong Kong, Li Ka shing Fac Med, Rm l4-51, 4-f,Lab Block, 21 sassoon Rd, Hong Kong, Peoples R China.</t>
  </si>
  <si>
    <t>tgeorge@hku.hk</t>
  </si>
  <si>
    <t>Lee, Jetty Chung-Yung/E-1475-2011; Leung, Siu Chung/L-7635-2015</t>
  </si>
  <si>
    <t>Lee, Jetty Chung-Yung/0000-0002-8175-7069; He, Qing (Helen)/0000-0003-4260-7997; Chan, Linda/0000-0002-9802-5059; Chan, Karen M.K./0000-0002-7114-5739; Ganotice, Fraide Jr/0000-0003-3139-9926; Leung, Siu Chung/0000-0003-0169-9899</t>
  </si>
  <si>
    <t>10.1080/07853890.2023.2210842</t>
  </si>
  <si>
    <t>F8ZH8</t>
  </si>
  <si>
    <t>WOS:000985169900001</t>
  </si>
  <si>
    <t>Liu, WY; Jiesisibieke, ZL; Chien, CW; Tung, TH</t>
  </si>
  <si>
    <t>Liu, Wen-Yi; Jiesisibieke, Zhu Liduzi; Chien, Ching-Wen; Tung, Tao-Hsin</t>
  </si>
  <si>
    <t>Association between COVID-19 and sexual health: an umbrella review</t>
  </si>
  <si>
    <t>Covid-19; sexual health; umbrella review</t>
  </si>
  <si>
    <t>SYSTEMATIC REVIEWS; COMPREHENSIVE EVALUATION; COGNITIVE IMPAIRMENT; ERECTILE FUNCTION; DYSFUNCTION; DISEASE; QUALITY; AMSTAR; MEN; CORONAVIRUS</t>
  </si>
  <si>
    <t>Purpose We conducted this umbrella review to review the current evidence on the relationship between COVID-19 and sexual health in both men and women.Methods We conducted searches in Pubmed, Embase, and the Cochrane dataset for meta-analyses that met our pre-set inclusion criteria. We included studies with detailed information investigating the link between COVID-19 and sexual health in men/women. We did not limit the language.Results The results of the included studies frequently relied on the Female Sexual Function Index to assess sexual health in women. For men, the International Index of Male Function and hospital diagnoses were commonly used to assess sexual health. Currently, there is conflicting evidence regarding the impact of COVID-19 on sexual health. However, since most studies were observational in nature, additional study designs are necessary to draw definitive conclusions across different contexts.Conclusion Our findings highlight the importance of sexual health among COVID-19 patients and people affected due to COVID-19. Further critical studies should investigate the mechanism underlying the association between COVID-19 and sexual health.</t>
  </si>
  <si>
    <t>[Liu, Wen-Yi; Jiesisibieke, Zhu Liduzi; Tung, Tao-Hsin] Wenzhou Med Univ, Taizhou Hosp Zhejiang Prov, Evidence Based Med Ctr, Linhai, Zhejiang, Peoples R China; [Liu, Wen-Yi] Johns Hopkins Univ, Bloomberg Sch Publ Hlth, Dept Hlth Policy &amp; Management, Baltimore, MD USA; [Liu, Wen-Yi] Shanghai Bluecross Med Sci Inst, Shanghai, Peoples R China; [Liu, Wen-Yi] Shanghai Int Med Ctr, Shanghai, Peoples R China; [Liu, Wen-Yi; Chien, Ching-Wen] Tsing Hua Univ, Inst Hosp Management, Shenzhen, Peoples R China; [Jiesisibieke, Zhu Liduzi] Univ Hong Kong, Li Ka Shing Fac Med, Sch Publ Hlth, Hong Kong, Peoples R China; [Tung, Tao-Hsin] Wenzhou Med Univ, Dept Urol, Taizhou Hosp Zhejiang Prov, Enze Hosp,Taizhou Enze Med Ctr Grp,Affilitated Han, Taizhou, Zhejiang, Peoples R China; [Tung, Tao-Hsin] Key Lab Evidence Based Radiol Taizhou, Linhai, Zhejiang, Peoples R China</t>
  </si>
  <si>
    <t>Wenzhou Medical University; Johns Hopkins University; Johns Hopkins Bloomberg School of Public Health; Tsinghua University; University of Hong Kong; Wenzhou Medical University</t>
  </si>
  <si>
    <t>Tung, TH (corresponding author), Wenzhou Med Univ, Taizhou Hosp Zhejiang Prov, Evidence Based Med Ctr, Linhai, Zhejiang, Peoples R China.;Chien, CW (corresponding author), Tsing Hua Univ, Inst Hosp Management, Shenzhen, Peoples R China.;Tung, TH (corresponding author), Wenzhou Med Univ, Dept Urol, Taizhou Hosp Zhejiang Prov, Enze Hosp,Taizhou Enze Med Ctr Grp,Affilitated Han, Taizhou, Zhejiang, Peoples R China.;Tung, TH (corresponding author), Key Lab Evidence Based Radiol Taizhou, Linhai, Zhejiang, Peoples R China.</t>
  </si>
  <si>
    <t>ihhca@sz.tsinghua.edu.cn; ch2876@gmail.com</t>
  </si>
  <si>
    <t>national natural Science Foundation of China; [72374157]</t>
  </si>
  <si>
    <t>national natural Science Foundation of China(National Natural Science Foundation of China (NSFC));</t>
  </si>
  <si>
    <t>This study was partly supported by national natural Science Foundation of China [ID: 72374157].</t>
  </si>
  <si>
    <t>10.1080/07853890.2023.2258902</t>
  </si>
  <si>
    <t>S2AE2</t>
  </si>
  <si>
    <t>WOS:001069239900001</t>
  </si>
  <si>
    <t>Makona, A; Elias, R; Makuya, V; Changalima, IA</t>
  </si>
  <si>
    <t>Makona, Athuman; Elias, Ruth; Makuya, Victoria; Changalima, Ismail Abdi</t>
  </si>
  <si>
    <t>Does innovation ambidexterity influence restaurant economic performance in the post-COVID-19 era? The mediating effect of customer orientation</t>
  </si>
  <si>
    <t>Innovation ambidexterity; Exploitative innovation; Exploratory innovation; Customer orientation; Restaurant economic performance; Restaurant businesses; Post-COVID-19; &gt;</t>
  </si>
  <si>
    <t>EXPLOITATIVE INNOVATION; COVID-19; ROLES; ENTREPRENEURS; IMPACTS</t>
  </si>
  <si>
    <t>In the restaurant industry, innovation ambidexterity entails the organization's ability to successfully manage and blend exploratory and exploitative innovation endeavors with the goal of improving restaurant processes, products, or services. The current study investigates the direct and indirect effects of innovation ambidexterity on the economic performance of restaurant businesses in Tanzania after Coronavirus disease (COVID-19). Thus, the study examined the effect of exploitative and exploratory innovation on restaurant economic performance, as well as the mediating effect of customer orientation on the relationship between innovation ambidexterity and restaurant economic performance. The study collected data from 169 randomly selected restaurant managers in Dodoma, Tanzania, and analyzed it using partial least squares structural equation modelling. The findings unveiled that innovation ambidexterity (exploitative and exploratory innovation) has a direct impact on restaurant economic performance. Furthermore, customer orientation was discovered to be a significant mediator of the relationship between innovation ambidexterity and restaurant economic performance. Based on the main findings, restaurants in the post-COVID-19 era should promote innovation and customer-centricity. This is because a workplace that values innovation can inspire creative thinking and new ideas. Also, customer-centricity is critical for understanding and meeting the changing needs of customers.</t>
  </si>
  <si>
    <t>[Changalima, Ismail Abdi] Univ Dodoma, Dept Business Adm &amp; Management, Dodoma 1208, Tanzania; [Makona, Athuman; Elias, Ruth; Makuya, Victoria; Changalima, Ismail Abdi] Univ Dodoma, Dept Business Adm &amp; Management, Dodoma, Tanzania</t>
  </si>
  <si>
    <t>Changalima, IA (corresponding author), Univ Dodoma, Dept Business Adm &amp; Management, Dodoma 1208, Tanzania.</t>
  </si>
  <si>
    <t>changalima@gmail.com</t>
  </si>
  <si>
    <t>Changalima, Ismail Abdi/GVT-5747-2022</t>
  </si>
  <si>
    <t>Changalima, Ismail Abdi/0000-0002-6216-0558</t>
  </si>
  <si>
    <t>10.1080/23311975.2023.2242164</t>
  </si>
  <si>
    <t>O0DU2</t>
  </si>
  <si>
    <t>WOS:001040619700001</t>
  </si>
  <si>
    <t>Nguyen, HA; Dang, TTG</t>
  </si>
  <si>
    <t>Nguyen, Huu Anh; Dang, Thi Tra Giang</t>
  </si>
  <si>
    <t>Accounting reform and value relevance of financial reporting from non-financial listed firms on the Vietnam stock market</t>
  </si>
  <si>
    <t>Price model; value relevance; accounting standard; emerging market; stock price</t>
  </si>
  <si>
    <t>INFORMATION; EARNINGS; IFRS</t>
  </si>
  <si>
    <t>The research questions that are solved in this paper are as follows: (1) how the value relevance of accounting information evolved from a developing country perspective and (2) how the accounting reform impacts on value relevance. This study aims to assess the value relevance of accounting information released by non-financial firms listed on the Vietnam stock exchange for the period of 2010-2020. Our paper will contribute more supportive empirical evidence about the usefulness of value relevance research through doing research in Vietnam as a developing country, where experiences switching from a planned economy to an open economy and the regulations change continuously. We provide useful literature overview and important implications for both equity investors and standard setters. Based on usefulness information theory and asymmetric information theory, research hypotheses are designed. The study then uses the Ohlson price model to test these hypotheses. In the model, the explanatory variables, namely, book value per share, earnings per share, and share prices as independent variable, are examined; panel corrected standard error estimator (PCSE) is applied. The findings reveal that both earnings and book value of equity exhibit a positive and significant effect on stock prices. Earnings explain the higher variation in stock market values on the Vietnam Stock Exchange compared to book value of equity. The study, however, finds a decreasing trend in the change of the value relevance over the period 2010-2020 and accounting reforms in 2014 did not improve the value relevance.</t>
  </si>
  <si>
    <t>[Nguyen, Huu Anh; Dang, Thi Tra Giang] Natl Econ Univ, Sch Accounting &amp; Auditing, Hanoi, Vietnam; [Dang, Thi Tra Giang] Natl Econ Univ, 207 Giai Phong St, Hanoi, Vietnam</t>
  </si>
  <si>
    <t>National Economics University - Vietnam; National Economics University - Vietnam</t>
  </si>
  <si>
    <t>Dang, TTG (corresponding author), Natl Econ Univ, 207 Giai Phong St, Hanoi, Vietnam.</t>
  </si>
  <si>
    <t>giangdt@neu.edu.vn</t>
  </si>
  <si>
    <t>10.1080/23311975.2023.2220193</t>
  </si>
  <si>
    <t>I6BB9</t>
  </si>
  <si>
    <t>WOS:001003605600001</t>
  </si>
  <si>
    <t>Ofori, J; Boateng, F; Atiku, SO</t>
  </si>
  <si>
    <t>Ofori, Justice; Boateng, Frank; Atiku, Sulaiman Olusegun.</t>
  </si>
  <si>
    <t>Supply-side factors and uptake of insurance products among Ghanaian households</t>
  </si>
  <si>
    <t>Customer education; customer service; insurance product design; market positioning; product cost</t>
  </si>
  <si>
    <t>RISK; ADOPTION; FACILITIES; DECISION; FARMERS; MODELS; MARKET</t>
  </si>
  <si>
    <t>This study examines the influence of supply-side factors on uptake of insurance, as well the moderating effect of sales agent effectiveness on the interactions. A survey research design was adopted following a quantitative approach. The target population of this study comprised Ghanaian households of income earning groups (earning less than US$190; earning between US$191 and US$1,000; as well as earning US$1,000). Using a cross-sectional survey, a structured questionnaire was administered to 520 households that participated in the survey following a convenience sampling technique in line with the ethical considerations in social science research. The formulated hypotheses were tested using hierarchical regression analyses for the direct and moderating relationships. The results show that three supply-side factors influencing insurance uptake are insurance product design, customer service, and market positioning. The relationships between insurance product design, customer service, market positioning, and insurance uptake become stronger with higher levels of sales agent effectiveness. The implications for practice point to the need for a concerted effort on development of insurance products across the income brackets, offering insurance product cost suitable for each income group and providing adequate awareness to enhance uptake of insurance products.</t>
  </si>
  <si>
    <t>[Ofori, Justice; Boateng, Frank] Natl Insurance Commiss, Accra, Ghana; [Boateng, Frank] Univ Mines &amp; Technol, Fac Integrated Management Sci, Dept Management Studies, Tarkwa, Ghana; [Atiku, Sulaiman Olusegun.] Walter Sisulu Univ, Dept Econ &amp; Business Sci, Mthatha, South Africa; [Atiku, Sulaiman Olusegun.] Namibia Univ Sci &amp; Technol, Harold Pupkewitz Grad Sch Business, Windhoek, Namibia</t>
  </si>
  <si>
    <t>Walter Sisulu University; Namibia University of Science &amp; Technology</t>
  </si>
  <si>
    <t>Boateng, F (corresponding author), Natl Insurance Commiss, Accra, Ghana.</t>
  </si>
  <si>
    <t>fboateng@umat.edu.gh</t>
  </si>
  <si>
    <t>Boateng, Frank/0000-0002-6347-4997; Atiku, Sulaiman Olusegun/0000-0001-9364-3774</t>
  </si>
  <si>
    <t>10.1080/23311975.2023.2217641</t>
  </si>
  <si>
    <t>J1VB6</t>
  </si>
  <si>
    <t>WOS:001007547200001</t>
  </si>
  <si>
    <t>Özkan, E; Senel, E; Bereket, MC; Önger, ME</t>
  </si>
  <si>
    <t>Ozkan, Enes; Senel, Erman; Bereket, Mehmet Cihan; Onger, Mehmet Emin</t>
  </si>
  <si>
    <t>The effect of shock waves on mineralization and regeneration of distraction zone in osteoporotic rabbits</t>
  </si>
  <si>
    <t>Distraction osteogenesis; dual-energy x-ray absorptiometry; extracorporeal shock wave therapy; osteoporosis; stereology</t>
  </si>
  <si>
    <t>EXTRACORPOREAL SHOCKWAVE; OSTEOGENESIS; FRACTURE; THERAPY; CONSOLIDATION; RISK</t>
  </si>
  <si>
    <t>Objective Osteoporotic individuals suffer from various complications such as spontaneous bone fractures due to decreased bone strength and failure in bone healing as a result of decreased bone mineral density and deterioration of bone microstructure. In this study, the effects of Extracorporeal Shock Wave Therapy (ESWT) in a distraction osteogenesis model in osteoporotic rabbits were investigated to prevent these failures and improve bone microstructure. Material and Methods A total of 28 female New Zealand rabbits underwent mandibular distraction osteogenesis and were divided into four groups: non-ovariectomized control (Cont), ovariectomized control (O-Cont), ovariectomized ESWT1 (O-ESWT1) and ovariectomized ESWT2 (O-ESWT2). ESWT was only applied to the ESWT2 group before the osteotomy, and to both the ESWT1 and ESWT2 groups after the osteotomy. Dual-energy x-ray absorptiometry was used to determine bone mineral density on both the 7th and 28th day of the consolidation. Stereological methods were used to identify new bone formation, connective tissue and neoangiogenesis volume. Results According to the dual-energy x-ray absorptiometry examination both at the 7th and 28th day of the consolidation, lower bone mineral density was seen in the ESWT groups. However, the stereological examination showed that shock wave therapy significantly increased new bone formation both ESWT1 and ESWT2 compared with O-Cont, significantly increased neoangiogenesis in O-ESWT1 compared with O-Cont. Conclusions The application of ESWT in these parameters after osteotomy was beneficial for bone regeneration in mandibular distraction in osteoporotics. However, ESWT has been shown to be ineffective in improving bone mineral density. KEY MESSAGES The osteoporotic model can be successfully established in rabbits and the subjects can tolerate the distraction procedures. Stereology is a useful analysis method that can determine the volume of the new bone formation and neoangiogenesis. Extracorporeal shock wave therapy has biostimulatory effects on bone tissue.</t>
  </si>
  <si>
    <t>[Ozkan, Enes] Istanbul Medeniyet Univ, Fac Dent, Dept Oral &amp; Maxillofacial Surg, Istanbul, Turkiye; [Senel, Erman] Modern Oral &amp; Dent Hlth Ctr, Dept Oral &amp; Maxillofacial Surg, Kocaeli, Turkiye; [Bereket, Mehmet Cihan] Ondokuz Mayis Univ, Fac Dent, Dept Oral &amp; Maxillofacial Surg, Samsun, Turkiye; [Onger, Mehmet Emin] Ondokuz Mayis Univ, Fac Med, Dept Histol &amp; Embryol, Samsun, Turkiye</t>
  </si>
  <si>
    <t>Istanbul Medeniyet University; Ondokuz Mayis University; Ondokuz Mayis University</t>
  </si>
  <si>
    <t>Özkan, E (corresponding author), Istanbul Medeniyet Univ, Fac Dent, Dept Oral &amp; Maxillofacial Surg, Hekimligi Fak, Fatih Mah Eski Ankara Asfalti Cad 28, Istanbul, Turkiye.</t>
  </si>
  <si>
    <t>drenesozkan@gmail.com</t>
  </si>
  <si>
    <t>OZKAN, ENES/0000-0002-8182-9042</t>
  </si>
  <si>
    <t>Project Management Office Coordinatorship of Ondokuz Mayis University [PYO.DIS.1904.12.007]</t>
  </si>
  <si>
    <t>Project Management Office Coordinatorship of Ondokuz Mayis University(Ondokuz Mayis University)</t>
  </si>
  <si>
    <t>This experimental study was supported by Project Management Office Coordinatorship of Ondokuz Mayis University with PYO.DIS.1904.12.007 project code.</t>
  </si>
  <si>
    <t>10.1080/07853890.2023.2192958</t>
  </si>
  <si>
    <t>C3OQ0</t>
  </si>
  <si>
    <t>WOS:000961052900001</t>
  </si>
  <si>
    <t>Yan, W; Bai, RH; Zheng, QQ; Yang, XA; Shi, YA; Yang, RZ; Jiang, CJ; Wang, X; Li, XA</t>
  </si>
  <si>
    <t>Yan, Wu; Bai, Ruhai; Zheng, Qingqing; Yang, Xiaona; Shi, Yanan; Yang, Ruizhe; Jiang, Chenjun; Wang, Xu; Li, Xiaonan</t>
  </si>
  <si>
    <t>Concentrations and association between exposure to mixed perfluoroalkyl and polyfluoroalkyl substances and glycometabolism among adolescents</t>
  </si>
  <si>
    <t>PFASs; glycometabolism; NHANES; adolescents; mixed exposure</t>
  </si>
  <si>
    <t>ACTIVATED-RECEPTOR-ALPHA; PERFLUOROOCTANOIC ACID; GLUCOSE-HOMEOSTASIS; METABOLIC SYNDROME; CHEMICAL-MIXTURES; FATTY-ACIDS; SERUM; CHILDREN; MOUSE; PFOS</t>
  </si>
  <si>
    <t>Background Perfluoroalkyl and polyfluoroalkyl substances (PFASs) are widely used for industrial and commercial purposes and have received increasing attention due to their adverse effects on health. Objective To examine the relationship of serum PFAS and glycometabolism among adolescents based on the US National Health and Nutrition Examination Survey. Methods General linear regression models were applied to estimate the relationship between exposure to single PFAS and glycometabolism. Weighted quantile sum (WQS) regression models and Bayesian kernel machine regressions (BKMR) were used to assess the associations between multiple PFASs mixture exposure and glycometabolism. Results A total of 757 adolescents were enrolled. Multivariable regression model showed that Me-PFOSA-AcOH exposure was negatively associated with fasting blood glucose. WQS index showed that there was marginal negative correlation between multiple PFASs joint exposure and the homeostasis model of assessment for insulin resistance index (HOMA-IR) (&amp; beta; = -0.26, p &lt; .068), and PFHxS had the largest weight. BKMR models showed that PFASs mixture exposure were associated with decreased INS and HOMA-IR, and the exposure-response relationship had curvilinear shape. Conclusions The increase in serum PFASs were associated with a decrease in HOMA-IR among adolescents. Mixed exposure models could more accurately and effectively reveal true exposure. Key Messages The detection rates of different PFAS contents in adolescent serum remained diverse. Adolescent serum PFASs had negative curvilinear correlation with INS and HOMA-IR levels. PFHxS had the highest weight in the associations between multiple PFASs and adolescent glycometabolism.</t>
  </si>
  <si>
    <t>[Yan, Wu; Zheng, Qingqing; Shi, Yanan; Li, Xiaonan] Childrens Hosp Nanjing Med Univ, Dept Children Hlth Care, Nanjing, Peoples R China; [Bai, Ruhai] Nanjing Univ Sci &amp; Technol, Sch Publ Affairs, Nanjing, Peoples R China; [Yang, Xiaona] Nanjing Med Univ, Sch Publ Hlth, State Key Lab Reprod Med, Nanjing, Peoples R China; [Yang, Ruizhe] Childrens Hosp Nanjing Med Univ, Dept Prevent &amp; Hlth Care, Nanjing, Peoples R China; [Jiang, Chenjun] Univ Auckland, Dept Phys, Auckland, New Zealand; [Wang, Xu] Nanjing Med Univ, Dept Endocrinol, Childrens Hosp, Nanjing, Peoples R China; [Li, Xiaonan] Nanjing Med Univ, Inst Pediat Res, Nanjing, Peoples R China</t>
  </si>
  <si>
    <t>Nanjing Medical University; Nanjing University of Science &amp; Technology; Nanjing Medical University; Nanjing Medical University; University of Auckland; Nanjing Medical University; Nanjing Medical University</t>
  </si>
  <si>
    <t>Li, XA (corresponding author), Childrens Hosp Nanjing Med Univ, Dept Children Hlth Care, Nanjing, Peoples R China.;Wang, X (corresponding author), Nanjing Med Univ, Dept Endocrinol, Childrens Hosp, Nanjing, Peoples R China.</t>
  </si>
  <si>
    <t>sepnine@njmu.edu.cn; xiaonan6189@163.com</t>
  </si>
  <si>
    <t>National Natural Science Foundation of China [81773421]; Jiangsu Funding Program for Excellent Postdoctoral Talent [2022ZB800]; Nanjing Medical Science and Technology Development Key Project [ZKX21043]; China Postdoctoral Science Foundation [2022M721683]</t>
  </si>
  <si>
    <t>National Natural Science Foundation of China(National Natural Science Foundation of China (NSFC)); Jiangsu Funding Program for Excellent Postdoctoral Talent; Nanjing Medical Science and Technology Development Key Project; China Postdoctoral Science Foundation(China Postdoctoral Science Foundation)</t>
  </si>
  <si>
    <t>This work was supported by the National Natural Science Foundation of China (81773421), Jiangsu Funding Program for Excellent Postdoctoral Talent (2022ZB800), Nanjing Medical Science and Technology Development Key Project (ZKX21043) and China Postdoctoral Science Foundation (2022M721683).</t>
  </si>
  <si>
    <t>10.1080/07853890.2023.2227844</t>
  </si>
  <si>
    <t>K0EC7</t>
  </si>
  <si>
    <t>WOS:001013256800001</t>
  </si>
  <si>
    <t>Zahara, Z; Ikhsan; Santi, IN; Farid</t>
  </si>
  <si>
    <t>Zahara, Zakiyah; Ikhsan; Santi, Ira Nuriya; Farid</t>
  </si>
  <si>
    <t>Entrepreneurial marketing and marketing performance through digital marketing capabilities of SMEs in post-pandemic recovery</t>
  </si>
  <si>
    <t>Entrepreneurial marketing; digital marketing capabilities; marketing performance; SMEs</t>
  </si>
  <si>
    <t>DYNAMIC CAPABILITIES; FIRMS; DIMENSIONS; MANAGEMENT; STRATEGY</t>
  </si>
  <si>
    <t>The use of digital resources through digital marketing is an option to be able to reach customers, build interactions with customers in real time and finally achieve customer satisfaction. This research intends to determine the influence of entrepreneurial marketing through digital marketing capabilities on marketing performance in Palu, Indonesia. The population in the study amounted to 21,696 with a total number of samples of 197 SMEs obtained with the Yamane and Isaac formula. The sampling technique in this study went through two stages, namely the Area Sampling Technique and then the Stratified Random Sampling Technique. Hypothesis testing used was path analysis with Smart-PLS software. The results showed that entrepreneurial marketing have positive and significant effects on digital marketing capabilities and on marketing performance. Furthermore, digital marketing capabilities have a positive and significant effect on marketing performance. However, digital marketing is less likely to mediate the relationship between entrepreneurial marketing and marketing performance. As practical implications, SMEs should continue to improve their capabilities and sharpen the implementation of entrepreneurial marketing strategies, in order to utilize their resources to find opportunities and create added value for customers, in order to continue to achieve marketing performance in a sustainable manner.</t>
  </si>
  <si>
    <t>[Zahara, Zakiyah; Santi, Ira Nuriya; Farid] Univ Tadulako, Fac Econ &amp; Business, Dept Management, Palu, Indonesia; [Ikhsan] Univ Tadulako, Doctoral Program Econ, Palu, Indonesia; [Zahara, Zakiyah] Univ Tadulako, Fac Econ &amp; Business, Jl Soekarno Hatta Km 9, Palu 94148, Sulawesi Tengah, Indonesia</t>
  </si>
  <si>
    <t>Universitas Tadulako; Universitas Tadulako; Universitas Tadulako</t>
  </si>
  <si>
    <t>Zahara, Z (corresponding author), Univ Tadulako, Fac Econ &amp; Business, Jl Soekarno Hatta Km 9, Palu 94148, Sulawesi Tengah, Indonesia.</t>
  </si>
  <si>
    <t>zzahara.untad@gmail.com</t>
  </si>
  <si>
    <t>10.1080/23311975.2023.2204592</t>
  </si>
  <si>
    <t>F3FS5</t>
  </si>
  <si>
    <t>WOS:000981242700001</t>
  </si>
  <si>
    <t>Amukune, S; Jozsa, K</t>
  </si>
  <si>
    <t>Amukune, Stephen; Jozsa, Krisztian</t>
  </si>
  <si>
    <t>Comparing Kenya and Hungary preschool to school transitions within the theoretical perspectives of transition</t>
  </si>
  <si>
    <t>Boyle's framework; comparative analysis; preschool to school transition; school readiness; preschool education</t>
  </si>
  <si>
    <t>READINESS; KINDERGARTEN; ENGLAND; CHILD</t>
  </si>
  <si>
    <t>Despite progress in enrolment in most countries, preschoolers still face challenges before joining grade one prompting a critical understanding of child experiences during the preschool-to-school transition. This paper compares preschool-to-school transition characteristics in Kenya and Hungary based on six recurrent concepts in the theories of preschool-to-school transition: relationships, pedagogy, readiness, transition activities, power, and policy proposed by Boyle and colleagues in 2018. We followed narrative research to review the literature published in Google Scholar, ERIC, APA Info, Scopus, Science Direct, and Web of Science Databases from 2000 to 2022 based on the six themes. Despite the heavy emphasis on reducing the risk, the children undergo during the transition to school, there is more focus on the child than other stakeholders in preschool to school transition; family, peers, and community. Further, there is more discontinuity regarding relationships, pedagogy, readiness, and transition activities in Kenya than in Hungary. Therefore, children in Kenya, face more risks than in Hungary during the transition to school.</t>
  </si>
  <si>
    <t>[Amukune, Stephen] Pwani Univ, Sch Educ, Kilifi, Kenya; [Amukune, Stephen] MTA MATE Early Childhood Res Grp, Kaposvar, Hungary; [Jozsa, Krisztian] Univ Szeged, Inst Educ, Szeged, Hungary; [Jozsa, Krisztian] Hungarian Univ Agr &amp; Life Sci, Inst Educ, Kaposvar, Hungary; [Jozsa, Krisztian] Univ Szeged, Inst Educ, 30-34 Petofi Rd, H-6722 Szeged, Hungary</t>
  </si>
  <si>
    <t>Pwani University; Szeged University; Hungarian University of Agriculture &amp; Life Sciences; Szeged University</t>
  </si>
  <si>
    <t>Jozsa, K (corresponding author), Hungarian Univ Agr &amp; Life Sci, Inst Educ, Kaposvar, Hungary.;Jozsa, K (corresponding author), Univ Szeged, Inst Educ, 30-34 Petofi Rd, H-6722 Szeged, Hungary.</t>
  </si>
  <si>
    <t>jozsa@sol.cc.u-szeged.hu</t>
  </si>
  <si>
    <t>Józsa, Krisztián/HOA-9640-2023</t>
  </si>
  <si>
    <t>Józsa, Krisztián/0000-0001-7174-5067</t>
  </si>
  <si>
    <t>Scientific Foundations of Education Research Program-Hungarian Academy of Sciences; ICT and Societal Challenges Competence Centre of the Humanities and Social Sciences Cluster of the Centre of Excellence for Interdisciplinary Research; Development and Innovation of the University of Szeged</t>
  </si>
  <si>
    <t>The work was supported by the Scientific Foundations of Education Research Program-Hungarian Academy of Sciences; ICT and Societal Challenges Competence Centre of the Humanities and Social Sciences Cluster of the Centre of Excellence for Interdisciplinary Research, Development and Innovation of the University of Szeged.</t>
  </si>
  <si>
    <t>DEC 11</t>
  </si>
  <si>
    <t>10.1080/2331186X.2023.2248843</t>
  </si>
  <si>
    <t>Q5ML7</t>
  </si>
  <si>
    <t>WOS:001057961600001</t>
  </si>
  <si>
    <t>Mapunda, M; Kira, AR; Ngomuo, S</t>
  </si>
  <si>
    <t>Mapunda, Magreth; Kira, Alex Reuben; Ngomuo, Sarah</t>
  </si>
  <si>
    <t>Does service sector growth influence tax revenue in Tanzania?</t>
  </si>
  <si>
    <t>ARDL; Sector; Service; Revenue; Tanzania; Tax</t>
  </si>
  <si>
    <t>INCOME</t>
  </si>
  <si>
    <t>The study of the influence of service sector expansion on tax revenue is critical, but it has received little attention. The majority of the studies focused on how the service sector affects economic growth. This study aims to investigate how Tanzania's expanding service sector affects tax revenue. This study used autoregressive distributed lag (ARDL) bounds testing to examine the influence of service sector growth on tax revenue in Tanzania for the period 1970-2018. Results show that service sector growth has a positive influence on tax revenue. Specifically, the government service sector and the trade service sector are confirmed to have a positive and significant influence on tax revenue in Tanzania. The business service sector, the transport service sector, and the personal service sector show insignificant results. This study contributes to the service sector and tax revenue literature by providing evidence showing that service sector growth can influence tax revenue. This paper presents a straightforward tax revenue collection model within the service sector, which holds significant implications for tax authorities, government entities, and policymakers. These findings suggest that improving tax policy can be achieved by targeting specific service subsectors.</t>
  </si>
  <si>
    <t>[Mapunda, Magreth] Univ Dodoma, Dept Accounting &amp; Finance, POB 2594, Dodoma, Tanzania; [Mapunda, Magreth; Kira, Alex Reuben; Ngomuo, Sarah] Univ Dodoma, Dept Accounting &amp; Finance, Dodoma, Tanzania</t>
  </si>
  <si>
    <t>Mapunda, M (corresponding author), Univ Dodoma, Dept Accounting &amp; Finance, POB 2594, Dodoma, Tanzania.</t>
  </si>
  <si>
    <t>mapunda.magreth@yahoo.com</t>
  </si>
  <si>
    <t>10.1080/23311975.2023.2259615</t>
  </si>
  <si>
    <t>S1ZU7</t>
  </si>
  <si>
    <t>WOS:001069230400001</t>
  </si>
  <si>
    <t>Lee, S; Lee, DW; Kim, JM; Kim, D; Kim, JY; Kim, JA; Kim, IH; Rhee, JE; Min, KD; Cho, SI; Kim, EJ; Kwon, JH</t>
  </si>
  <si>
    <t>Lee, Sangyi; Lee, Dong-Wook; Kim, Jeong-Min; Kim, Da-Won; Kim, Ji-Yun; Kim, Jeong-Ah; Kim, Il-Hwan; Rhee, Jee Eun; Min, Kyung-duk; Cho, Sung-il; Kim, Eun-Jin; Kwon, Jung-Hoon</t>
  </si>
  <si>
    <t>Phylodynamic analysis revealed that human mobility and vaccination were correlated to the local spread of SARS-CoV-2 in Republic of Korea</t>
  </si>
  <si>
    <t>SARS-CoV-2; viral transmission; phylodynamics; vaccination; human mobility</t>
  </si>
  <si>
    <t>Following the global emergence of the SARS-CoV-2 Alpha variant of concern (VOC) in 2020, the Delta variant triggered another wave in 2021. The AY.69 lineage, a Delta VOC, was particularly prevalent in Republic of Korea (South Korea) from May 2021 to January 2022, despite the synchronized implementation of vaccination programmes and non-pharmaceutical interventions (NPIs) such as social distancing. In this study, we used phylogeographic analysis combined with a generalized linear model (GLM) to examine the impact of human movement and vaccination on viral transmission. Our findings indicated that transmission primarily originated in South Korea's metropolitan areas, and a positive correlation was observed between total human mobility (tracked by GPS on mobile phones and estimated through credit card consumption) and viral spread. The phylodynamic analysis further revealed that non-vaccinated individuals were the primary transmitters of the virus during the study period, even though vaccination programmes had commenced three months prior to the AY.69 outbreak. Our study emphasizes the need to focus on controlling SARS-CoV-2 transmission in metropolitan regions and among unvaccinated populations. Furthermore, the positive correlation between mobility data and viral dissemination could contribute to the development of more accurate predictive models for local spread of pandemics.</t>
  </si>
  <si>
    <t>[Lee, Sangyi; Cho, Sung-il] Seoul Natl Univ, Grad Sch Publ Hlth, Dept Publ Hlth Sci, Seoul, South Korea; [Lee, Dong-Wook; Kim, Da-Won; Kim, Ji-Yun; Kwon, Jung-Hoon] Kyungpook Natl Univ, Coll Vet Med, Daegu, South Korea; [Kim, Jeong-Min; Kim, Jeong-Ah; Kim, Il-Hwan; Rhee, Jee Eun; Kim, Eun-Jin] Korea Dis Control &amp; Prevent Agcy, Bur Infect Dis Diag Control, Div Emerging Infect Dis, Cheongju, South Korea; [Min, Kyung-duk] Chungbuk Natl Univ, Coll Vet Med, Cheongju, South Korea; [Kim, Eun-Jin] Korea Dis Control &amp; Prevent Agcy, Bur Infect Dis Diag Control, Div Emerging Infect Dis, Cheongju 28159, South Korea; [Kwon, Jung-Hoon] Kyungpook Natl Univ, Coll Vet Med, Daegu 41566, South Korea</t>
  </si>
  <si>
    <t>Seoul National University (SNU); Kyungpook National University; Korea Disease Control &amp; Prevention Agency (KDCA); Chungbuk National University; Korea Disease Control &amp; Prevention Agency (KDCA); Kyungpook National University</t>
  </si>
  <si>
    <t>Kim, EJ (corresponding author), Korea Dis Control &amp; Prevent Agcy, Bur Infect Dis Diag Control, Div Emerging Infect Dis, Cheongju 28159, South Korea.;Kwon, JH (corresponding author), Kyungpook Natl Univ, Coll Vet Med, Daegu 41566, South Korea.</t>
  </si>
  <si>
    <t>ekim@korea.kr; Junghoon.kwon@knu.ac.kr</t>
  </si>
  <si>
    <t>lee, sangyi/0000-0003-3312-1901</t>
  </si>
  <si>
    <t>Korea Disease Control and Prevention Agency [6300-6331-301]; Medical Technology Development Program of the National Research Foundation (NRF); Korean government (MSIT) [2021M3E5E3081366]</t>
  </si>
  <si>
    <t>Korea Disease Control and Prevention Agency; Medical Technology Development Program of the National Research Foundation (NRF); Korean government (MSIT)(Ministry of Science &amp; ICT (MSIT), Republic of Korea)</t>
  </si>
  <si>
    <t>This research was supported by the Korea Disease Control and Prevention Agency (No. 6300-6331-301) and Bio &amp; Medical Technology Development Program of the National Research Foundation (NRF) funded by the Korean government (MSIT) (No. 2021M3E5E3081366).</t>
  </si>
  <si>
    <t>DEC 8</t>
  </si>
  <si>
    <t>10.1080/22221751.2023.2228934</t>
  </si>
  <si>
    <t>K9KM9</t>
  </si>
  <si>
    <t>WOS:001019552400001</t>
  </si>
  <si>
    <t>Xie, YF; Zhou, PR; Gao, Y; Li, RY; Hua, H; Wang, XW</t>
  </si>
  <si>
    <t>Xie, Yufei; Zhou, Peiru; Gao, Yan; Li, Ruoyu; Hua, Hong; Wang, Xiaowen</t>
  </si>
  <si>
    <t>Chronic mucocutaneous candidiasis presenting as refractory fissured tongue in a patient with IL-17RC mutation: the first reported case of Chinese ethnicity</t>
  </si>
  <si>
    <t>STAT1 MUTATIONS; INBORN-ERRORS; DEFICIENCY; INFECTIONS; UNDERLIE</t>
  </si>
  <si>
    <t>[Xie, Yufei; Zhou, Peiru; Gao, Yan; Hua, Hong] Peking Univ, Sch &amp; Hosp Stomatol, Natl Ctr Stomatol,Res Ctr Engn &amp; Technol Computeri, Natl Clin Res Ctr Oral Dis,Dept Oral Med,Natl Engn, Beijing, Peoples R China; [Li, Ruoyu; Wang, Xiaowen] Peking Univ First Hosp, Dept Dermatol &amp; Venerol, Beijing, Peoples R China; [Li, Ruoyu; Wang, Xiaowen] Peking Univ, Res Ctr Med Mycol, Beijing, Peoples R China; [Li, Ruoyu; Wang, Xiaowen] Beijing Key Lab Mol Diag Dermatoses, Beijing, Peoples R China; [Li, Ruoyu; Wang, Xiaowen] Natl Clin Res Ctr Skin &amp; Immune Dis, Beijing, Peoples R China</t>
  </si>
  <si>
    <t>Peking University; Peking University; Peking University</t>
  </si>
  <si>
    <t>Wang, XW (corresponding author), Peking Univ First Hosp, Dept Dermatol &amp; Venerol, Beijing, Peoples R China.;Wang, XW (corresponding author), Peking Univ, Res Ctr Med Mycol, Beijing, Peoples R China.;Wang, XW (corresponding author), Beijing Key Lab Mol Diag Dermatoses, Beijing, Peoples R China.;Wang, XW (corresponding author), Natl Clin Res Ctr Skin &amp; Immune Dis, Beijing, Peoples R China.</t>
  </si>
  <si>
    <t>xiaowenpku@126.com</t>
  </si>
  <si>
    <t>National Natural Science Foundation of China [82273543]</t>
  </si>
  <si>
    <t>This work was supported by the National Natural Science Foundation of China [grant number 82273543].</t>
  </si>
  <si>
    <t>10.1080/22221751.2023.2231567</t>
  </si>
  <si>
    <t>L3WT7</t>
  </si>
  <si>
    <t>WOS:001022603600001</t>
  </si>
  <si>
    <t>Asghar, MF; Khattak, MJ; Fericy, KS; Manfra, M</t>
  </si>
  <si>
    <t>Asghar, Muhammad Faizan; Khattak, Mohammad Jamal; Fericy, Kayla Skye; Manfra, Marco</t>
  </si>
  <si>
    <t>Development of high performing hybrid hot mix asphalt mixtures</t>
  </si>
  <si>
    <t>INTERNATIONAL JOURNAL OF PAVEMENT ENGINEERING</t>
  </si>
  <si>
    <t>Hybrid HMA; ITS fracture energy (FE); digital imaging correlation (DIC); fatigue life; SEM; crack propagation rate; &gt;</t>
  </si>
  <si>
    <t>INDIRECT TENSILE-STRENGTH; CRUMB RUBBER MODIFIER; LABORATORY EVALUATION; CRACKING RESISTANCE; WASTE FIBERS; DRY; BINDER; CRM</t>
  </si>
  <si>
    <t>In this study, mixture design volumetrics, moisture-induced damage and fatigue characteristics of hybrid hot mix asphalt (HMA) fabricated with crumb rubber (CRM) and polyvinyl alcohol (PVA) fibre were evaluated. Indirect tensile strength test was conducted to assess several tensile and fracture attributes of control, polymer-modified, CRM-modified, PVA-reinforced and hybrid HMA. Long-term performance of aged hybrid HMA was also assessed using flexural beam fatigue test. Comparison of mixture designs indicated a change in volumetric properties of hybrid mixture with acceptable resistance to stripping. Experimental results revealed that fracture energy and dissipated creep-strain energy of the HMA with 2%CRM and 0.2%PVA doubled relative to polymer-modified HMA. The developed hybrid HMA presented around 29 times higher resistance to repeated load failure with 90% reduction in crack propagation rate and over 12 times higher energy for unit crack propagation compared to conventional HMA. Additionally, effective fibre bridging across the crack and adequate coating of asphalt on CRM through image analysis revealed wider strain distribution, a perverse intricate fracture pattern and better adhesion. The higher fracture resistance, toughness indices, and resilience under repetitive traffic loading of hybrid mixtures could be effective in extending the service-life and enhancing long-term performance of flexible pavements.</t>
  </si>
  <si>
    <t>[Asghar, Muhammad Faizan] Univ Louisiana Lafayette, Coll Engn, Civil Engn Dept, Lafayette, LA USA; [Khattak, Mohammad Jamal] Univ Louisiana Lafayette, Coll Engn, Civil Engn Dept, Lafayette, LA 70504 USA; [Fericy, Kayla Skye] Duke Univ, Pratt Sch Engn, Durham, NC USA; [Manfra, Marco] Univ Maine, Coll Engn, Orono, ME USA</t>
  </si>
  <si>
    <t>University of Louisiana Lafayette; University of Louisiana Lafayette; Duke University; University of Maine System; University of Maine Orono</t>
  </si>
  <si>
    <t>Khattak, MJ (corresponding author), Univ Louisiana Lafayette, Coll Engn, Civil Engn Dept, Lafayette, LA 70504 USA.</t>
  </si>
  <si>
    <t>khattak@louisiana.edu</t>
  </si>
  <si>
    <t>University of Louisiana at Lafayette</t>
  </si>
  <si>
    <t>The authors would like to express sincere thanks to the University of Louisiana at Lafayette for providing the research facilities and funding. Authors acknowledge LT Lehigh Technologies for providing CRM, Kuraray Co. Ltd. for PVA fibres, Glenn Lege contractors for aggregates supply and BP Products North America for asphalt binder. Special thanks to Mark Leblanc and Dalen-Wigley Jones for their assistance in testing.</t>
  </si>
  <si>
    <t>1029-8436</t>
  </si>
  <si>
    <t>1477-268X</t>
  </si>
  <si>
    <t>INT J PAVEMENT ENG</t>
  </si>
  <si>
    <t>Int. J. Pavement Eng.</t>
  </si>
  <si>
    <t>DEC 6</t>
  </si>
  <si>
    <t>10.1080/10298436.2023.2241962</t>
  </si>
  <si>
    <t>Construction &amp; Building Technology; Engineering, Civil; Materials Science, Characterization &amp; Testing</t>
  </si>
  <si>
    <t>Construction &amp; Building Technology; Engineering; Materials Science</t>
  </si>
  <si>
    <t>O2TE0</t>
  </si>
  <si>
    <t>WOS:001042387300001</t>
  </si>
  <si>
    <t>Behnke, R; Kaliske, M; Schuck, B; Stein, M; Alber, S; Ressel, W; Wellner, F; Leischner, S; Falla, GC; Eckstein, L</t>
  </si>
  <si>
    <t>Behnke, R.; Kaliske, M.; Schuck, B.; Stein, M.; Alber, S.; Ressel, W.; Wellner, F.; Leischner, S.; Falla, G. Canon; Eckstein, L.</t>
  </si>
  <si>
    <t>From the material behaviour to the thermo-mechanical long-term response of asphalt pavements and the alteration of surface drainage due to rutting: a sensitivity study</t>
  </si>
  <si>
    <t>Dynamic tyre force; dynamic load coefficient; steady state rolling; tyre-pavement interaction; surface drainage; &gt;</t>
  </si>
  <si>
    <t>FINITE-ELEMENT; DYNAMIC LOAD; PERFORMANCE; DESIGN; SYSTEM; SIMULATION; PREDICTION; CRACKING; MEPDG</t>
  </si>
  <si>
    <t>In this contribution, a simulation chain for the thermo-mechanical and hydromechanical analysis (surface drainage) of a pavement structure during its whole service life is applied to a typical asphalt pavement (Bk100) used for motorways in Germany. Transient load signals for each tyre position of a truck-trailer combination (vehicle) are generated from a multibody analysis of the vehicle driving on a motorway with rough pavement surface. Material model parameters are derived from experimental identification tests of asphalt materials. The model parameters are used together with a continuum-mechanical description of the asphalt material representing the thermo-mechanical material behaviour at the material scale. The material response of the pavement layers is integrated on the structural scale by using the finite element method (FEM) in combination with an arbitrary Lagrangian-Eulerian (ALE) formulation and equivalent tyre loads of a representative, finite element (FE) discretised truck tyre rolling on an FE discretised pavement section. Different scenarios of rut formation are computed by varying different influence factors (climate temperature, vertical tyre force, type of asphalt material of the surface layers etc.). During the subsequent hydromechanical analysis of the pavement, the simulated deformed geometry of the pavement surface is used to numerically compute surface drainage characteristics.</t>
  </si>
  <si>
    <t>[Behnke, R.; Kaliske, M.] Tech Univ Dresden, Inst Statik &amp; Dynam Tragwerke ISD, Dresden, Germany; [Schuck, B.; Stein, M.; Alber, S.; Ressel, W.] Univ Stuttgart, Inst Strassen &amp; Verkehrswesen, Lehrstuhl Strassenplanung &amp; Strassenbau, Stuttgart, Germany; [Wellner, F.; Leischner, S.; Falla, G. Canon] Tech Univ Dresden, Inst Stadtbauwesen &amp; Strassenbau ISS, Dresden, Germany; [Eckstein, L.] Rhein Westfal TH Aachen, Inst Kraftfahrzeuge ika, Aachen, Germany</t>
  </si>
  <si>
    <t>Technische Universitat Dresden; University of Stuttgart; Technische Universitat Dresden; RWTH Aachen University</t>
  </si>
  <si>
    <t>Kaliske, M (corresponding author), Tech Univ Dresden, Inst Statik &amp; Dynam Tragwerke ISD, Dresden, Germany.</t>
  </si>
  <si>
    <t>michael.kaliske@tu-dresden.de</t>
  </si>
  <si>
    <t>10.1080/10298436.2023.2247132</t>
  </si>
  <si>
    <t>P4OP8</t>
  </si>
  <si>
    <t>WOS:001050459600001</t>
  </si>
  <si>
    <t>Brenes-Calderon, A; Vargas-Nordcbeck, A</t>
  </si>
  <si>
    <t>Brenes-Calderon, Anthony; Vargas-Nordcbeck, Adriana</t>
  </si>
  <si>
    <t>Use of chip seal treatments to mitigate pavement roughness progression in cold regions</t>
  </si>
  <si>
    <t>Pavement preservation; chip seal; roughness; benefit; &gt;</t>
  </si>
  <si>
    <t>Chip Seals are a type of pavement preservation treatment characterised by its ability to reduce pavement deterioration and restore surface condition. Chip seal performance, like other pavement preservation treatments, depends on several factors such as environmental conditions, traffic level and the condition of the existing pavement structure prior to treatment application. In cold regions, the presence of freeze and thaw cycles promotes the generation of thermal cracks and possible tenting distresses, consequently, pavement roughness has been a prominent parameter to assess treatment performance. The objective of this study was to evaluate the roughness progression on several chip seal configurations in a cold climate region, utilising a set of field performance data from the Pavement Preservation Group Study, a broader research study conducted by the National Center for Asphalt Technology and the Minnesota Department of Transportation's Road Research Facility. The main findings indicate that chip seals provide a negligible effect on immediate roughness improvement; however, on a long-term basis, they provide a reduction in IRI progression over time. The magnitude of the IRI benefit is dependent on the type of chip seal implemented and the traffic level experienced.</t>
  </si>
  <si>
    <t>[Brenes-Calderon, Anthony; Vargas-Nordcbeck, Adriana] Auburn Univ, Natl Ctr Asphalt Technol, Auburn, AL 36849 USA</t>
  </si>
  <si>
    <t>Auburn University System; Auburn University</t>
  </si>
  <si>
    <t>Brenes-Calderon, A (corresponding author), Auburn Univ, Natl Ctr Asphalt Technol, Auburn, AL 36849 USA.</t>
  </si>
  <si>
    <t>ajb0184@auburn.edu</t>
  </si>
  <si>
    <t>National Partnership to Determine the Life Extending Benefit Curves of Pavement Preservation Techniques (MnROAD/NCAT Joint Study - Phase II) [TPF-5(375)]</t>
  </si>
  <si>
    <t>National Partnership to Determine the Life Extending Benefit Curves of Pavement Preservation Techniques (MnROAD/NCAT Joint Study - Phase II)</t>
  </si>
  <si>
    <t>The research presented in this study was funded through TPF-5(375) National Partnership to Determine the Life Extending Benefit Curves of Pavement Preservation Techniques (MnROAD/NCAT Joint Study - Phase II).</t>
  </si>
  <si>
    <t>10.1080/10298436.2023.2241963</t>
  </si>
  <si>
    <t>O3NY1</t>
  </si>
  <si>
    <t>WOS:001042929900001</t>
  </si>
  <si>
    <t>Duan, HH; Zhu, CZ; Zhang, HL; Zhang, S; Xiao, FP; Amirkhanian, S</t>
  </si>
  <si>
    <t>Duan, Haihui; Zhu, Chongzheng; Zhang, Henglong; Zhang, Shuai; Xiao, Feipeng; Amirkhanian, Serji</t>
  </si>
  <si>
    <t>Investigation on rheological characteristics of low-emissions crumb rubber modified asphalt</t>
  </si>
  <si>
    <t>Low-emissions crumb rubber modified asphalt; microwave-treatment crumb rubber; deodorant-addition crumb rubber; viscosity; high-temperature rheological properties; low-temperature performance grade</t>
  </si>
  <si>
    <t>WARM MIX ASPHALT; AGING BEHAVIORS; LOW-TEMPERATURE; PERFORMANCE; MICROWAVE; MIXTURES; BINDERS; BITUMEN</t>
  </si>
  <si>
    <t>Asphalt modified by microwave-treatment crumb rubber (CR-microwave) and that of deodorant-addition crumb rubber (CR-deodorant) have low unfavorable or detrimental emissions, but their high- and low-temperature performances have been insufficiently researched, potentially limiting their application and promotion. In order to investigate high-temperature performances of the two low-emissions crumb rubber modified asphalt (CRMA), viscosity, temperature ramp, creep and creep recovery and amplitude sweep tests were conducted using Brookfield Viscometer and dynamic shear rheometer (DSR). Also, low-temperature performances of CMRA were characterised by bending beam rheometer (BBR) tests. Results showed that deodorant-addition CR with a high dosage is not allowed considering asphalt workability, but microwave-treatment CR with various dosages can still meet workability requirements. Moreover, the introduction of microwave-treatment CR or deodorant-addition CR into asphalt improved high-temperature performances of asphalt, while the former had lower positive effects on high-temperature performance grades, elastic recovery and deformation resistance of asphalt. Furthermore, like common CRMA, the two low-emissions CRMA had different viscoelastic behaviour from styrene-butadiene-styrene copolymer (SBS) modified asphalt. Additionally, 18% CR-microwave or CR-deodorant can basically improve the low-temperature performance grades of asphalt. Comprehensively considering the workability and high- and low-temperature performances of the two low-emissions CRMA, 18% CR-microwave is recommended for low-emissions CRMA manufacture.</t>
  </si>
  <si>
    <t>[Duan, Haihui; Zhu, Chongzheng; Zhang, Henglong; Zhang, Shuai] Hunan Univ, Int Sci Innovat Collaborat Base Green &amp; Adv Civil, Changsha, Peoples R China; [Xiao, Feipeng] Tongji Univ, Key Lab Rd &amp; Traff Engn, Minist Educ, Shanghai, Peoples R China; [Amirkhanian, Serji] Univ Alabama, Dept Civil Construct &amp; Environm Engn, Tuscaloosa, AL USA</t>
  </si>
  <si>
    <t>Hunan University; Tongji University; University of Alabama System; University of Alabama Tuscaloosa</t>
  </si>
  <si>
    <t>Zhang, HL (corresponding author), Hunan Univ, Int Sci Innovat Collaborat Base Green &amp; Adv Civil, Changsha, Peoples R China.</t>
  </si>
  <si>
    <t>hlzhang@hnu.edu.cn</t>
  </si>
  <si>
    <t>Hunan Provincial Natural Science Foundation of China [2022JJ30155]; Huxiang Youth Talent Program of Hunan Province [2019RS2052]; Postgraduate Scientific Research Innovation Project of Hunan Province [CX20210412]; Transportation Science and Technology Development and Innovation Project of Hunan Province [201805]; Science and Technology Planning Project of Hunan Province [2018TP2038]; China Scholarship Council [201806130114]</t>
  </si>
  <si>
    <t>Hunan Provincial Natural Science Foundation of China(Natural Science Foundation of Hunan Province); Huxiang Youth Talent Program of Hunan Province; Postgraduate Scientific Research Innovation Project of Hunan Province; Transportation Science and Technology Development and Innovation Project of Hunan Province; Science and Technology Planning Project of Hunan Province; China Scholarship Council(China Scholarship Council)</t>
  </si>
  <si>
    <t>This work was supported by China Scholarship Council: [Grant Number 201806130114]; Transportation Science and Technology Development and Innovation Project of Hunan Province: [Grant Number 201805]; Postgraduate Scientific Research Innovation Project of Hunan Province: [Grant Number CX20210412]; the Science and Technology Planning Project of Hunan Province: [Grant Number 2019XF5036, 2018TP2038]; Huxiang Youth Talent Program of Hunan Province: [Grant Number 2019RS2052].</t>
  </si>
  <si>
    <t>10.1080/10298436.2023.2164891</t>
  </si>
  <si>
    <t>8J0GL</t>
  </si>
  <si>
    <t>WOS:000922103700001</t>
  </si>
  <si>
    <t>Ji, K; Xiong, R; Jiang, J; Li, XB; Tian, YG; Yan, XH; Wang, HY</t>
  </si>
  <si>
    <t>Ji, Kuo; Xiong, Rui; Jiang, Jing; Li, Xiaobin; Tian, Yaogang; Yan, Xiaohui; Wang, Haoyu</t>
  </si>
  <si>
    <t>Experimental analysis of long-term skid resistance of steel slag asphalt mixture based on differential wear</t>
  </si>
  <si>
    <t>Steel slag; steel slag asphalt mixture; differential wear; long-term skid resistance; three-dimensional morphology; dynamic friction coefficient</t>
  </si>
  <si>
    <t>FURNACE SLAG; MIX ASPHALT; AGGREGATE; PAVEMENT; PERFORMANCE; FINE; SURFACE</t>
  </si>
  <si>
    <t>This study aimed to analyse the attenuation law of skid resistance of steel slag asphalt mixture (SSAM) based on differential wear. In this study, an indoor accelerated wear instrument was used to accelerate the wear of the SSAM surface. A pavement laser scanner and a dynamic friction tester measured the three-dimensional morphology and dynamic friction coefficient (mu) of SSAM. Then, the improvement mechanism of steel slag on the skid resistance of SSAM was expounded by analysing the surface microtexture, mineral composition, and chemical composition of aggregates. The results showed no linear relationship between the amount of steel slag and the improvement of SSAM skid resistance. The SSAM with 50% steel slag maximised the differential wear effect and had the largest mu and the richest surface macrotexture. It was recommended that the steel slag content in the SSAM should not exceed 50%. The more mineral composition and higher average hardness of steel slag were the sources of its excellent skid resistance. In addition, it is suggested that the differential wear between mixed aggregates should be considered in the design of skid resistance pavement, and the proportion of different aggregates should be reasonably distributed.</t>
  </si>
  <si>
    <t>[Ji, Kuo; Xiong, Rui; Jiang, Jing; Tian, Yaogang; Yan, Xiaohui; Wang, Haoyu] Changan Univ, Sch Mat Sci &amp; Engn, Xian, Peoples R China; [Xiong, Rui; Tian, Yaogang] Changan Univ, Engn Res Ctr Pavement Mat, Minist Educ PR China, Xian, Peoples R China; [Li, Xiaobin] Qinghai Transportat Construction Management Co Ltd, Xining, Peoples R China</t>
  </si>
  <si>
    <t>Chang'an University; Chang'an University</t>
  </si>
  <si>
    <t>Xiong, R (corresponding author), Changan Univ, Sch Mat Sci &amp; Engn, Xian, Peoples R China.;Xiong, R (corresponding author), Changan Univ, Engn Res Ctr Pavement Mat, Minist Educ PR China, Xian, Peoples R China.</t>
  </si>
  <si>
    <t>xiongr61@126.com</t>
  </si>
  <si>
    <t>Science and Technology Project of Qinghai Science and Technology Department [2021-QY-216]; Key R&amp;D Plan of Jiangxi Provincial Department of Science and Technology [20192BBG70064]; Key R&amp;D Plan of Shaanxi Province [2023-YBGY-494]</t>
  </si>
  <si>
    <t>Science and Technology Project of Qinghai Science and Technology Department; Key R&amp;D Plan of Jiangxi Provincial Department of Science and Technology; Key R&amp;D Plan of Shaanxi Province</t>
  </si>
  <si>
    <t>This work was supported by The Science and Technology Project of Qinghai Science and Technology Department [grant number 2021-QY-216]; The Key R&amp;D Plan of Jiangxi Provincial Department of Science and Technology [grant number 20192BBG70064]; The Key R&amp;D Plan of Shaanxi Province (grant number 2023-YBGY-494).</t>
  </si>
  <si>
    <t>10.1080/10298436.2023.2165655</t>
  </si>
  <si>
    <t>8J0GH</t>
  </si>
  <si>
    <t>WOS:000922103300001</t>
  </si>
  <si>
    <t>Maurya, A; Chand, S</t>
  </si>
  <si>
    <t>Maurya, Anamika; Chand, Satish</t>
  </si>
  <si>
    <t>A global context and pyramidal scale guided convolutional neural network for pavement crack detection</t>
  </si>
  <si>
    <t>Convolutional neural network; deep learning; global context; multi-scale context; pavement cracks; pixel-level detection</t>
  </si>
  <si>
    <t>Pavement crack detection is a crucial part of road maintenance. Traditional crack detection methods are time-consuming and unreliable. Therefore, researchers have adapted deep-learning-based segmentation approaches from several computer vision applications for crack detection. However, these approaches are not always suited for small objects, such as crack segmentation, because they will miss precise crack information, which occupies only 5-15% of pixels in the whole image compared to the background pixels. To address this issue, we introduce a feature fusion module to the encoder-decoder architecture, considerably improving the ability to acquire detailed information on crack features. Two separate branches of this module are used to maintain and improve the global and multi-scale contexts of crack images. Additionally, the sum of cross-entropy, Tversky, and lovasz hinge losses is used as a loss function for the imbalanced distribution of crack and background pixels. To prove the superiority of the proposed approach, we used four public datasets. Our approach achieves precision of 0.8413, recall of 0.8120, and intersection over union (IoU) of 0.6553 on the Crack500 dataset; precision of 0.9520, recall of 0.9408, and IoU of 0.8982 on the DeepCrack dataset; precision of 0.9177, recall of 0.9148, and IoU of 0.8455 on the GAPs384 dataset; and precision of 0.8552, recall of 0.8273, and IoU of 0.6738 on the MCD dataset.</t>
  </si>
  <si>
    <t>[Maurya, Anamika; Chand, Satish] Jawaharlal Nehru Univ, Sch Comp &amp; Syst Sci, New Delhi, India</t>
  </si>
  <si>
    <t>Jawaharlal Nehru University, New Delhi</t>
  </si>
  <si>
    <t>Maurya, A (corresponding author), Jawaharlal Nehru Univ, Sch Comp &amp; Syst Sci, New Delhi, India.</t>
  </si>
  <si>
    <t>schand20@gmail.com</t>
  </si>
  <si>
    <t>10.1080/10298436.2023.2180638</t>
  </si>
  <si>
    <t>9L8XF</t>
  </si>
  <si>
    <t>WOS:000941826600001</t>
  </si>
  <si>
    <t>Schuster, SL; de Almeida, POB; Faccin, C; Bueno, LD; Chaves, BD; Vestena, PM; Specht, LP; Pereira, DD</t>
  </si>
  <si>
    <t>Schuster, Silvio Lisboa; de Almeida, Pedro Orlando Borges; Faccin, Cleber; Bueno, Lucas Dotto; Chaves, Bruno de Souza; Vestena, Pablo Menezes; Specht, Luciano Pivoto; Pereira, Deividi da Silva</t>
  </si>
  <si>
    <t>Construction quality impact in asphalt pavements cost: a framework based on air voids, linear viscoelastic and fatigue behaviour</t>
  </si>
  <si>
    <t>Asphalt mixtures; Air voids; S-VECD; Costs analysis; Payment reduced factor</t>
  </si>
  <si>
    <t>PERFORMANCE; MIXTURES; CORES</t>
  </si>
  <si>
    <t>The loss of performance against fatigue is evident for situations of poor execution of the surface layer, quantified in this research by the parameter in-field air voids. This loss of performance has a direct impact on highways operating costs. To analyse the loss of fatigue performance, eight field-applied asphalt mixes were evaluated, comparing laboratory compaction (5.50% air voids) with as-built in-field core samples (random variable air voids). The impact of increased air voids on LVE behaviour, fatigue life, and costs were investigated. Decrease in stiffness was observed for in-field air voids greater than 7.00%. Through the S-VECD model and FlexPAVE (TM) software, a significant decrease in fatigue life was observed for in-field air voids greater than 8.00%. Costs, defined as costs per traffic request (N) (US$/N) were significantly affected for in-field air voids greater than this value (8.00%). Based on that, a Payment reduction factor (PRF) was proposed. In this way, it is concluded that the framework demonstrated throughout the paper, based on a mechanistic approach and using the FlexPAVE (TM), allows the evaluation of the construction quality impact on asphalt pavement cost.</t>
  </si>
  <si>
    <t>[Schuster, Silvio Lisboa; de Almeida, Pedro Orlando Borges; Faccin, Cleber; Chaves, Bruno de Souza; Specht, Luciano Pivoto; Pereira, Deividi da Silva] Univ Fed Santa Maria, Santa Maria, Brazil; [Bueno, Lucas Dotto] Univ Fed Santa Maria, Cachoeira do Sul, Brazil; [Vestena, Pablo Menezes] North Carolina State Univ, Raleigh, NC USA</t>
  </si>
  <si>
    <t>Universidade Federal de Santa Maria (UFSM); Universidade Federal de Santa Maria (UFSM); North Carolina State University</t>
  </si>
  <si>
    <t>Schuster, SL (corresponding author), Univ Fed Santa Maria, Santa Maria, Brazil.</t>
  </si>
  <si>
    <t>silviolschuster@gmail.com</t>
  </si>
  <si>
    <t>Schuster, Silvio/0000-0003-2269-7788; Specht, Luciano Pivoto/0000-0002-8709-6273; Vestena, Pablo/0000-0003-2785-6792</t>
  </si>
  <si>
    <t>10.1080/10298436.2023.2182437</t>
  </si>
  <si>
    <t>9O1IW</t>
  </si>
  <si>
    <t>WOS:000943359100001</t>
  </si>
  <si>
    <t>Shine, AM; Sanchana, IC; Padmarekha, A; Leischner, S; Wellner, F; Krishnan, JM</t>
  </si>
  <si>
    <t>Shine, Athira Mangalath; Sanchana, I. C.; Padmarekha, A.; Leischner, Sabine; Wellner, Frohmut; Krishnan, J. Murali</t>
  </si>
  <si>
    <t>Quantification of viscous and damage dissipation of bituminous binder and mastic using White-Metzner model</t>
  </si>
  <si>
    <t>Fatigue; bitumen; mastic; non-linear viscoelasticity; White-Metzner model; viscous dissipation; damage dissipation; large amplitude oscillatory shear; harmonic analysis</t>
  </si>
  <si>
    <t>FATIGUE DAMAGE; ASPHALT; BEHAVIOR; FILLER</t>
  </si>
  <si>
    <t>Bituminous pavement layers are composite in nature, consisting of binder, filler, and aggregates. Understanding the mechanical behaviour of bituminous layers demands investigation of their different material scales, such as the binder, mastic, and mixture scales. While substantial investigation has been carried out on binder and mixture related to fatigue damage, not much research is carried out on mastic. Of the methods used to characterise fatigue damage, energy dissipation is widely used; however, it is complicated due to the presence of other modes of dissipation, such as viscous dissipation. In this study, an attempt is made to separate viscous dissipation and dissipation due to damage for both binder and mastic using a nonlinear viscoelastic fluid model. For this purpose, six types of materials were tested at temperatures of 20 degrees C and 25 degrees C, 10 Hz frequency, and five different strain levels spanning the linear and non-linear regimes, for 20,000 cycles. Material parameters for the non-linear White-Metzner model incorporated with the Williamson model were determined for an initial cycle and using these parameters, the viscous component of energy dissipation was determined. Dissipation due to damage was estimated by separating viscous dissipation from total dissipation at every 2000th cycle and based on the evolution of viscous and damage dissipation across cycles, three trends were observed. Based on the trends observed, the influence of strain amplitude, temperature and modifiers on the fatigue resistance of the materials was ascertained.</t>
  </si>
  <si>
    <t>[Shine, Athira Mangalath; Leischner, Sabine; Wellner, Frohmut] Tech Univ Dresden, Inst Urban &amp; Pavement Engn, Dresden, Germany; [Sanchana, I. C.; Krishnan, J. Murali] Indian Inst Technol Madras, Dept Civil Engn, Chennai, India; [Padmarekha, A.] SRM Inst Sci &amp; Technol, Dept Civil Engn, Kattankulathur, India</t>
  </si>
  <si>
    <t>Technische Universitat Dresden; Indian Institute of Technology System (IIT System); Indian Institute of Technology (IIT) - Madras; SRM Institute of Science &amp; Technology Chennai</t>
  </si>
  <si>
    <t>Krishnan, JM (corresponding author), Indian Inst Technol Madras, Dept Civil Engn, Chennai, India.</t>
  </si>
  <si>
    <t>jmk@iitm.ac.in</t>
  </si>
  <si>
    <t>Department of Science and Technology, Govt. of Indi [EMR/2017/003115]; TU Dresden as part of the Maria Reiche Doctoral Fellowships; [DFG -SFB/TRR 339]</t>
  </si>
  <si>
    <t>Department of Science and Technology, Govt. of Indi(Department of Science &amp; Technology (India)); TU Dresden as part of the Maria Reiche Doctoral Fellowships;</t>
  </si>
  <si>
    <t>I. C. Sanchana A. Padmarekha and J. Murali Krishnan thank Department of Science and Technology, Govt. of Indi, grant number EMR/2017/003115. Mangalath Shine acknowledges the financial support provided by TU Dresden as part of the Maria Reiche Doctoral Fellowships and DFG -SFB/TRR 339.</t>
  </si>
  <si>
    <t>10.1080/10298436.2023.2238112</t>
  </si>
  <si>
    <t>P8TQ3</t>
  </si>
  <si>
    <t>WOS:001053346600001</t>
  </si>
  <si>
    <t>Charny, S; Cao, G; Gafter, L; Bar-Shalita, T; Lahav, Y</t>
  </si>
  <si>
    <t>Charny, Shaked; Cao, Gabriel; Gafter, Lee; Bar-Shalita, Tami; Lahav, Yael</t>
  </si>
  <si>
    <t>Sensory modulation and trauma-related symptoms during rocket attacks</t>
  </si>
  <si>
    <t>Trauma-related symptoms; sensory modulation; perceived threat; perceived social support; war; trauma</t>
  </si>
  <si>
    <t>POSTTRAUMATIC-STRESS-DISORDER; GENERALIZED ANXIETY DISORDER; SOCIAL SUPPORT; MULTIDIMENSIONAL SCALE; RISK-FACTORS; PSYCHOMETRIC PROPERTIES; PERITRAUMATIC DISTRESS; GENDER-DIFFERENCES; PTSD; WAR</t>
  </si>
  <si>
    <t>Background: War is a highly traumatogenic experience that may result in trauma-related symptoms during exposure. Although most individuals exhibit recovery after the trauma ends, symptomatology during exposure may serve as an initial indicator underlying symptomatology at the posttraumatic phase, hence the imperative to identify risk factors for trauma-related symptoms during the peritraumatic phase. While research has uncovered several factors associated with peritraumatic distress, such as age, gender, history of mental disorder, perceived threat, and perceived social support, the role of sensory modulation has not been explored. Method: To address this gap, 488 Israeli citizens were assessed using an online survey for sensory modulation and trauma-related symptoms during rocket attacks. Results: Analyses revealed that while the association between high sensory responsiveness and elevated levels of specific trauma-related symptoms is somewhat weak (0.19&lt;.0.22), it serves as a major risk factor for developing trauma-related symptoms during the peritraumatic phase in general. Specifically, the risk for elevated symptoms was doubled (OR = 2.11) for each increase in the high sensory-responsiveness score, after controlling for age, gender, history of mental disorder, perceived threat, and perceived social support. Limitations: This study relied on convenience sampling and a cross-sectional design. Conclusions: The present findings suggest that sensory modulation evaluation may serve as an important screening tool for identifying individuals who are vulnerable to trauma-related symptoms during the peritraumatic phase, and that implementing sensory modulation strategies as part of preventative interventions for PTSD might be effective.</t>
  </si>
  <si>
    <t>[Charny, Shaked; Bar-Shalita, Tami; Lahav, Yael] Tel Aviv Univ, Sackler Fac Med, Stanley Steyer Sch Hlth Profess, Dept Occupat Therapy, Tel Aviv, Israel; [Cao, Gabriel] Tel Aviv Univ, Int Liberal Arts Program, Tel Aviv, Israel; [Cao, Gabriel] Columbia Univ, Sch Gen Studies, New York, NY USA; [Gafter, Lee] Technion Israel Inst Technol, Fac Architecture &amp; Town Planning, Hefa, Israel; [Gafter, Lee] Interuniv Inst Marine Sci, Elat, Israel; [Lahav, Yael] Tel Aviv Univ, Sackler Fac Med, Stanley Steyer Sch Hlth Profess, Dept Occupat Therapy, POB 39040, IL-69978 Tel Aviv, Israel</t>
  </si>
  <si>
    <t>Tel Aviv University; Sackler Faculty of Medicine; Tel Aviv University; Columbia University; Technion Israel Institute of Technology; Tel Aviv University; Sackler Faculty of Medicine</t>
  </si>
  <si>
    <t>Lahav, Y (corresponding author), Tel Aviv Univ, Sackler Fac Med, Stanley Steyer Sch Hlth Profess, Dept Occupat Therapy, POB 39040, IL-69978 Tel Aviv, Israel.</t>
  </si>
  <si>
    <t>yaellah1@tauex.tau.ac.il</t>
  </si>
  <si>
    <t>Lahav, Yael/AAD-4245-2021; Lahav, Yael/HDM-2423-2022; Bar-Shalita, Tami/AFU-9220-2022</t>
  </si>
  <si>
    <t>Lahav, Yael/0000-0003-1242-9042; Bar-Shalita, Tami/0000-0003-1494-2640</t>
  </si>
  <si>
    <t>NOV 23</t>
  </si>
  <si>
    <t>10.1080/20008066.2023.2213110</t>
  </si>
  <si>
    <t>H2VV5</t>
  </si>
  <si>
    <t>WOS:000994604800001</t>
  </si>
  <si>
    <t>Pfeiffer, E; Beer, R; Birgersson, A; Cabrera, N; Cohen, JA; Deblinger, E; Garbade, M; Kirsch, V; Kostova, Z; Larsson, M; Mannarino, A; Moffitt, G; Onsjö, M; Ostensjo, T; Sachser, C; Vikgren, A; Mueller, HW; Klymchuk, V</t>
  </si>
  <si>
    <t>Pfeiffer, Elisa; Beer, Renee; Birgersson, Anette; Cabrera, Natalie; Cohen, Judith A.; Deblinger, Esther; Garbade, Maike; Kirsch, Veronica; Kostova, Zlatina; Larsson, Michael; Mannarino, Anthony; Moffitt, Gavin; Onsjoe, Marja; Ostensjo, Tale; Sachser, Cedric; Vikgren, Anna; Mueller, Hanna Weyler; Klymchuk, Vitaii</t>
  </si>
  <si>
    <t>Implementation of an evidence-based trauma-focused treatment for traumatised children and their families during the war in Ukraine: a project description</t>
  </si>
  <si>
    <t>Ukraine; war; child; trauma-focused treatment; TF-CBT</t>
  </si>
  <si>
    <t>The full-scale invasion of Ukraine by Russia in February 2022 led to an increase of traumatic events and mental health burden in the Ukrainian general population. The (ongoing) traumatisation can have a crucial impact on children and adolescents as they are especially vulnerable for developing trauma-related disorders such as Post Traumatic Stress Disorder (PTSD) or Depression. To date, these children have only very limited access to trauma-focused evidence-based treatments (EBTs) by trained mental health specialists in Ukraine. The fast and effective implementation of these treatments in Ukraine is crucial to improve the psychological wellbeing of this vulnerable population. This letter to the editor describes an ongoing project which implements a trauma-focused EBT called 'Trauma-Focused Cognitive Behavioural Therapy' (TF-CBT) in Ukraine during the war. In collaboration with Ukrainian and international agencies, the project 'TF-CBT Ukraine' was developed and implemented starting in March 2022. The project entails a large training programme for Ukrainian mental health specialists and the implementation of TF-CBT with children and their families in and from Ukraine. All components of the project are scientifically evaluated on a patient and therapist level, cross-sectionally and longitudinally, in a mixed-methods design. All together nine training cohorts with N = 133 Ukrainian therapists started the programme, all monthly case consultations (15 groups) and treatments of patients are still ongoing. Lessons learnt from this first large-scale implementation project on an EBT for children and adolescents impacted by trauma in Ukraine will help inform the field on challenges and also possibilities to expand such efforts. On a broader level, this project could be one small step in the process of helping children overcome the negative effects and experience resilience in the context of a war-torn nation.</t>
  </si>
  <si>
    <t>[Pfeiffer, Elisa; Garbade, Maike; Sachser, Cedric] Ulm Univ, Dept Clin Child &amp; Adolescent Psychiat Psychothera, Ulm, Germany; [Birgersson, Anette] Skills Clin, Outpatient Clin Working Sexual Harmful Behav &amp; Tr, Kristianstad, Sweden; [Cabrera, Natalie; Moffitt, Gavin] TF CBT Australia, Sydney, Australia; [Cohen, Judith A.; Mannarino, Anthony] Allegheny Gen Hosp, Dept Psychiat, Pittsburgh, PA USA; [Deblinger, Esther] Rowan Virtua Sch Osteopath Med, CARES Inst, Stratford, NJ USA; [Deblinger, Esther] Rowan Virtua Sch Osteopath Med, Dept Psychiat, Stratford, NJ USA; [Kostova, Zlatina] Univ Massachusetts, Chan Med Sch, Dept Psychiat, Worcester, MA USA; [Larsson, Michael] Enhetshalsa Sverige AB, Ljungsbro, Sweden; [Larsson, Michael] BUP Capio, Child &amp; Youth Psychiat, Falun, Sweden; [Onsjoe, Marja] Univ Gothenburg, Dept Psychol, Gothenburg, Sweden; [Ostensjo, Tale] Univ Oslo, Psychol Dept, Oslo, Norway; [Vikgren, Anna] Save Children Sweden, Ctr Support &amp; Treatment, Gothenburg, Sweden; [Mueller, Hanna Weyler] Save Children Sweden, Ctr Support &amp; Treatment, Stockholm, Sweden; [Klymchuk, Vitaii] Univ Luxemourg, Esch Sur Alzette, Luxembourg; [Klymchuk, Vitaii] Mental Hlth Ukraine Project, Lvov, Ukraine; Ulm Univ, Dept Clin Child &amp; Adolescent Psychiat Psychothera, Steinhovelstr 1, D-89075 Ulm, Germany</t>
  </si>
  <si>
    <t>Ulm University; Allegheny General Hospital; University of Massachusetts System; University of Massachusetts Worcester; University of Gothenburg; University of Oslo; Save the Children; Save the Children; University of Luxembourg; Ulm University</t>
  </si>
  <si>
    <t>Pfeiffer, E (corresponding author), Ulm Univ, Dept Clin Child &amp; Adolescent Psychiat Psychothera, Steinhovelstr 1, D-89075 Ulm, Germany.</t>
  </si>
  <si>
    <t>Elisa.pfeiffer@uniklinik-ulm.de</t>
  </si>
  <si>
    <t>Pfeiffer, Elisa/AAH-1662-2021; Klymchuk, Vitalii/H-6098-2016</t>
  </si>
  <si>
    <t>Pfeiffer, Elisa/0000-0002-9742-3004; Garbade, Maike/0000-0002-4585-7708; Klymchuk, Vitalii/0000-0001-7898-5530</t>
  </si>
  <si>
    <t>Swiss Cooperation Office; Porticus Foundation; Save the Children; Medical University of South Carolina</t>
  </si>
  <si>
    <t>Among the funders are the Swiss Cooperation Office, Porticus Foundation, Save the Children, and the Medical University of South Carolina.</t>
  </si>
  <si>
    <t>10.1080/20008066.2023.2207422</t>
  </si>
  <si>
    <t>H0WY2</t>
  </si>
  <si>
    <t>WOS:000993262700001</t>
  </si>
  <si>
    <t>ter Heide, FJJ; Olff, M</t>
  </si>
  <si>
    <t>ter Heide, F. Jackie June; Olff, Miranda</t>
  </si>
  <si>
    <t>Widening the scope: defining and treating moral injury in diverse populations</t>
  </si>
  <si>
    <t>Moral injury; trauma; PTSD; shame; guilt; empathy; PMIE</t>
  </si>
  <si>
    <t>HEALTH</t>
  </si>
  <si>
    <t>Moral injury is an emerging concept that captures the psychosocial consequences of involvement in and exposure to morally transgressive events. In the past decade, research on moral injury has grown exponentially. In this special collection we review papers on moral injury published in the European Journal of Psychotraumatology from its inception until December 2022, that have a primary focus on moral injury as evidenced by the words 'moral injury' in the title or abstract. We included 19 papers on quantitative (n = 9) and qualitative (n = 5) studies of different populations including (former) military personnel (n = 9), healthcare workers (n = 4) and refugees (n = 2). Most papers (n = 15) focused on the occurrence of potentially morally injurious experiences (PMIEs), moral injury and associated factors, while four papers primarily concerned treatment. Together, the papers offer a fascinating overview of aspects of moral injury in different populations. Research is clearly widening from military personnel to other populations such as healthcare workers and refugees. Focal points included the impact of PMIEs involving children, the association of PMIEs and personal childhood victimisation, the prevalence of betrayal trauma, and the relationship between moral injury and empathy. As for treatment, points of interest included new treatment initiatives as well as findings that PMIE exposure does not impede help-seeking behaviour and response to PTSD treatment. We further discuss the wide range of phenomena that fall under moral injury definitions, the limited diversity of the moral injury literature, and the clinical utility of the moral injury construct. From conceptualisation to clinical utility and treatment, the concept of moral injury matures. Whether or not moral injury becomes a formal diagnosis, the need to examine tailored interventions to alleviate moral injury is clear.</t>
  </si>
  <si>
    <t>[ter Heide, F. Jackie June] ARQ Ctr 45, Diemen Oegstgeest, Netherlands; [Olff, Miranda] Amsterdam Univ Med Ctr, Dept Psychiat, Amsterdam, Netherlands; [Olff, Miranda] ARQ Natl Psychotrauma Ctr, Diemen Oegstgeest, Netherlands</t>
  </si>
  <si>
    <t>ter Heide, FJJ (corresponding author), ARQ Ctr 45, Diemen Oegstgeest, Netherlands.</t>
  </si>
  <si>
    <t>j.ter.heide@centrum45.nl</t>
  </si>
  <si>
    <t>Olff, Miranda/0000-0003-1016-9515; ter Heide, Foske Jackie June/0000-0001-7593-4359</t>
  </si>
  <si>
    <t>10.1080/20008066.2023.2196899</t>
  </si>
  <si>
    <t>E4ZU3</t>
  </si>
  <si>
    <t>WOS:000975647200001</t>
  </si>
  <si>
    <t>Tomaszewski, C; Belot, RA; Essadek, A; Onumba-Bessonnet, H; Clesse, C</t>
  </si>
  <si>
    <t>Tomaszewski, Crystal; Belot, Rose-Angelique; Essadek, Aziz; Onumba-Bessonnet, Heloise; Clesse, Christophe</t>
  </si>
  <si>
    <t>Impact of dance therapy on adults with psychological trauma: a systematic review</t>
  </si>
  <si>
    <t>Dance therapy; psychological trauma; violence; post-traumatic stress disorder; adults; psychotherapy; &gt;</t>
  </si>
  <si>
    <t>POSTTRAUMATIC-STRESS-DISORDER; DANCE/MOVEMENT THERAPY; MOVEMENT THERAPY; DISSOCIATION; INTERVENTION; WAR</t>
  </si>
  <si>
    <t>Background: Dance therapy is thought to improve mental and physical health by activating psychological and physiological processes such as motor coordination, and expression of emotions. Some currently used mind-body interventions for posttraumatic symptoms address both mental and physical health. Although some studies have evaluated the efficacy of dance therapy for posttraumatic symptoms, a systematic review of extant research has not been conducted. Objectives: To identify the effects of dance therapy in adults with psychological trauma as well as the barriers and facilitators associated with its therapeutic use. Method: Articles published between 2000 and March 2023 have been selected with the help of six relevant keyword combinations applied on seven databases. Two reviewers independently screened 119 titles and abstracts against inclusion and exclusion criteria. Bias evaluation has been conducted with the help of the NIH study quality assessment tools and JBI's critical appraisal tools. A report of the results has been organized with the help of a thematic analysis. Results: Of the 15 articles included, only one case study directly reports a diminution of pathognomonic symptoms of trauma. Other studies present improvements in the key aspects of trauma therapy: bodily sensations and perceptions, psychological processes, and interpersonal skills. These improvements depend on the stability of the intervention, the applied method (dance as therapy or dance/movement therapy), and likely, the skill set of the therapists. However, the reviewed studies lacked uniformity in assessments of adherence and its effect on therapeutic outcomes. Conclusion: Dance therapy may be a useful technique for improving both psychological and physiological symptoms associated with trauma exposure, such as avoidance and dissociative phenomena. To complement the results of this qualitative systematic review, further quantitative and qualitative research on the impact of dance therapy interventions as a trauma treatment should be conducted.</t>
  </si>
  <si>
    <t>[Tomaszewski, Crystal; Belot, Rose-Angelique] Univ Franche Comte, Lab Psychol, Ave Louise Michel, F-25000 Besancon, France; [Tomaszewski, Crystal; Essadek, Aziz] Univ Lorraine, Lab INTERPSY, Nancy, France; [Tomaszewski, Crystal; Onumba-Bessonnet, Heloise] LOBA Assoc, Paris, France; [Clesse, Christophe] Roehampton Univ, Sch Psychol, London, England</t>
  </si>
  <si>
    <t>Universite de Franche-Comte; Universite de Lorraine; Roehampton University</t>
  </si>
  <si>
    <t>Tomaszewski, C (corresponding author), Univ Franche Comte, Lab Psychol, Ave Louise Michel, F-25000 Besancon, France.</t>
  </si>
  <si>
    <t>crystal.tomaszewski@gmail.com</t>
  </si>
  <si>
    <t>Tomaszewski, Crystal/0000-0002-1120-6798; Clesse, Christophe/0000-0003-3042-0770; Essadek, Aziz/0000-0002-3683-7019</t>
  </si>
  <si>
    <t>LOBA Association [126000]</t>
  </si>
  <si>
    <t>LOBA Association</t>
  </si>
  <si>
    <t>The lead researcher, Crystal Tomaszewski, and Heloise Onumba-Bessonnet are funded by the LOBA association, which launched a dance-therapy protocol. C.T. and H.O-B. are funded by the LOBA Association [grant number: 126000].</t>
  </si>
  <si>
    <t>10.1080/20008066.2023.2225152</t>
  </si>
  <si>
    <t>L8BL6</t>
  </si>
  <si>
    <t>WOS:001025457700001</t>
  </si>
  <si>
    <t>Sukarieh, R; Milburn, K</t>
  </si>
  <si>
    <t>Sukarieh, Rana; Milburn, Keir</t>
  </si>
  <si>
    <t>Generation left</t>
  </si>
  <si>
    <t>SOCIAL MOVEMENT STUDIES</t>
  </si>
  <si>
    <t>[Sukarieh, Rana] York Univ, Toronto, ON, Canada</t>
  </si>
  <si>
    <t>York University - Canada</t>
  </si>
  <si>
    <t>Sukarieh, R (corresponding author), York Univ, Toronto, ON, Canada.</t>
  </si>
  <si>
    <t>Rana12@yorku.ca</t>
  </si>
  <si>
    <t>1474-2837</t>
  </si>
  <si>
    <t>1474-2829</t>
  </si>
  <si>
    <t>SOC MOVEMENT STUD</t>
  </si>
  <si>
    <t>Soc. Mov. Stud.</t>
  </si>
  <si>
    <t>NOV 2</t>
  </si>
  <si>
    <t>5-6</t>
  </si>
  <si>
    <t>SI</t>
  </si>
  <si>
    <t>10.1080/14742837.2022.2031959</t>
  </si>
  <si>
    <t>Political Science; Sociology</t>
  </si>
  <si>
    <t>Government &amp; Law; Sociology</t>
  </si>
  <si>
    <t>P9UO9</t>
  </si>
  <si>
    <t>WOS:001054061000016</t>
  </si>
  <si>
    <t>Hu, HX; Cheng, X; Liu, ZW; Chen, XY; Piao, RX; Xiang, CY</t>
  </si>
  <si>
    <t>Hu, Haixia; Cheng, Xin; Liu, Zhiwei; Chen, Xiangyang; Piao, Rongxun; Xiang, Cenyang</t>
  </si>
  <si>
    <t>Influence of Bamboo Fibers Weight Fraction on the Quasi-Static and Dynamic Compressive Responses of Epoxy Matrix Composites</t>
  </si>
  <si>
    <t>JOURNAL OF NATURAL FIBERS</t>
  </si>
  <si>
    <t>Epoxy matrix composites; natural bamboo fibers; dynamic compressive responses; quasi-static compressive experiment; &gt;</t>
  </si>
  <si>
    <t>THERMAL-PROPERTIES; GLASS-FIBER</t>
  </si>
  <si>
    <t>The influences of natural bamboo fibers (BFs) weight fraction on the microstructure, quasi-static and dynamic compressive responses of the epoxy resin matrix composites were investigated with the aid of scanning electron microscope, electronic universal testing machine and the modified Split Hopkinson pressure bar (SHPB) setup. The quasi-static compressive properties of the BFs/epoxy resin matrix composites suggested that the compressive strength were strongly improved with the addition of the natural BFs, which was attributed to the excellent strengthening effect. When the BFs content increased up to 15 wt.%, the compression ratio of the BFs/epoxy resin matrix composites showed 11% reduction than that of the unmodified epoxy resin. Moreover, the stress and strain were linear at the initial part but nonlinear when stress exceeds a certain value. SHPB impact tests results indicated that, compared with the pristine epoxy resin, the natural BFs reinforced epoxy matrix composite with 15 wt.% BFs exhibited the highest dynamic compressive strength, compression modulus and the best strengthening effect. Epoxy resin matrix composites also showed an obvious effect rate effective under impact load. Similar to that in the quasi-static compressive test, the addition of natural BFs has a positive effect in improving the compressive strength of the epoxy matrix.</t>
  </si>
  <si>
    <t>[Hu, Haixia; Cheng, Xin; Liu, Zhiwei; Chen, Xiangyang; Piao, Rongxun; Xiang, Cenyang] Anhui Univ Sci &amp; Technol, Coll Mech Engn, Huainan, Peoples R China; [Hu, Haixia] Anhui Univ Sci &amp; Technol, Coll Mech Engn, Taifeng St 168, Huainan 232001, Anhui, Peoples R China</t>
  </si>
  <si>
    <t>Anhui University of Science &amp; Technology; Anhui University of Science &amp; Technology</t>
  </si>
  <si>
    <t>Hu, HX (corresponding author), Anhui Univ Sci &amp; Technol, Coll Mech Engn, Taifeng St 168, Huainan 232001, Anhui, Peoples R China.</t>
  </si>
  <si>
    <t>huhx2006@163.com</t>
  </si>
  <si>
    <t>Key Program for the Education Department of Anhui Province [KJ2020A0282]; Natural Science Foundation of Anhui Province Education Department [KJ2019A0127]</t>
  </si>
  <si>
    <t>Key Program for the Education Department of Anhui Province; Natural Science Foundation of Anhui Province Education Department(Natural Science Foundation of Anhui Province)</t>
  </si>
  <si>
    <t>This work was supported by the Key Program for the Education Department of Anhui Province, Grant number KJ2020A0282; Natural Science Foundation of Anhui Province Education Department, Grant number KJ2019A0127.</t>
  </si>
  <si>
    <t>1544-0478</t>
  </si>
  <si>
    <t>1544-046X</t>
  </si>
  <si>
    <t>J NAT FIBERS</t>
  </si>
  <si>
    <t>J. Nat. Fibers</t>
  </si>
  <si>
    <t>NOV 1</t>
  </si>
  <si>
    <t>10.1080/15440478.2023.2246646</t>
  </si>
  <si>
    <t>Materials Science, Textiles</t>
  </si>
  <si>
    <t>P4OX2</t>
  </si>
  <si>
    <t>WOS:001050467400001</t>
  </si>
  <si>
    <t>Hobbs, BE</t>
  </si>
  <si>
    <t>Hobbs, B. E.</t>
  </si>
  <si>
    <t>The use of structural geology in the mineral exploration industry</t>
  </si>
  <si>
    <t>AUSTRALIAN JOURNAL OF EARTH SCIENCES</t>
  </si>
  <si>
    <t>STEREOGRAPHIC PROJECTION</t>
  </si>
  <si>
    <t>[Hobbs, B. E.] Univ Western Australia, Ctr Explorat Targeting, Sch Earth Sci, Crawley, Australia</t>
  </si>
  <si>
    <t>University of Western Australia</t>
  </si>
  <si>
    <t>Hobbs, BE (corresponding author), Univ Western Australia, Ctr Explorat Targeting, Sch Earth Sci, Crawley, Australia.</t>
  </si>
  <si>
    <t>bruce.hobbs@csiro.au</t>
  </si>
  <si>
    <t>0812-0099</t>
  </si>
  <si>
    <t>1440-0952</t>
  </si>
  <si>
    <t>AUST J EARTH SCI</t>
  </si>
  <si>
    <t>Aust. J. Earth Sci.</t>
  </si>
  <si>
    <t>OCT 3</t>
  </si>
  <si>
    <t>10.1080/08120099.2023.2228857</t>
  </si>
  <si>
    <t>Geosciences, Multidisciplinary</t>
  </si>
  <si>
    <t>Geology</t>
  </si>
  <si>
    <t>P1BA5</t>
  </si>
  <si>
    <t>Bronze</t>
  </si>
  <si>
    <t>WOS:001048048300001</t>
  </si>
  <si>
    <t>Lin, SC; Chen, K; Zeng, Q; Ramamurty, U</t>
  </si>
  <si>
    <t>Lin, Sicong; Chen, Kai; Zeng, Qiang; Ramamurty, Upadrasta</t>
  </si>
  <si>
    <t>A method for increasing the supersolvus critical strain for recrystallization in single-crystal superalloys</t>
  </si>
  <si>
    <t>MATERIALS RESEARCH LETTERS</t>
  </si>
  <si>
    <t>Recovery heat treatment; Ni-based superalloy single crystals; recrystallization critical strain; microstructure evolution</t>
  </si>
  <si>
    <t>Recrystallization, possibly triggered during heat treatments by plastic strains of only 1-2%, is highly deleterious to Ni-based single-crystal superalloys. Herein, we successfully recover plastic defor-mation and enhance the supersolvus critical strain for recrystallization by ramping the annealing temperature slowly from 1100 degrees C to ?'-solvus point. This preempts recrystallization during the sub-sequent supersolvus solutionizing treatment. The proposed method is validated in single-crystals compressed to 5.9% plastic strain at room temperature. After supersolvus solutionizing, an almost dislocation-free single-crystal with uniformly distributed ?'-precipitates is obtained. The proposed method offers a practical means to bring down the overall expenses of single-crystal turbine blades.</t>
  </si>
  <si>
    <t>[Lin, Sicong; Chen, Kai] Xi An Jiao Tong Univ, Ctr Adv Mat Performance Nanoscale CAMP Nano, State Key Lab Mech Behav Mat, Xian, Peoples R China; [Zeng, Qiang] Cent Iron &amp; Steel Res Inst, Beijing Key Lab Adv High Temp Mat, Beijing, Peoples R China; [Ramamurty, Upadrasta] Nanyang Technol Univ, Sch Mech &amp; Aerosp Engn, Singapore, Singapore; [Ramamurty, Upadrasta] Inst Mat Res Engn, Agcy Sci Technol &amp; Res, Singapore, Singapore; [Chen, Kai] Xi An Jiao Tong Univ, Ctr Adv Mat Performance Nanoscale CAMP Nano, State Key Lab forMechan Behav Mat, Xian 710049, Shaanxi, Peoples R China</t>
  </si>
  <si>
    <t>Xi'an Jiaotong University; Central Iron &amp; Steel Research Institute; Nanyang Technological University &amp; National Institute of Education (NIE) Singapore; Nanyang Technological University; Agency for Science Technology &amp; Research (A*STAR); A*STAR - Institute of Materials Research &amp; Engineering (IMRE); Xi'an Jiaotong University</t>
  </si>
  <si>
    <t>Chen, K (corresponding author), Xi An Jiao Tong Univ, Ctr Adv Mat Performance Nanoscale CAMP Nano, State Key Lab forMechan Behav Mat, Xian 710049, Shaanxi, Peoples R China.</t>
  </si>
  <si>
    <t>kchenlbl@gmail.com</t>
  </si>
  <si>
    <t>Chen, Kai/O-5662-2014</t>
  </si>
  <si>
    <t>Chen, Kai/0000-0002-4917-4445</t>
  </si>
  <si>
    <t>National Science and Technology Major Project [2019-VII-0019-0161]; National Natural Science Foundation of China [51927801, U2032205, 52271042]; Outstanding Young Scholar Program [2020-JCJQ-009]; 111 Project 2.0 [BP0618008]; International Joint Laboratory for Micro/Nano Manufacturing and Measurement Technologies</t>
  </si>
  <si>
    <t>National Science and Technology Major Project; National Natural Science Foundation of China(National Natural Science Foundation of China (NSFC)); Outstanding Young Scholar Program; 111 Project 2.0; International Joint Laboratory for Micro/Nano Manufacturing and Measurement Technologies</t>
  </si>
  <si>
    <t>This work was supported by National Science and Technology Major Project: [Grant Number 2019-VII-0019-0161]; National Natural Science Foundation of China: [Grant Number 51927801, U2032205, and 52271042]; Outstanding Young Scholar Program: [Grant Number 2020-JCJQ-009]; 111 Project 2.0: [Grant Number BP0618008]. We appreciate the support from the International Joint Laboratory for Micro/Nano Manufacturing and Measurement Technologies. We thank Instrumental Analysis Center of Xi'an Jiaotong University and Dr. Peng Zhang from CAMPNano for the assistance with TEM characterization, and Dr. Zhijun Li from Shanghai Institute of Applied Physics, Chinese Academy of Sciences for the EBSD analysis.</t>
  </si>
  <si>
    <t>2166-3831</t>
  </si>
  <si>
    <t>MATER RES LETT</t>
  </si>
  <si>
    <t>Mater. Res. Lett.</t>
  </si>
  <si>
    <t>10.1080/21663831.2023.2253267</t>
  </si>
  <si>
    <t>R1CO5</t>
  </si>
  <si>
    <t>WOS:001061791200001</t>
  </si>
  <si>
    <t>Sabir, Z; Baleanu, D; Mallawi, FO; Ullah, MZ</t>
  </si>
  <si>
    <t>Sabir, Zulqurnain; Baleanu, Dumitru; Mallawi, Fouad Othman; Ullah, Malik Zaka</t>
  </si>
  <si>
    <t>A novel radial basis procedure for the SIRC epidemic delay differential model</t>
  </si>
  <si>
    <t>INTERNATIONAL JOURNAL OF COMPUTER MATHEMATICS</t>
  </si>
  <si>
    <t>Radial basis; epidemic; Bayesian regularization; nonlinear model; neural networks</t>
  </si>
  <si>
    <t>DYNAMICS; EXTINCTION; BEHAVIOR; SYSTEM; VIRUS</t>
  </si>
  <si>
    <t>The purpose of this work is to construct a reliable stochastic framework for solving the SIRC delay differential epidemic system, i.e. SIRC-DDES that is based on the coronavirus dynamics. The design of radial basis (RB) transfer function with the optimization of Bayesian regularization neural network (RB-BRNN) is presented to solve the SIRC-DDES. The SIRC-DDES is classified into susceptible $ S(x) $ S(x), infected $ I(x) $ I(x), recovered $ R(x) $ R(x) and cross-immune $ C(x) $ C(x). The exactness of the RB-BRNN is performed for three cases of SIRC-DDES by using the performances of the obtained and reference results. The mean square error is reduced by using the training, testing and substantiation performances with the reference solutions. The small values of the absolute error around 10-07 to 10-08 and different statistical operator performances based on the error histogram values, transitions of state investigations, correlation and regression tests also approve the accuracy of the proposed technique.</t>
  </si>
  <si>
    <t>[Sabir, Zulqurnain] Hazara Univ, Dept Math &amp; Stat, Mansehra, Pakistan; [Sabir, Zulqurnain] Lebanese Amer Univ, Dept Comp Sci &amp; Math, Beirut, Lebanon; [Baleanu, Dumitru] Cankaya Univ, Dept Math, Ankara, Turkiye; [Baleanu, Dumitru] Inst Space Sci, Magurele, Romania; [Baleanu, Dumitru] China Med Univ, China Med Univ Hosp, Dept Med Res, Taichung, Taiwan; [Baleanu, Dumitru] NearEast Univ, Math Res Ctr, Mersin, Turkiye; [Mallawi, Fouad Othman; Ullah, Malik Zaka] King Abdulaziz Univ, Dept Math, Math Modeling &amp; Appl Computat MMAC, Res Grp, Jeddah, Saudi Arabia</t>
  </si>
  <si>
    <t>Hazara University; Lebanese American University; Cankaya University; Institute of Space Science; China Medical University Taiwan; China Medical University Hospital - Taiwan; King Abdulaziz University</t>
  </si>
  <si>
    <t>Sabir, Z (corresponding author), Hazara Univ, Dept Math &amp; Stat, Mansehra, Pakistan.;Sabir, Z (corresponding author), Lebanese Amer Univ, Dept Comp Sci &amp; Math, Beirut, Lebanon.</t>
  </si>
  <si>
    <t>zulqurnain_maths@hu.edu.pk</t>
  </si>
  <si>
    <t>The Deanship of Scientific Research (DSR) at King Abdulaziz University (KAU), Jeddah, Saudi Arabia, has funded this project, under grant no. (KEP-MSc: 65-130-1443).; Deanship of Scientific Research (DSR) at King Abdulaziz University (KAU), Jeddah, Saudi Arabia; [KEP-MSc: 65-130-1443]</t>
  </si>
  <si>
    <t>The Deanship of Scientific Research (DSR) at King Abdulaziz University (KAU), Jeddah, Saudi Arabia, has funded this project, under grant no. (KEP-MSc: 65-130-1443).; Deanship of Scientific Research (DSR) at King Abdulaziz University (KAU), Jeddah, Saudi Arabia;</t>
  </si>
  <si>
    <t>The Deanship of Scientific Research (DSR) at King Abdulaziz University (KAU), Jeddah, Saudi Arabia, has funded this project, under grant no. (KEP-MSc: 65-130-1443).</t>
  </si>
  <si>
    <t>0020-7160</t>
  </si>
  <si>
    <t>1029-0265</t>
  </si>
  <si>
    <t>INT J COMPUT MATH</t>
  </si>
  <si>
    <t>Int. J. Comput. Math.</t>
  </si>
  <si>
    <t>10.1080/00207160.2023.2248286</t>
  </si>
  <si>
    <t>OCT 2023</t>
  </si>
  <si>
    <t>Mathematics, Applied</t>
  </si>
  <si>
    <t>Mathematics</t>
  </si>
  <si>
    <t>R2TW9</t>
  </si>
  <si>
    <t>WOS:001060131000001</t>
  </si>
  <si>
    <t>Solomos, J</t>
  </si>
  <si>
    <t>Solomos, John</t>
  </si>
  <si>
    <t>The Introduction</t>
  </si>
  <si>
    <t>ETHNIC AND RACIAL STUDIES</t>
  </si>
  <si>
    <t>0141-9870</t>
  </si>
  <si>
    <t>1466-4356</t>
  </si>
  <si>
    <t>ETHNIC RACIAL STUD</t>
  </si>
  <si>
    <t>Ethn. Racial Stud.</t>
  </si>
  <si>
    <t>10.1080/01419870.2023.2238805</t>
  </si>
  <si>
    <t>Ethnic Studies; Sociology</t>
  </si>
  <si>
    <t>Q5LJ3</t>
  </si>
  <si>
    <t>WOS:001057932900001</t>
  </si>
  <si>
    <t>Hamedani, EA; Abdalisousan, A; Khoshgard, A; Nazari, M</t>
  </si>
  <si>
    <t>Abbasian Hamedani, Erfan; Abdalisousan, Ashkan; Khoshgard, Ahmad; Nazari, Mehdi</t>
  </si>
  <si>
    <t>Energy, exergy, and sustainability analysis of an industrial nitric acid plant</t>
  </si>
  <si>
    <t>ENERGY SOURCES PART A-RECOVERY UTILIZATION AND ENVIRONMENTAL EFFECTS</t>
  </si>
  <si>
    <t>Energy; exergy; sustainability; nitric acid plant; optimization</t>
  </si>
  <si>
    <t>STEAM POWER-PLANT; PERFORMANCE; OPTIMIZATION; ELECTRICITY; REACTOR</t>
  </si>
  <si>
    <t>In this paper, energy, exergy, and sustainability analyses are performed on the Karun petrochemical nitric acid plant in Mahshahr at varying ambient temperatures to reveal realistic optimization opportunities. All plant components have been analyzed individually by using mass, energy, and exergy balance equations. Results regarding energy, exergy, and sustainability evaluations of the equipment have been presented in the individual table. The energy analysis indicates that the system's energy efficiency is 30.9% and introduces the absorber column as the equipment with the highest heat transfer to the environment in the entire plant (6889 kW). The exergy analysis revealed that the exergy efficiency of the entire system had variations ranging from 13.39% to 14.72%, which is inversely proportional to the increase in dead state temperatures. The maximum amount of exergy destruction is calculated for the converter (5129 kW at 45 &amp; DEG;C). In addition, exergy analysis identified the converter as the component with the most potential for improvement (2918 kW at 45 &amp; DEG;C). On the other hand, the highest sustainability index is found for the absorber column (1.616 at 15 &amp; DEG;C). Moreover, by selecting the optimal intermediate pressure for the compressors, the power consumption of the air compression system has been reduced by 185.9 kW, and its exergy efficiency has increased by 3%.</t>
  </si>
  <si>
    <t>[Abbasian Hamedani, Erfan; Abdalisousan, Ashkan] Islamic Azad Univ, Dept Energy Engn &amp; Ind, Sci &amp; Res Branch, Tehran, Iran; [Abbasian Hamedani, Erfan; Nazari, Mehdi] Karun Petrochem Co, Mahshahr, Iran; [Abdalisousan, Ashkan] Islamic Azad Univ, Dept Engn &amp; Technol, Astara Branch, Astara, Iran; [Khoshgard, Ahmad] Islamic Azad Univ, Dept Chem Engn, South Tehran Branch, Tehran, Iran; [Abbasian Hamedani, Erfan; Abdalisousan, Ashkan] Islamic Azad Univ, Dept Energy Engn &amp; Ind, Sci &amp; Res Branch, Tehran, Iran</t>
  </si>
  <si>
    <t>Islamic Azad University; Islamic Azad University; Islamic Azad University; Islamic Azad University</t>
  </si>
  <si>
    <t>Hamedani, EA; Abdalisousan, A (corresponding author), Islamic Azad Univ, Dept Energy Engn &amp; Ind, Sci &amp; Res Branch, Tehran, Iran.</t>
  </si>
  <si>
    <t>erfan.abbasian@srbiau.ac.ir; a.abdali@srbiau.ac.ir</t>
  </si>
  <si>
    <t>Abdalisousan, Ashkan/H-7160-2019</t>
  </si>
  <si>
    <t>Abdalisousan, Ashkan/0000-0002-4212-3565</t>
  </si>
  <si>
    <t>1556-7036</t>
  </si>
  <si>
    <t>1556-7230</t>
  </si>
  <si>
    <t>ENERG SOURCE PART A</t>
  </si>
  <si>
    <t>Energy Sources Part A-Recovery Util. Environ. Eff.</t>
  </si>
  <si>
    <t>OCT 2</t>
  </si>
  <si>
    <t>10.1080/15567036.2023.2253762</t>
  </si>
  <si>
    <t>Energy &amp; Fuels; Engineering, Chemical; Environmental Sciences</t>
  </si>
  <si>
    <t>Energy &amp; Fuels; Engineering; Environmental Sciences &amp; Ecology</t>
  </si>
  <si>
    <t>R3HP7</t>
  </si>
  <si>
    <t>WOS:001063298900001</t>
  </si>
  <si>
    <t>Cikan, M; Dogansahin, K</t>
  </si>
  <si>
    <t>Cikan, Murat; Dogansahin, Kadir</t>
  </si>
  <si>
    <t>A Comprehensive Evaluation of Up-to-Date Optimization Algorithms on MPPT Application for Photovoltaic Systems</t>
  </si>
  <si>
    <t>MPPT; PV systems; Meta-heuristic algorithms; Runge-kutta algorithm; Optimization; &gt;</t>
  </si>
  <si>
    <t>PV SYSTEMS</t>
  </si>
  <si>
    <t>Maximum Power Point Tracking (MPPT) plays a significant role in obtaining maximum power at PV system outputs. Recent research has focused on minimizing the adverse effects of partial shading and dynamic environmental conditions on MPPT. Metaheuristic optimization algorithms have attracted attention with their success in these issues. The growing body of literature lacks a study that comprehensively evaluates current metaheuristic algorithms. In this study, the performances of 20 metaheuristic algorithms under five different shading conditions, nonuniform temperature distribution, and variable irradiance conditions have been investigated. The successes of the algorithms in the convergence of the global maximum value and their convergence rates have been calculated through various statistical metrics with different aspects. This study provides a novel approach to objectively evaluating the performances of the algorithms by using the three-dimensional Pareto Front method. As the result of this multicriteria evaluation, RKO, MPA and CGO algorithms are able to provide non-dominated results. These three algorithms are further tested using case analysis designed for dynamic operating conditions, and the RKO algorithm exhibited the most favorable results. Additionally, the RKO algorithm exhibits remarkable performance by reaching the LMPP/GMPP point within an average time of 3.2 milliseconds in all cases. Moreover, it demonstrates an average efficiency value exceeding 0.999.</t>
  </si>
  <si>
    <t>[Cikan, Murat] Cukurova Univ, Adana Organize Ind Reg Vocat Sch Tech Sci, Adana, Turkiye; [Dogansahin, Kadir] Artvin Coruh Univ, Dept Elect &amp; Elect Engn, Artvin, Turkiye</t>
  </si>
  <si>
    <t>Cukurova University; Artvin Coruh University</t>
  </si>
  <si>
    <t>Cikan, M (corresponding author), Cukurova Univ, Adana Organize Ind Reg Vocat Sch Tech Sci, Adana, Turkiye.</t>
  </si>
  <si>
    <t>mcikan@cu.edu.tr</t>
  </si>
  <si>
    <t>DOGANSAHIN, Kadir/0000-0002-6763-058X; Cikan, Murat/0000-0001-6723-5769</t>
  </si>
  <si>
    <t>10.1080/15567036.2023.2245771</t>
  </si>
  <si>
    <t>P2JW6</t>
  </si>
  <si>
    <t>Green Submitted</t>
  </si>
  <si>
    <t>WOS:001048964000001</t>
  </si>
  <si>
    <t>Daumann, F</t>
  </si>
  <si>
    <t>Daumann, Frank</t>
  </si>
  <si>
    <t>The client's struggle to control private military companies effectively</t>
  </si>
  <si>
    <t>DEFENCE AND SECURITY ANALYSIS</t>
  </si>
  <si>
    <t>Article; Early Access</t>
  </si>
  <si>
    <t>Private military companies; principal agent problem; relational contracts; adverse selection; supply induced demand; moral hazard; military threat potential; economic threat potential</t>
  </si>
  <si>
    <t>SECURITY COMPANIES; COMPETITION; ATTITUDES; SEVERITY; INSIGHTS; LESSONS; FORCES</t>
  </si>
  <si>
    <t>Private military companies (PMC) offer combat and training services and can have considerable advantages for the client on the one hand, but on the other hand it is hard for the client to exercise effective external governance. Using tools of New Institutional Economics, we analyse the relationship between the PMC and the client and show that effects like adverse selection, moral hazard and supply induced demand are detrimental to the client. We derive approaches from the theory to solve the identified problems. With the help of a comparative case study (Wagner Group in Syria and Gurkha Security Guards in Sierra Leone), the insights gained are tested and put into perspective. It turns out that there must be an effective military or economic threat potential in particular in order to achieve good behaviour on the part of the PMC. In this way, we expand the insights of successful monitoring private providers of military force from the client's point of view.</t>
  </si>
  <si>
    <t>[Daumann, Frank] Friedrich Schiller Univ Jena, Fac Social &amp; Behav Sci, Jena, Germany</t>
  </si>
  <si>
    <t>Friedrich Schiller University of Jena</t>
  </si>
  <si>
    <t>Daumann, F (corresponding author), Friedrich Schiller Univ Jena, Fac Social &amp; Behav Sci, Jena, Germany.</t>
  </si>
  <si>
    <t>frank.daumann@uni-jena.de</t>
  </si>
  <si>
    <t>Daumann, Frank/0000-0001-8649-8695</t>
  </si>
  <si>
    <t>1475-1798</t>
  </si>
  <si>
    <t>1475-1801</t>
  </si>
  <si>
    <t>DEF SECUR ANAL</t>
  </si>
  <si>
    <t>Def. Secur. Anal.</t>
  </si>
  <si>
    <t>2023 OCT 2</t>
  </si>
  <si>
    <t>10.1080/14751798.2023.2240654</t>
  </si>
  <si>
    <t>International Relations</t>
  </si>
  <si>
    <t>P4JE8</t>
  </si>
  <si>
    <t>WOS:001050317400001</t>
  </si>
  <si>
    <t>Young, JE; Brenneise, AD</t>
  </si>
  <si>
    <t>Young, Joshua E.; Brenneise, Allison D.</t>
  </si>
  <si>
    <t>Presenting our wounds, healing the discipline: the problem of communication effectiveness</t>
  </si>
  <si>
    <t>COMMUNICATION EDUCATION</t>
  </si>
  <si>
    <t>PERFORMANCE; COMPETENCE</t>
  </si>
  <si>
    <t>[Young, Joshua E.] Dept Interdisciplinary Studies, Epworth, IA USA; [Brenneise, Allison D.] Univ Minnesota, Dept Commun Studies, Minneapolis, MN 55455 USA</t>
  </si>
  <si>
    <t>University of Minnesota System; University of Minnesota Twin Cities</t>
  </si>
  <si>
    <t>Brenneise, AD (corresponding author), Univ Minnesota, Dept Commun Studies, Minneapolis, MN 55455 USA.</t>
  </si>
  <si>
    <t>brenn383@umn.edu</t>
  </si>
  <si>
    <t>0363-4523</t>
  </si>
  <si>
    <t>1479-5795</t>
  </si>
  <si>
    <t>COMMUN EDUC</t>
  </si>
  <si>
    <t>Commun. Educ.</t>
  </si>
  <si>
    <t>10.1080/03634523.2023.2234516</t>
  </si>
  <si>
    <t>Communication; Education &amp; Educational Research</t>
  </si>
  <si>
    <t>O4HC0</t>
  </si>
  <si>
    <t>WOS:001043431400008</t>
  </si>
  <si>
    <t>Nilvius, C; Faelth, L; Selenius, H; Svensson, I</t>
  </si>
  <si>
    <t>Nilvius, Camilla; Faelth, Linda; Selenius, Heidi; Svensson, Idor</t>
  </si>
  <si>
    <t>Examination of a multitiered RtI-model for identifying and supporting students at risk of reading difficulties in primary schools in Sweden</t>
  </si>
  <si>
    <t>SCANDINAVIAN JOURNAL OF EDUCATIONAL RESEARCH</t>
  </si>
  <si>
    <t>Response to intervention (RtI); multitiered system of support (MTSS); reading; at risk; reading difficulties; primary education</t>
  </si>
  <si>
    <t>INTERVENTION RTI; 1ST-GRADE; GRADES; IMPLEMENTATION; DISABILITIES; ACHIEVEMENT; ADOLESCENTS; EFFICACY</t>
  </si>
  <si>
    <t>Some Swedish schools do not identify and support students with reading difficulties efficiently enough during the first years at school. A longitudinal design was used to examine a multitiered RtI-model for identifying and supporting students at risk of reading difficulties in a Swedish school context. The results demonstrated that the RtI-model could be successfully applied. The proportion of students in need of support (i.e., below the 25th percentile) was significantly reduced after two years. Compared to students in the reference group (n = 759), significantly fewer students in the RtI group (n = 113) scored below the 25th percentile in word and non-word decoding and reading comprehension in a short text at the end of Grade 2. The discussion highlights the RtI-model's original ideas.</t>
  </si>
  <si>
    <t>[Nilvius, Camilla; Faelth, Linda] Linnaeus Univ, Dept Pedag &amp; Learning, Vaxjo, Sweden; [Selenius, Heidi] Stockholm Univ, Dept Special Educ, Stockholm, Sweden; [Svensson, Idor] Linnaeus Univ, Dept Hlth &amp; Life Sci, Vaxjo, Sweden; [Nilvius, Camilla] Linnaeus Univ, Dept Pedag &amp; Learning, Univ Platsen 1, Vaxjo 35252, Sweden</t>
  </si>
  <si>
    <t>Linnaeus University; Stockholm University; Linnaeus University; Linnaeus University</t>
  </si>
  <si>
    <t>Nilvius, C (corresponding author), Linnaeus Univ, Dept Pedag &amp; Learning, Vaxjo, Sweden.;Nilvius, C (corresponding author), Linnaeus Univ, Dept Pedag &amp; Learning, Univ Platsen 1, Vaxjo 35252, Sweden.</t>
  </si>
  <si>
    <t>Camilla.nilvius@lnu.se</t>
  </si>
  <si>
    <t>The authors thank Sara Anvarsson at the LegiLexi foundation for assisting us with data files on the reference group.</t>
  </si>
  <si>
    <t>0031-3831</t>
  </si>
  <si>
    <t>1470-1170</t>
  </si>
  <si>
    <t>SCAND J EDUC RES</t>
  </si>
  <si>
    <t>Scand. J. Educ. Res.</t>
  </si>
  <si>
    <t>2023 SEP 30</t>
  </si>
  <si>
    <t>10.1080/00313831.2023.2263469</t>
  </si>
  <si>
    <t>SEP 2023</t>
  </si>
  <si>
    <t>S7PZ2</t>
  </si>
  <si>
    <t>WOS:001073066100001</t>
  </si>
  <si>
    <t>Roe, J; Perkins, M; Chonu, GK; Bhati, A</t>
  </si>
  <si>
    <t>Roe, Jasper; Perkins, Mike; Chonu, Gi Kunchana; Bhati, Abhishek</t>
  </si>
  <si>
    <t>Student perceptions of peer cheating behaviour during COVID-19 induced online teaching and assessment</t>
  </si>
  <si>
    <t>HIGHER EDUCATION RESEARCH &amp; DEVELOPMENT</t>
  </si>
  <si>
    <t>COVID-19; academic cheating; online assessment; academic integrity; examination cheating</t>
  </si>
  <si>
    <t>ACADEMIC-DISHONESTY; PREVENT</t>
  </si>
  <si>
    <t>In this article we report on a study of higher education students' (N = 256) perceptions on the willingness, pressure, and frequency of their peers to cheat in online assessments at an Australian university in Singapore during the COVID-19 induced Online Teaching and Assessment period (COTA). MANOVA was used to identify the differences in perception between COTA and In-Person Teaching and Assessment (IPTA), as well as differences between academic disciplines and stages of study. The findings demonstrate that students perceived an increase across all areas of online cheating during COTA, and that these perceptions varied significantly by discipline but not by stage of study. Inductive qualitative thematic analysis was then used to explore the reasons behind the perceived increases, identifying themes related to anonymity, material access, pressure to achieve, lack of consequences, and peer group access. The implications of this research offer deeper insight into assessment security, design, and student concerns during emergency online teaching periods which can inform institutional policies in the future.</t>
  </si>
  <si>
    <t>[Roe, Jasper; Chonu, Gi Kunchana; Bhati, Abhishek] James Cook Univ Singapore, Singapore, Singapore; [Perkins, Mike] British Univ Vietnam, Sch Business, Hung Yen, Vietnam; [Roe, Jasper] 149 Sims Dr, Singapore 387380, Singapore</t>
  </si>
  <si>
    <t>James Cook University</t>
  </si>
  <si>
    <t>Roe, J (corresponding author), 149 Sims Dr, Singapore 387380, Singapore.</t>
  </si>
  <si>
    <t>Jasper.r@jcu.edu.au</t>
  </si>
  <si>
    <t>We would like to acknowledge Lisa L. Walsh's assistance in sharing survey information to assist with our questionnaire development.</t>
  </si>
  <si>
    <t>0729-4360</t>
  </si>
  <si>
    <t>1469-8366</t>
  </si>
  <si>
    <t>HIGH EDUC RES DEV</t>
  </si>
  <si>
    <t>High. Educ. Res. Dev.</t>
  </si>
  <si>
    <t>2023 SEP 27</t>
  </si>
  <si>
    <t>10.1080/07294360.2023.2258820</t>
  </si>
  <si>
    <t>S7OH5</t>
  </si>
  <si>
    <t>WOS:001073022100001</t>
  </si>
  <si>
    <t>Hervas-Oliver, JL; Boronat-Moll, C; Sempere-Ripoll, F; Dahoui-Obon, JM</t>
  </si>
  <si>
    <t>Hervas-Oliver, Jose Luis; Boronat-Moll, Carles; Sempere-Ripoll, Francisca; Dahoui-Obon, Jose Mariano</t>
  </si>
  <si>
    <t>Industry diversification in industrial districts: is it about embedded regional or firm-level capabilities?</t>
  </si>
  <si>
    <t>REGIONAL STUDIES</t>
  </si>
  <si>
    <t>industrial districts; clusters; relatedness; firm diversification; O33; R10</t>
  </si>
  <si>
    <t>EVOLUTIONARY ECONOMIC-GEOGRAPHY; TECHNOLOGICAL RELATEDNESS; LIFE-CYCLE; KNOWLEDGE; DYNAMICS; NETWORKS; SPACE; ORGANIZATIONS; INNOVATION; CLUSTERS</t>
  </si>
  <si>
    <t>We analyse whether regionally embedded or firm-level capabilities drive regional diversification in industrial districts, examining the relationship between relatedness and Marshallian agglomerations. We argue that regional diversification lacks an explicit mechanism to explain branching into new products, positing that the origin of regional product branching is based on firm-level heterogeneity of capabilities and diversification, which is overlooked. Using mixed methods and patent analysis (1895-2019; 3592 patents and utility models), product diversification in the Toy Valley district in Alicante (Spain) is analysed, showing that firm-level related diversification with extensive local search explains the mechanism of the regional relatedness diversification.</t>
  </si>
  <si>
    <t>[Hervas-Oliver, Jose Luis; Sempere-Ripoll, Francisca] Univ Politecn Valencia, Management Dept, DOE, Valencia, Spain; [Boronat-Moll, Carles] Univ Valencia, Dept Direccio Empreses, Campus Tarongers, Valencia, Spain; [Dahoui-Obon, Jose Mariano] Univ Politecn Valencia Spain, Inst Itaca, Valencia, Spain</t>
  </si>
  <si>
    <t>Universitat Politecnica de Valencia; University of Valencia</t>
  </si>
  <si>
    <t>Dahoui-Obon, JM (corresponding author), Univ Politecn Valencia Spain, Inst Itaca, Valencia, Spain.</t>
  </si>
  <si>
    <t>Jose.hervas@omp.upv.es</t>
  </si>
  <si>
    <t>MICIN/AEI [PIDI2021-128878NB-100]</t>
  </si>
  <si>
    <t>MICIN/AEI</t>
  </si>
  <si>
    <t>Funding by MICIN/AEI/10.13039/501100011033 [grant number PIDI2021-128878NB-100, project INNI4-CLUSTER].</t>
  </si>
  <si>
    <t>0034-3404</t>
  </si>
  <si>
    <t>1360-0591</t>
  </si>
  <si>
    <t>REG STUD</t>
  </si>
  <si>
    <t>Reg. Stud.</t>
  </si>
  <si>
    <t>2023 SEP 26</t>
  </si>
  <si>
    <t>10.1080/00343404.2023.2244527</t>
  </si>
  <si>
    <t>Economics; Environmental Studies; Geography; Regional &amp; Urban Planning</t>
  </si>
  <si>
    <t>Business &amp; Economics; Environmental Sciences &amp; Ecology; Geography; Public Administration</t>
  </si>
  <si>
    <t>S5JS4</t>
  </si>
  <si>
    <t>WOS:001071534200001</t>
  </si>
  <si>
    <t>Kayas, OG; Matikonis, K; Cranmer, EE; Campos, JP</t>
  </si>
  <si>
    <t>Kayas, Oliver G.; Matikonis, Karl; Cranmer, Eleanor E.; Campos, Jorge Pereira</t>
  </si>
  <si>
    <t>Socially negotiating privacy boundaries and academic identities</t>
  </si>
  <si>
    <t>STUDIES IN HIGHER EDUCATION</t>
  </si>
  <si>
    <t>Privacy; social privacy; identity; workplace; higher education; university</t>
  </si>
  <si>
    <t>LEARNING ANALYTICS; CONSTRUCTION; ETHICS; WORK; CARE</t>
  </si>
  <si>
    <t>Research examining privacy in a higher education setting tends to focus on the student perspective whilst largely overlooking the academic perspective. Moreover, it fails to fully conceptualise the social, relational, and contextual complexities of privacy and the vital role it has on academics' ability to form their identity. To address these knowledge gaps, this paper draws on the social theory of privacy to examine how academics socially negotiate privacy boundaries and the influence these negotiations have on their identity. Data were gathered through a qualitative case study analysis of a higher education institution in the United Kingdom (UK). The findings reveal how academic preferences and context-dependent social meanings influence the construction of dialectical privacy boundaries that allow academics to create and maintain various personal boundaries. These negotiated boundaries are influenced by the nature of the relationship between individuals, the levels of trust between colleagues, and the social norms governing workplace relationships. The findings also reveal how these negotiated privacy boundaries provide an intimate territory within which academics co-construct their identity through a complex series of social interactions occurring over time.</t>
  </si>
  <si>
    <t>[Kayas, Oliver G.] Liverpool John Moores Univ, Liverpool, England; [Matikonis, Karl] Univ Coll Dublin, Dublin, Ireland; [Cranmer, Eleanor E.] Manchester Metropolitan Univ, Manchester, England; [Campos, Jorge Pereira] Leiden Univ, Leiden, Netherlands; [Kayas, Oliver G.] 70 Mt Pleasant, Liverpool L3 5UX, Merseyside, England; [Campos, Jorge Pereira] Lusiada Univ Norte, Ctr Invest Org Mercados &amp; Gestao Ind COMEGI, Braga, Portugal</t>
  </si>
  <si>
    <t>Liverpool John Moores University; University College Dublin; Manchester Metropolitan University; Leiden University; Leiden University - Excl LUMC</t>
  </si>
  <si>
    <t>Kayas, OG (corresponding author), 70 Mt Pleasant, Liverpool L3 5UX, Merseyside, England.</t>
  </si>
  <si>
    <t>o.g.kayas@ljmu.ac.uk</t>
  </si>
  <si>
    <t>We would like to sincerely thank Professor Valerie Steeves for the valuable feedback she provided on this paper.</t>
  </si>
  <si>
    <t>0307-5079</t>
  </si>
  <si>
    <t>1470-174X</t>
  </si>
  <si>
    <t>STUD HIGH EDUC</t>
  </si>
  <si>
    <t>Stud. High. Educ.</t>
  </si>
  <si>
    <t>10.1080/03075079.2023.2262507</t>
  </si>
  <si>
    <t>S3JG2</t>
  </si>
  <si>
    <t>WOS:001070158800001</t>
  </si>
  <si>
    <t>Liu, SY; Zhang, YL; Golm, GT; Liu, GH; Yang, S</t>
  </si>
  <si>
    <t>Liu, Siyi; Zhang, Yilong; Golm, Gregory T.; Liu, Guanghan (Frank); Yang, Shu</t>
  </si>
  <si>
    <t>Robust analyzes for longitudinal clinical trials with missing and non-normal continuous outcomes</t>
  </si>
  <si>
    <t>STATISTICAL THEORY AND RELATED FIELDS</t>
  </si>
  <si>
    <t>Longitudinal clinical trial; missing data; multiple imputation; robust regression; sensitivity analysis</t>
  </si>
  <si>
    <t>PATTERN-MIXTURE-MODELS; MULTIPLE IMPUTATION; REGRESSION; INFERENCE; SENSITIVITY; ASSUMPTIONS; FRAMEWORK</t>
  </si>
  <si>
    <t>Missing data is unavoidable in longitudinal clinical trials, and outcomes are not always normally distributed. In the presence of outliers or heavy-tailed distributions, the conventional multiple imputation with the mixed model with repeated measures analysis of the average treatment effect (ATE) based on the multivariate normal assumption may produce bias and power loss. Control-based imputation (CBI) is an approach for evaluating the treatment effect under the assumption that participants in both the test and control groups with missing outcome data have a similar outcome profile as those with an identical history in the control group. We develop a robust framework to handle non-normal outcomes under CBI without imposing any parametric modeling assumptions. Under the proposed framework, sequential weighted robust regressions are applied to protect the constructed imputation model against non-normality in the covariates and the response variables. Accompanied by the subsequent mean imputation and robust model analysis, the resulting ATE estimator has good theoretical properties in terms of consistency and asymptotic normality. Moreover, our proposed method guarantees the analysis model robustness of the ATE estimation in the sense that its asymptotic results remain intact even when the analysis model is misspecified. The superiority of the proposed robust method is demonstrated by comprehensive simulation studies and an AIDS clinical trial data application.</t>
  </si>
  <si>
    <t>[Liu, Siyi; Yang, Shu] North Carolina State Univ, Dept Stat, Raleigh, NC 27695 USA; [Zhang, Yilong; Golm, Gregory T.; Liu, Guanghan (Frank)] Merck &amp; Co Inc, Kenilworth, NJ USA</t>
  </si>
  <si>
    <t>North Carolina State University; Merck &amp; Company</t>
  </si>
  <si>
    <t>Yang, S (corresponding author), North Carolina State Univ, Dept Stat, Raleigh, NC 27695 USA.</t>
  </si>
  <si>
    <t>syang24@ncsu.edu</t>
  </si>
  <si>
    <t>NSF (National Institutes of Health) [DMS-1811245]; NIA (National Science Foundation) [1R01AG066883]; NIEHS [1R01ES031651]</t>
  </si>
  <si>
    <t>NSF (National Institutes of Health); NIA (National Science Foundation); NIEHS(United States Department of Health &amp; Human ServicesNational Institutes of Health (NIH) - USANIH National Institute of Environmental Health Sciences (NIEHS))</t>
  </si>
  <si>
    <t>Yang is partially supported by the NSF (National Institutes of Health) [Grant Number DMS-1811245], NIA (National Science Foundation) [Grant Number 1R01AG066883], and NIEHS [Grant Number 1R01ES031651].</t>
  </si>
  <si>
    <t>2475-4269</t>
  </si>
  <si>
    <t>2475-4277</t>
  </si>
  <si>
    <t>STATIST THEOR RELAT</t>
  </si>
  <si>
    <t>Statistical Theory Related Fields</t>
  </si>
  <si>
    <t>10.1080/24754269.2023.2261351</t>
  </si>
  <si>
    <t>Statistics &amp; Probability</t>
  </si>
  <si>
    <t>S6HN7</t>
  </si>
  <si>
    <t>WOS:001072154300001</t>
  </si>
  <si>
    <t>Singh, V; Singla, AK; Bansal, A</t>
  </si>
  <si>
    <t>Singh, Vikrant; Singla, Anil Kumar; Bansal, Anuj</t>
  </si>
  <si>
    <t>Enhanced erosion resistance of HVOF-deposited laser-textured TiC coating with PTFE</t>
  </si>
  <si>
    <t>SURFACE ENGINEERING</t>
  </si>
  <si>
    <t>Erosion; TiC; HVOF; SS316; PTFE; Texturing; Hardness; Toughness</t>
  </si>
  <si>
    <t>BEHAVIOR; SURFACE</t>
  </si>
  <si>
    <t>This research explores the enhanced slurry erosion behaviour of a composite coating comprising Titanium Carbide (TiC) deposited via High Velocity Oxy-Fuel (HVOF) spraying process. The study integrates laser texturing and Polytetrafluoroethylene (PTFE) spraying techniques to improve the coating's performance. TiC coating is applied to SS316 substrates using HVOF, followed by laser surface texturing to create micro-scale circular patterns. A thin layer of PTFE is then sprayed onto the textured surface, enhancing static contact angle and anti-adhesive properties. Slurry erosion tests reveal significant improvements in the coating's resistance. The findings offer promising applications in slurry erosion-prone industries. Further investigations aim to study the erosive mechanism of the different samples and evaluate their long-term performance.</t>
  </si>
  <si>
    <t>[Singh, Vikrant; Singla, Anil Kumar; Bansal, Anuj] St Longowal Inst Engn &amp; Technol, Sangrur 148106, Punjab, India</t>
  </si>
  <si>
    <t>Sant Longowal Institute of Engineering &amp; Technology (SLIET)</t>
  </si>
  <si>
    <t>Bansal, A (corresponding author), St Longowal Inst Engn &amp; Technol, Sangrur 148106, Punjab, India.</t>
  </si>
  <si>
    <t>anujbansalsliet@gmail.com</t>
  </si>
  <si>
    <t>0267-0844</t>
  </si>
  <si>
    <t>1743-2944</t>
  </si>
  <si>
    <t>SURF ENG</t>
  </si>
  <si>
    <t>Surf. Eng.</t>
  </si>
  <si>
    <t>10.1080/02670844.2023.2260049</t>
  </si>
  <si>
    <t>Materials Science, Coatings &amp; Films</t>
  </si>
  <si>
    <t>S5KM1</t>
  </si>
  <si>
    <t>WOS:001071554100001</t>
  </si>
  <si>
    <t>Ramirez, R; Lopez, LM; Gonzalez, OH; Galicia, M; Komaroff, E; Hammer, CS</t>
  </si>
  <si>
    <t>Ramirez, Rica; Lopez, Lisa M.; Gonzalez, Olivia Hernandez; Galicia, Marcela; Komaroff, Eugene; Hammer, Carol Scheffner</t>
  </si>
  <si>
    <t>Investigating the Development of Positive Peer Interactions in Low-Income Latino DLL Preschool Children</t>
  </si>
  <si>
    <t>EARLY EDUCATION AND DEVELOPMENT</t>
  </si>
  <si>
    <t>DUAL LANGUAGE LEARNERS; TEACHER CHARACTERISTICS; EMOTIONAL DEVELOPMENT; LEARNING BEHAVIORS; SOCIAL COMPETENCE; SCHOOL READINESS; HEAD-START; CLASSROOM; PLAY; LITERACY</t>
  </si>
  <si>
    <t>Research Findings: There is limited research regarding socio-emotional development in low-income Latino Dual Language Learner (DLL) children. A total of 14 studies have been identified in a comprehensive review of the literature (Halle et al. 2014). Within these studies the majority have focused on problem behaviors within this population. Through a strength-based lens, the current study examined changes in the development of positive peer interactions of Latino DLLs across their preschool year, along with child-level and eco-cultural factors that may support this development. A total of 397 low-income preschool Latino DLL children participated in the study. Teachers completed the Penn Interactive Peer Play Scale (PIPPS-T) and the Preschool Learning Behaviors Scale (PLBS), children were assessed on oral language measures, and classroom observations took place using the CLASS. Findings indicate positive increases in Latino DLL children's play interaction skills, along with decreases in problem behaviors across the preschool year. Emotional support, teacher's Spanish proficiency, oral language skills, and approaches to learning were positively related to peer interaction scores.Practice or Policy: This study has important implications for practitioners regarding improving the positive peer interactions of Latino DLLs, specifically low-income children, enrolled in preschool classrooms and supports the use of the home language in the classroom.</t>
  </si>
  <si>
    <t>[Ramirez, Rica] Univ Texas San Antonio, Dept Interdisciplinary Learning &amp; Teaching, San Antonio, TX USA; [Lopez, Lisa M.; Gonzalez, Olivia Hernandez; Galicia, Marcela] Univ S Florida, Dept Educ &amp; Psychol Studies, Tampa, FL USA; [Komaroff, Eugene] Keiser Univ, Grad Sch, Ft Lauderdale, FL USA; [Hammer, Carol Scheffner] Columbia Univ, Teachers Coll, New York, NY USA; [Lopez, Lisa M.] Univ S Florida, Dept Educ &amp; Psychol Studies, 4202 E Fowler Ave,EDU 380D, Tampa, FL 33620 USA</t>
  </si>
  <si>
    <t>University of Texas System; University of Texas at San Antonio (UTSA); State University System of Florida; University of South Florida; Keiser University; Columbia University; State University System of Florida; University of South Florida</t>
  </si>
  <si>
    <t>Lopez, LM (corresponding author), Univ S Florida, Dept Educ &amp; Psychol Studies, 4202 E Fowler Ave,EDU 380D, Tampa, FL 33620 USA.</t>
  </si>
  <si>
    <t>lmlopez@usf.edu</t>
  </si>
  <si>
    <t>Lopez, Lisa/0000-0002-0526-4334</t>
  </si>
  <si>
    <t>NIH-NICHD; NIH-NICHD; [5U01HD060296]</t>
  </si>
  <si>
    <t>NIH-NICHD(United States Department of Health &amp; Human ServicesNational Institutes of Health (NIH) - USANIH Eunice Kennedy Shriver National Institute of Child Health &amp; Human Development (NICHD)); NIH-NICHD(United States Department of Health &amp; Human ServicesNational Institutes of Health (NIH) - USANIH Eunice Kennedy Shriver National Institute of Child Health &amp; Human Development (NICHD));</t>
  </si>
  <si>
    <t>The work was supported by NIH-NICHD [5U01HD060296].</t>
  </si>
  <si>
    <t>1040-9289</t>
  </si>
  <si>
    <t>1556-6935</t>
  </si>
  <si>
    <t>EARLY EDUC DEV</t>
  </si>
  <si>
    <t>Early Educ. Dev.</t>
  </si>
  <si>
    <t>2023 SEP 25</t>
  </si>
  <si>
    <t>10.1080/10409289.2023.2260680</t>
  </si>
  <si>
    <t>Education &amp; Educational Research; Psychology, Educational; Psychology, Developmental</t>
  </si>
  <si>
    <t>Education &amp; Educational Research; Psychology</t>
  </si>
  <si>
    <t>S3YG9</t>
  </si>
  <si>
    <t>WOS:001070553800001</t>
  </si>
  <si>
    <t>Zhang, XB; Tao, YJ</t>
  </si>
  <si>
    <t>Zhang, Xuebin; Tao, Youjun</t>
  </si>
  <si>
    <t>CFD simulation on internal flow field of typical hydrocyclone for coal and development of novel hydrocyclone</t>
  </si>
  <si>
    <t>PARTICULATE SCIENCE AND TECHNOLOGY</t>
  </si>
  <si>
    <t>Hydrocyclone; ultrafine classification; coal slurry; classification efficiency; flow field simulation</t>
  </si>
  <si>
    <t>SEPARATION; OPTIMIZATION; PERFORMANCE; SIZE</t>
  </si>
  <si>
    <t>The work conducted flow field analysis of a typical hydrocyclone (&amp; phi;500 type) in the Coal Processing Plant using CFD simulation, including hydrocyclone modeling, flow field development, static pressure distribution, three-dimensional velocity, and air column development. Besides, the effects of influential factors on the classification effect of hydrocyclone were studied. On this basis, a novel hydrocyclone model was developed and simulated for the ultrafine classification of coal slurry. The static pressure and velocity in the typical hydrocyclone have good symmetry and certain regularity. Decreasing the overflow pipe diameter and cone angle, while increasing the underflow pipe diameter, cylindrical section height, and feed rate will increase the classification efficiency of hydrocyclone. The novel hydrocyclone designed of annular feeding, small cone angle, and large cone bottom reduces energy consumption, decreases classification size, and improves classification accuracy. CFD simulation results show that the novel hydrocyclone has higher classification efficiency and smaller classification size over the typical hydrocyclone. The novel hydrocyclone develops an excellent ultrafine classification effect of coal slurry and provides a prospective approach for the industrial application of hydrocyclone in the fine coal ultrafine classification process.</t>
  </si>
  <si>
    <t>[Zhang, Xuebin; Tao, Youjun] China Univ Min &amp; Technol, Key Lab Coal Proc &amp; Efficient Utilizat, Minist Educ, Xuzhou, Jiangsu, Peoples R China; [Zhang, Xuebin; Tao, Youjun] China Univ Min &amp; Technol, Sch Chem &amp; Engn Technol, Xuzhou, Jiangsu, Peoples R China; [Tao, Youjun] China Univ Min &amp; Technol, Sch Chem Engn &amp; Technol, Xuzhou 221116, Jiangsu, Peoples R China</t>
  </si>
  <si>
    <t>China University of Mining &amp; Technology; China University of Mining &amp; Technology; China University of Mining &amp; Technology</t>
  </si>
  <si>
    <t>Tao, YJ (corresponding author), China Univ Min &amp; Technol, Sch Chem Engn &amp; Technol, Xuzhou 221116, Jiangsu, Peoples R China.</t>
  </si>
  <si>
    <t>tyj05160@163.com</t>
  </si>
  <si>
    <t>National Natural Science Foundation of China [51874303]</t>
  </si>
  <si>
    <t>This work was supported by the National Natural Science Foundation of China under Grant No. [51874303].</t>
  </si>
  <si>
    <t>0272-6351</t>
  </si>
  <si>
    <t>1548-0046</t>
  </si>
  <si>
    <t>PARTICUL SCI TECHNOL</t>
  </si>
  <si>
    <t>Part. Sci. Technol.</t>
  </si>
  <si>
    <t>10.1080/02726351.2023.2261391</t>
  </si>
  <si>
    <t>S5KG7</t>
  </si>
  <si>
    <t>WOS:001071548700001</t>
  </si>
  <si>
    <t>Chang-Tik, C</t>
  </si>
  <si>
    <t>Chang-Tik, Chan</t>
  </si>
  <si>
    <t>Collaborative spaces: investigating the relationships between students' group-based learning and lecturers' approaches</t>
  </si>
  <si>
    <t>EDUCATIONAL RESEARCH</t>
  </si>
  <si>
    <t>Group-based learning; collaborative learning; learning tasks; collaborative learning spaces; active learning; higher education</t>
  </si>
  <si>
    <t>INSTRUCTION; STYLES</t>
  </si>
  <si>
    <t>BackgroundEnabling teaching approaches that promote active learning can require a certain amount of organisational reorientation. For example, structural and cultural shifts may be needed to accommodate moves towards student-centred learning. In higher education environments, lecturers can play a significant role in supporting students' collaborative learning. More needs to be understood about the connections between lecturers' pedagogical approaches and the enhancement of student learning through group-based activities.PurposeWith the context of a journey towards active learning in mind, this qualitative study sought to explore the relationship between lecturers' pedagogical approaches and students' group-based learning, and consider how student learning may be enriched through collaborative activities.MethodData were collected through semi-structured interviews with 12 lecturers who were teaching a range of subjects in a higher education institution in Malaysia. Observations of teaching were also undertaken. Data were analysed thematically.FindingsThe in-depth analysis of rich data identified the many different ways in which lecturers enabled and promoted students' group-based learning, through the design and delivery of appropriate and engaging collaborative tasks. Some challenges in the journey towards active learning development were identified in terms of supportive and procedural information provision.ConclusionFindings offer insight into how group activities may enhance student learning, when supported with carefully designed learning tasks which help students acquire the necessary collaborative skills. More broadly, they also highlight the need for institutional professional development support for higher education lecturers in order to engender a sustained culture of collaborative teaching and learning.</t>
  </si>
  <si>
    <t>[Chang-Tik, Chan] Monash Univ Malaysia, Educ Excellence Unit, Bandar, Malaysia</t>
  </si>
  <si>
    <t>Chang-Tik, C (corresponding author), Monash Univ Malaysia, Educ Excellence Unit, Bandar, Malaysia.</t>
  </si>
  <si>
    <t>chan.chang.tik@monash.edu</t>
  </si>
  <si>
    <t>The author is grateful to all participating lecturers and research assistants.</t>
  </si>
  <si>
    <t>0013-1881</t>
  </si>
  <si>
    <t>1469-5847</t>
  </si>
  <si>
    <t>EDUC RES-UK</t>
  </si>
  <si>
    <t>Educ. Res.</t>
  </si>
  <si>
    <t>2023 SEP 24</t>
  </si>
  <si>
    <t>10.1080/00131881.2023.2256747</t>
  </si>
  <si>
    <t>S3KZ6</t>
  </si>
  <si>
    <t>WOS:001070204200001</t>
  </si>
  <si>
    <t>Day, D</t>
  </si>
  <si>
    <t>Day, Dave</t>
  </si>
  <si>
    <t>Coach migration and the sharing of British expertise: some historical perspectives</t>
  </si>
  <si>
    <t>SPORTS COACHING REVIEW</t>
  </si>
  <si>
    <t>Coach migration; neighbourhood diffusion; hierarchical diffusion; biography; coaching knowledge</t>
  </si>
  <si>
    <t>GYMNASTICS; AUSTRALIA; SPORT</t>
  </si>
  <si>
    <t>While indigenous coaching cultures are founded and sustained according to national traditions, coaching preferences cross national boundaries to influence cultural developments in other nations. This phenomenon occurs through neighbourhood diffusion, the adoption of practices in adjacent countries, and hierarchical diffusion, whereby emerging nations adopt structural features of advanced nation's sports programmes and recruit coaching experts from those countries. This paper addresses a phase of coach migration from Britain that occurred during the late Victorian period and utilises a range of sources to present biographies of some British coaches who made an impact in America. Their collective biography illustrates some common features of these men's lives and the effect that they had on their host nation's coaching culture, contributing in the process to our understanding of the ways in which national coaching cultures have evolved and the relationship between the exchange of sports coaches and the transfer of knowledge and experience.</t>
  </si>
  <si>
    <t>[Day, Dave] Manchester Metropolitan Univ, Dept Hist Polit &amp; Philosophy, Manchester, England</t>
  </si>
  <si>
    <t>Manchester Metropolitan University</t>
  </si>
  <si>
    <t>Day, D (corresponding author), Manchester Metropolitan Univ, Dept Hist Polit &amp; Philosophy, Manchester, England.</t>
  </si>
  <si>
    <t>D.J.Day@mmu.ac.uk</t>
  </si>
  <si>
    <t>2164-0629</t>
  </si>
  <si>
    <t>2164-0637</t>
  </si>
  <si>
    <t>SPORTS COACH REV</t>
  </si>
  <si>
    <t>Sports Coach. Rev.</t>
  </si>
  <si>
    <t>10.1080/21640629.2023.2260615</t>
  </si>
  <si>
    <t>Hospitality, Leisure, Sport &amp; Tourism</t>
  </si>
  <si>
    <t>S2ZJ0</t>
  </si>
  <si>
    <t>WOS:001069901100001</t>
  </si>
  <si>
    <t>Ercetin, T; Erdogan, E</t>
  </si>
  <si>
    <t>Ercetin, Tugce; Erdogan, Emre</t>
  </si>
  <si>
    <t>The reproduction of fear in populist discourse: an analysis of campaign speeches by the Justice and Development Party elites</t>
  </si>
  <si>
    <t>SOUTHEAST EUROPEAN AND BLACK SEA STUDIES</t>
  </si>
  <si>
    <t>Populism; fear; emotions; elections; electoral campaigns; AKP</t>
  </si>
  <si>
    <t>SOCIAL IDENTITY; SELF-CATEGORIZATION; TEXT ANALYSIS; POLITICS; APPEAL; REFERENDUM; CONTEXT; ANGER; PERFORMANCE; DEMOCRACY</t>
  </si>
  <si>
    <t>This paper scrutinizes the reproduction of fear in the populist discourse of the Justice and Development Party and provides a content analysis of campaign speeches between 2015 and 2018. We posit that the linkage between populism and fear derives from two frames, victimization and blaming, appealing to perceived threat and insecurity that deepens the construction of 'us-vs-them' group differentiation. We argue that the AKP's campaign in the 2015 elections frames security, value, and competing narratives by emphasizing terrorism, clashes with the 'others', and the opposition's lack of capacity to rule. Their campaign in the 2017 referendum articulates a crisis and issue-based narrative over the coup attempt and constitutional amendments, and the 2018 campaign featured an issue, value, and security-based narrative. The findings show various continuities and changes in the AKP narratives based on exploiting citizens' threat perceptions, with broad fear-based narratives remaining constant while the specifics of the threat adapt to the political atmosphere of the time.</t>
  </si>
  <si>
    <t>[Ercetin, Tugce; Erdogan, Emre] Istanbul Bilgi Univ, Dept Int Relat, Istanbul, Turkiye</t>
  </si>
  <si>
    <t>Istanbul Bilgi University</t>
  </si>
  <si>
    <t>Ercetin, T (corresponding author), Istanbul Bilgi Univ, Dept Int Relat, Istanbul, Turkiye.</t>
  </si>
  <si>
    <t>tugce.ercetin@bilgi.edu.tr</t>
  </si>
  <si>
    <t>1468-3857</t>
  </si>
  <si>
    <t>1743-9639</t>
  </si>
  <si>
    <t>SE EUR BLACK SEA STU</t>
  </si>
  <si>
    <t>SE. Eur. Black Sea Stud.</t>
  </si>
  <si>
    <t>10.1080/14683857.2023.2262241</t>
  </si>
  <si>
    <t>Area Studies</t>
  </si>
  <si>
    <t>S3AK9</t>
  </si>
  <si>
    <t>WOS:001069929100001</t>
  </si>
  <si>
    <t>Ghalebeigi, A; Gekara, V; Madani, S</t>
  </si>
  <si>
    <t>Ghalebeigi, Aida; Gekara, Victor; Madani, Shiva</t>
  </si>
  <si>
    <t>The reproduction and perpetuation of workplace gender inequality in male-dominated industries through biased executive ideologies: a study of the Australian transport and logistics industry</t>
  </si>
  <si>
    <t>LABOUR AND INDUSTRY</t>
  </si>
  <si>
    <t>Workplace gender inequality; transport and logistics industry; executive ideologies; gendered organisations</t>
  </si>
  <si>
    <t>WOMEN; WORK; ORGANIZATIONS; HIERARCHIES; BODIES</t>
  </si>
  <si>
    <t>Workplace gender inequality remains a major cause of workplace and employment disadvantage for women, particularly in traditionally male-dominated industries. We draw on a study of the Australian transport and logistics industry to examine the conundrum that despite growing awareness of, pressure against, and supposedly increasing policy action against workplace gender inequality, little progress has been made over many decades. This study is premised on the view that understanding, and addressing, the root cause is the key to effective solutions. We applied Wynn's executive ideology on gender inequality theoretical framework to investigate the core factors sustaining workplace gender inequalities in the industry. We find that particular unconscious biased executive conceptualisations of workplace gender inequalities shape organisational gender policies. Consequently, instead of eradicating, they reinforce and reproduce embedded attitudes and processes through the policies they adopt. We argue that to effectively address workplace gender inequality, it is the organisation and the industry, rather than the individual and society that must be the primary focus of executive strategy and action.</t>
  </si>
  <si>
    <t>[Ghalebeigi, Aida; Gekara, Victor; Madani, Shiva] RMIT Univ, Dept Supply Chain &amp; Logist Management, Melbourne, Australia</t>
  </si>
  <si>
    <t>Royal Melbourne Institute of Technology (RMIT)</t>
  </si>
  <si>
    <t>Gekara, V (corresponding author), RMIT Univ, Dept Supply Chain &amp; Logist Management, Melbourne, Australia.</t>
  </si>
  <si>
    <t>victor.gekara@rmit.edu.au</t>
  </si>
  <si>
    <t>The authors would like to acknowledge all the industry participants in the research who took the time to honestly share their views in the interviews.</t>
  </si>
  <si>
    <t>1030-1763</t>
  </si>
  <si>
    <t>2325-5676</t>
  </si>
  <si>
    <t>LABOUR IND</t>
  </si>
  <si>
    <t>Labour Ind.</t>
  </si>
  <si>
    <t>10.1080/10301763.2023.2254565</t>
  </si>
  <si>
    <t>Industrial Relations &amp; Labor</t>
  </si>
  <si>
    <t>S3KV0</t>
  </si>
  <si>
    <t>WOS:001070199600001</t>
  </si>
  <si>
    <t>Kherchouche, K; Bellour, A; Lima, P</t>
  </si>
  <si>
    <t>Kherchouche, Khedidja; Bellour, Azzeddine; Lima, Pedro</t>
  </si>
  <si>
    <t>Numerical solution of nonlinear third-kind Volterra integral equations using an iterative collocation method</t>
  </si>
  <si>
    <t>Nonlinear third-kind Volterra integral equation; Collocation method; Iterative method; Lagrange polynomials; Convergence analysis</t>
  </si>
  <si>
    <t>In this paper, we discuss the application of an iterative collocation method based on the use of Lagrange polynomials for the numerical solution of a class of nonlinear third-kind Volterra integral equations. The approximate solution is given by explicit formulas. The error analysis of the proposed numerical method is studied theoretically. Some numerical examples are given to confirm our theoretical results.</t>
  </si>
  <si>
    <t>[Kherchouche, Khedidja; Bellour, Azzeddine] Ecole Normale Super Constantine, Lab Math Appl &amp; Didact, Constantine, Algeria; [Lima, Pedro] Univ Lisbon, Dept Math, Inst Super Tecn, Lisbon, Portugal</t>
  </si>
  <si>
    <t>Ecole Normale Superieure de Constantine; Universidade de Lisboa; Instituto Superior Tecnico</t>
  </si>
  <si>
    <t>Bellour, A (corresponding author), Ecole Normale Super Constantine, Lab Math Appl &amp; Didact, Constantine, Algeria.</t>
  </si>
  <si>
    <t>bellourazze123@yahoo.com</t>
  </si>
  <si>
    <t>The third author (P. Lima) acknowledges financial support from FCT, through projects UIDB/04621/2020, UIDP/04621/2020. [UIDB/04621/2020, UIDP/04621/2020]; FCT</t>
  </si>
  <si>
    <t>The third author (P. Lima) acknowledges financial support from FCT, through projects UIDB/04621/2020, UIDP/04621/2020.; FCT(Fundacao para a Ciencia e a Tecnologia (FCT))</t>
  </si>
  <si>
    <t>The third author (P. Lima) acknowledges financial support from FCT, through projects UIDB/04621/2020, UIDP/04621/2020.</t>
  </si>
  <si>
    <t>2023 SEP 23</t>
  </si>
  <si>
    <t>10.1080/00207160.2023.2260007</t>
  </si>
  <si>
    <t>S3LE2</t>
  </si>
  <si>
    <t>WOS:001070208800001</t>
  </si>
  <si>
    <t>Long, MG; Pressman, S</t>
  </si>
  <si>
    <t>Long, Melanie G.; Pressman, Steven</t>
  </si>
  <si>
    <t>Postal banking and US cash transfer programs: a solution to insufficient financial infrastructure?</t>
  </si>
  <si>
    <t>REVIEW OF SOCIAL ECONOMY</t>
  </si>
  <si>
    <t>Postal banking; payment mechanisms; financial inclusion; cash transfers; COVID-19 pandemic; E65; G21; G28; H53</t>
  </si>
  <si>
    <t>EXCLUSION</t>
  </si>
  <si>
    <t>Direct cash transfers to households during the COVID-19 pandemic, including relief checks and Child Tax Credit payments, were delayed by weeks for recipients without bank accounts and were not received by many non-filers who lacked the time or resources to complete necessary paperwork. A postal banking system has the potential to expand access to financial infrastructure and enable the rapid distribution of resources to households in need during economic downturns - often the same households that are currently excluded from the financial system. This paper examines the history of the US Postal Savings System and the feasibility of a return to postal banking using evidence on the socioeconomic and spatial patterns of financial exclusion. We find that postal banks would be well positioned to compete with both alternative and conventional financial institutions, address issues with physical branch access, and improve outreach to vulnerable populations.</t>
  </si>
  <si>
    <t>[Long, Melanie G.] Coll Wooster, Dept Econ &amp; Business Econ, Wooster, OH 44691 USA; [Pressman, Steven] Monmouth Univ, Dept Econ Finance &amp; Real Estate, West Long Branch, NJ 07764 USA; [Pressman, Steven] New Sch Social Res, Dept Econ, New York, NY 10011 USA</t>
  </si>
  <si>
    <t>College of Wooster; Monmouth University; The New School</t>
  </si>
  <si>
    <t>Long, MG (corresponding author), Coll Wooster, Dept Econ &amp; Business Econ, Wooster, OH 44691 USA.</t>
  </si>
  <si>
    <t>mlong@wooster.edu</t>
  </si>
  <si>
    <t>0034-6764</t>
  </si>
  <si>
    <t>1470-1162</t>
  </si>
  <si>
    <t>REV SOC ECON</t>
  </si>
  <si>
    <t>Rev. Soc. Econ.</t>
  </si>
  <si>
    <t>10.1080/00346764.2023.2259362</t>
  </si>
  <si>
    <t>S5JW7</t>
  </si>
  <si>
    <t>WOS:001071538700001</t>
  </si>
  <si>
    <t>Lv, T; He, WJ; Shi, LF</t>
  </si>
  <si>
    <t>Lv, Tong; He, Weijun; Shi, Lefeng</t>
  </si>
  <si>
    <t>Intelligent transportation system platform information guidance strategy and incentive mechanism design</t>
  </si>
  <si>
    <t>ENGINEERING OPTIMIZATION</t>
  </si>
  <si>
    <t>Intelligent transportation; manager information guidance; bi-level programming; incentive mechanism; reinforcement learning</t>
  </si>
  <si>
    <t>TRAVELER INFORMATION; TECHNOLOGY; ALGORITHM; NETWORKS; DRIVERS; IMPACT; MODEL; WORK; TIME</t>
  </si>
  <si>
    <t>This article proposes a set of information guidance models and corresponding algorithms which are embedded in a traffic information guidance system. Through a systematic analysis, the following results were obtained. When vehicles have different degrees of rationality, it is better to use a differentiation strategy in terms of traffic rewards and punishments; in particular, in a situation in which the strength of interactions between vehicles is different, the platform can guide vehicles to reduce overall transport costs by changing the information of rewards and punishments. The related stability analysis verifies that the information induction can induce the behavioural state of vehicles to stabilize, and the targeted information induction can help the whole system to stabilize. Finally, based on these findings, the traffic inducement strategy of the platform is proposed under different road conditions.</t>
  </si>
  <si>
    <t>[Lv, Tong; He, Weijun; Shi, Lefeng] China Three Gorges Univ, Sch Econ &amp; Management, Yichang, Peoples R China; [Shi, Lefeng] Chongqing Normal Univ, Natl Ctr Appl Math Chongqing, Chongqing, Peoples R China</t>
  </si>
  <si>
    <t>China Three Gorges University; Chongqing Normal University</t>
  </si>
  <si>
    <t>Shi, LF (corresponding author), China Three Gorges Univ, Sch Econ &amp; Management, Yichang, Peoples R China.;Shi, LF (corresponding author), Chongqing Normal Univ, Natl Ctr Appl Math Chongqing, Chongqing, Peoples R China.</t>
  </si>
  <si>
    <t>shilefeng@foxmail.com</t>
  </si>
  <si>
    <t>Humanities and Social Sciences Research Project of Chongqing Municipal Education Commission [23SKGH081]; Postgraduate Study Abroad Program by China Scholarship Council [202308420246]</t>
  </si>
  <si>
    <t>Humanities and Social Sciences Research Project of Chongqing Municipal Education Commission; Postgraduate Study Abroad Program by China Scholarship Council</t>
  </si>
  <si>
    <t>This project was fully funded by the Humanities and Social Sciences Research Project of Chongqing Municipal Education Commission [grant number 23SKGH081]; Postgraduate Study Abroad Program by China Scholarship Council[grant number 202308420246].</t>
  </si>
  <si>
    <t>0305-215X</t>
  </si>
  <si>
    <t>1029-0273</t>
  </si>
  <si>
    <t>ENG OPTIMIZ</t>
  </si>
  <si>
    <t>Eng. Optimiz.</t>
  </si>
  <si>
    <t>10.1080/0305215X.2023.2256678</t>
  </si>
  <si>
    <t>Engineering, Multidisciplinary; Operations Research &amp; Management Science</t>
  </si>
  <si>
    <t>S8UG6</t>
  </si>
  <si>
    <t>WOS:001073858500001</t>
  </si>
  <si>
    <t>Nguyen, TT; Nguyen, TT</t>
  </si>
  <si>
    <t>Nguyen, Thuy Thu; Nguyen, Trang Thu</t>
  </si>
  <si>
    <t>Income diversification, credit risk and bank stability: evidence from an emerging market</t>
  </si>
  <si>
    <t>ASIA-PACIFIC JOURNAL OF ACCOUNTING &amp; ECONOMICS</t>
  </si>
  <si>
    <t>Bank stability; income diversification; credit risk; emerging market</t>
  </si>
  <si>
    <t>REVENUE DIVERSIFICATION; LIQUIDITY RISK; OWNERSHIP STRUCTURE; NONINTEREST INCOME; PERFORMANCE; EFFICIENCY; IMPACT; TESTS; POWER</t>
  </si>
  <si>
    <t>With a sample of 28 commercial banks in Vietnam - an emerging market - this study applies the generalized movement model estimation technique (GMM-SYS) to examine the influences of income diversification and credit risk on bank stability (measured by Z-score) spanning from 2010 to 2020. The empirical findings document the significant impacts of income diversification and credit risk, together with specified macroeconomic and bank-specific indicators, on bank stability. A threshold analysis, in addition, quantifies the recommendation changes in NPL and LLP to contribute to bank stability. Some policy implications are subsequently withdrawn to promote the stability of Vietnamese commercial banks.</t>
  </si>
  <si>
    <t>[Nguyen, Thuy Thu; Nguyen, Trang Thu] Foreign Trade Univ, Fac Banking &amp; Finance, Hanoi, Vietnam</t>
  </si>
  <si>
    <t>Foreign Trade University FTU</t>
  </si>
  <si>
    <t>Nguyen, TT (corresponding author), Foreign Trade Univ, Fac Banking &amp; Finance, Hanoi, Vietnam.</t>
  </si>
  <si>
    <t>trangnt.tcnh@ftu.edu.vn</t>
  </si>
  <si>
    <t>Vietnam (NAFOSTED); National Foundation for Science and Technology Development; Vietnam (NAFOSTED); National Foundation for Science and Technology Development; [502.02-2018.16]</t>
  </si>
  <si>
    <t>Vietnam (NAFOSTED)(National Foundation for Science &amp; Technology Development (NAFOSTED)); National Foundation for Science and Technology Development; Vietnam (NAFOSTED)(National Foundation for Science &amp; Technology Development (NAFOSTED)); National Foundation for Science and Technology Development;</t>
  </si>
  <si>
    <t>This work was supported by the Vietnam (NAFOSTED) under Grant number. National Foundation for Science and Technology Development 502.02-2018.16</t>
  </si>
  <si>
    <t>1608-1625</t>
  </si>
  <si>
    <t>2164-2257</t>
  </si>
  <si>
    <t>ASIA-PAC J ACCOUNT E</t>
  </si>
  <si>
    <t>Asia-Pac. J. Account. Econ.</t>
  </si>
  <si>
    <t>10.1080/16081625.2023.2257219</t>
  </si>
  <si>
    <t>Business, Finance; Economics</t>
  </si>
  <si>
    <t>S3YH0</t>
  </si>
  <si>
    <t>WOS:001070553900001</t>
  </si>
  <si>
    <t>Anziano, J; Neal, L; Zigmont, VA</t>
  </si>
  <si>
    <t>Anziano, Jennifer; Neal, Latasha; Zigmont, Victoria A.</t>
  </si>
  <si>
    <t>An Examination of Food Insecurity within Connecticut's Public University System</t>
  </si>
  <si>
    <t>JOURNAL OF POVERTY</t>
  </si>
  <si>
    <t>College students; community college; food insecurity; hunger; university</t>
  </si>
  <si>
    <t>This secondary analysis examined the differences in food security, knowledge of eligibility for food assistance programs, and access to food programming across students attending two- and four-year public postsecondary institutions in the state of Connecticut. This study found two-year college students experienced a higher prevalence of food insecurity and were also more aware of their eligibility for SNAP than students attending four-year institutions. Additionally, all institutions provided students with an on-campus food pantry. Further research is needed to understand differences in food security and opportunities to address student barriers to the use of available resources to support food security.</t>
  </si>
  <si>
    <t>[Neal, Latasha; Zigmont, Victoria A.] Univ Mississippi, Dept Hlth Exercise Sci &amp; Recreat Management, University Pk, MS 38677 USA; [Zigmont, Victoria A.] Univ Mississippi, Dept Hlth, Dept Hlth Exercise Sci &amp; Recreat Management, University Pk, MS 38677 USA</t>
  </si>
  <si>
    <t>University of Mississippi; University of Mississippi</t>
  </si>
  <si>
    <t>Zigmont, VA (corresponding author), Univ Mississippi, Dept Hlth, Dept Hlth Exercise Sci &amp; Recreat Management, University Pk, MS 38677 USA.</t>
  </si>
  <si>
    <t>vzigmont42@gmail.com</t>
  </si>
  <si>
    <t>Zigmont, Victoria/0000-0002-3747-4328</t>
  </si>
  <si>
    <t>The authors thank Dr. Bill Gammell for leading this study of college food security. Additionally, we thank the participants for sharing their experiences.</t>
  </si>
  <si>
    <t>1087-5549</t>
  </si>
  <si>
    <t>1540-7608</t>
  </si>
  <si>
    <t>J POVERTY</t>
  </si>
  <si>
    <t>J. Poverty</t>
  </si>
  <si>
    <t>2023 SEP 22</t>
  </si>
  <si>
    <t>10.1080/10875549.2023.2259890</t>
  </si>
  <si>
    <t>Social Work</t>
  </si>
  <si>
    <t>S0IH2</t>
  </si>
  <si>
    <t>WOS:001068087800001</t>
  </si>
  <si>
    <t>Cabona, C; Ferraro, PM; Scialo, C; Di Poggio, MB; Novi, G; Gemelli, C; Vignolo, M; Rao, F; Capovilla, M; Marogna, M; Mandich, P; Origone, P; Schenone, A; Caponnetto, C</t>
  </si>
  <si>
    <t>Cabona, Corrado; Ferraro, Pilar Maria; Scialo, Carlo; Di Poggio, Monica Bandettini; Novi, Giovanni; Gemelli, Chiara; Vignolo, Manuela; Rao, Fabrizio; Capovilla, Marina; Marogna, Maura; Mandich, Paola; Origone, Paola; Schenone, Angelo; Caponnetto, Claudia</t>
  </si>
  <si>
    <t>Clinical epidemiology of amyotrophic lateral sclerosis in Liguria, Italy: a ten year follow up study</t>
  </si>
  <si>
    <t>AMYOTROPHIC LATERAL SCLEROSIS AND FRONTOTEMPORAL DEGENERATION</t>
  </si>
  <si>
    <t>Amyotrophic lateral sclerosis; LIGALS; epidemiology; motor neuron disease; survival</t>
  </si>
  <si>
    <t>ALS; SURVIVAL</t>
  </si>
  <si>
    <t>ObjectiveThis article presents an updated analysis of the LIGALS register, a prospective study conducted over a ten-year period (2009-2018) in Liguria, Italy, aimed at evaluating the incidence, prevalence, clinical presentation, and management of amyotrophic lateral sclerosis (ALS).MethodsWe calculated the mean annual crude incidence rate of ALS, assessed the point prevalence of ALS on January 1, 2018, and analyzed demographic factors, clinical characteristics, and clinical management strategies. Data analysis included Cox regression analysis to identify predictors of survival.ResultsThe mean annual crude incidence rate of ALS was 3.16/100,000 per year (CI 95%) while the point prevalence of ALS on January 1, 2018, was 9.31/100,000 population (CI 95%). Among the patients, 6.5% were familial ALS, while 93.5% were sporadic cases. Clinical management strategies, including percutaneous endoscopic gastrostomy (PEG) and noninvasive ventilation (NIV), were employed. The study observed a stable frequency of NIV initiation and PEG placement over time, with a growing trend toward earlier PEG positioning. The mean survival from symptom onset was 39 months, whereas from diagnosis, it was 26 months. Cox regression analysis identified several predictors of survival, including gender, age at onset and diagnosis, site of onset, diagnostic category, phenotype, and diagnostic delay.ConclusionsThis comprehensive analysis provides valuable insights into the long-term trends in ALS epidemiology and clinical management in Liguria, Italy. It underscores the importance of continued research efforts in understanding and addressing the challenges posed by ALS, particularly in terms of early diagnosis and optimizing clinical interventions to improve patient outcomes.</t>
  </si>
  <si>
    <t>[Cabona, Corrado; Ferraro, Pilar Maria; Di Poggio, Monica Bandettini; Novi, Giovanni; Gemelli, Chiara; Mandich, Paola; Origone, Paola; Schenone, Angelo; Caponnetto, Claudia] IRCCS Osped Policlin San Martino, Genoa, Italy; [Scialo, Carlo] Univ Zurich, Dept Quant Biomed, Zurich, Switzerland; [Vignolo, Manuela] Azienda Sanit Locale 4 Chiavarese, Chiavari, Italy; [Rao, Fabrizio; Capovilla, Marina] Osped Colletta, Ctr Clin NeMO, Arenzano, Italy; [Marogna, Maura] Azienda Sanit Locale 3 Genovese, Genoa, Italy; [Mandich, Paola; Origone, Paola; Schenone, Angelo] Univ Genoa, Dept Neurosci Rehabil Ophthalmol Genet &amp; Maternal, Genoa, Italy; [Cabona, Corrado] IRCCS Osped Policlin San Martino, Largo R Benzi 10, Genoa, Italy</t>
  </si>
  <si>
    <t>University of Zurich; University of Genoa</t>
  </si>
  <si>
    <t>Cabona, C (corresponding author), IRCCS Osped Policlin San Martino, Largo R Benzi 10, Genoa, Italy.</t>
  </si>
  <si>
    <t>corrado.cabona@hsanmartino.it</t>
  </si>
  <si>
    <t>We would like to express our sincere gratitude to all our Ligurian neurologist colleagues who have referred patients to us, supported us in data collection, and provided invaluable patient assistance. We are also grateful for the collaboration of AISLA, th</t>
  </si>
  <si>
    <t>We would like to express our sincere gratitude to all our Ligurian neurologist colleagues who have referred patients to us, supported us in data collection, and provided invaluable patient assistance. We are also grateful for the collaboration of AISLA, the Association of Family Members and Patients with ALS. The data that support the findings of this study are available from the corresponding author, upon reasonable request.</t>
  </si>
  <si>
    <t>2167-8421</t>
  </si>
  <si>
    <t>2167-9223</t>
  </si>
  <si>
    <t>AMYOTROPH LAT SCL FR</t>
  </si>
  <si>
    <t>Amyotroph. Lateral Scher. Frontotemp. Degenerat.</t>
  </si>
  <si>
    <t>10.1080/21678421.2023.2260842</t>
  </si>
  <si>
    <t>S0WU4</t>
  </si>
  <si>
    <t>WOS:001068466500001</t>
  </si>
  <si>
    <t>Chen, WL; Zhang, S; Pi, ZL; Tan, JSH; Wen, Y; Looi, CK; Yeo, J; Liu, QT</t>
  </si>
  <si>
    <t>Chen, Wenli; Zhang, Si; Pi, Zhongling; Tan, Jesmine S. H.; Wen, Yun; Looi, Chee-Kit; Yeo, Jennifer; Liu, Qingtang</t>
  </si>
  <si>
    <t>Students' appropriation of collaboration script in a networked class: an exploratory study</t>
  </si>
  <si>
    <t>TECHNOLOGY PEDAGOGY AND EDUCATION</t>
  </si>
  <si>
    <t>Computer-supported collaborative learning; collaboration argumentation; collaboration scripts; appropriation</t>
  </si>
  <si>
    <t>ARGUMENTATIVE KNOWLEDGE CONSTRUCTION; SCIENCE-EDUCATION; MACRO-SCRIPTS; FRAMEWORK</t>
  </si>
  <si>
    <t>This study investigates the role of a collaboration script, the Funnel Model, in supporting students' computer-supported collaborative scientific argumentation, and how the students appropriated the collaboration script in scientific argumentation. In this exploratory case study, a class of 33 Secondary grade four students went through four phases of computer-supported collaborative argumentation activity scripted by the Funnel Model: individual ideation, intra-group synergy, inter-group critique and intra-group refinement. Multiple sources of data were collected including student-generated artefacts online at different phases of collaboration, and the post-intervention interviews with the students. The results show that the Funnel Model facilitated students' computer-supported collaborative argumentation. The students' levels of content mastery, motivation, classroom culture and time allocated for classroom participation affect students' appropriation of the script for effective collaborative argumentation.</t>
  </si>
  <si>
    <t>[Chen, Wenli; Wen, Yun] Nanyang Technol Univ, Natl Inst Educ, Singapore, Singapore; [Zhang, Si; Liu, Qingtang] Cent China Normal Univ, Sch Educ Informat Technol, Wuhan, Peoples R China; [Pi, Zhongling] Shaanxi Normal Univ, Ctr Teacher Profess Abil Dev, Key Lab Modern Teaching Technol, Minist Educ, Xian, Peoples R China; [Tan, Jesmine S. H.] Singapore Chinese Girls Sch, Minist Educ, Singapore, Singapore; [Looi, Chee-Kit] Educ Univ Hong Kong, Hong Kong, Peoples R China; [Yeo, Jennifer] Singapore Univ Social Sci, Teaching &amp; Learning Ctr, Singapore, Singapore</t>
  </si>
  <si>
    <t>Nanyang Technological University &amp; National Institute of Education (NIE) Singapore; Nanyang Technological University; National Institute of Education (NIE) Singapore; Central China Normal University; Shaanxi Normal University; Education University of Hong Kong (EdUHK); Singapore University of Social Sciences (SUSS)</t>
  </si>
  <si>
    <t>Chen, WL (corresponding author), Nanyang Technol Univ, Natl Inst Educ, Singapore, Singapore.</t>
  </si>
  <si>
    <t>wenli.chen@nie.edu.sg</t>
  </si>
  <si>
    <t>This study was funded by Singapore Ministry of Education (MOE) under the Education Research Funding Programme (OER 07/17 CWL and OER 17/19 CWL) and administered by National Institute of Education (NIE), Nanyang Technological University, Singapore. Any opin [OER 07/17 CWL, OER 17/19 CWL]; Singapore Ministry of Education (MOE) under the Education Research Funding Programme; Nanyang Technological University, Singapore; IRB</t>
  </si>
  <si>
    <t>This study was funded by Singapore Ministry of Education (MOE) under the Education Research Funding Programme (OER 07/17 CWL and OER 17/19 CWL) and administered by National Institute of Education (NIE), Nanyang Technological University, Singapore. Any opin; Singapore Ministry of Education (MOE) under the Education Research Funding Programme(Ministry of Education, Singapore); Nanyang Technological University, Singapore(Nanyang Technological University); IRB</t>
  </si>
  <si>
    <t>This study was funded by Singapore Ministry of Education (MOE) under the Education Research Funding Programme (OER 07/17 CWL and OER 17/19 CWL) and administered by National Institute of Education (NIE), Nanyang Technological University, Singapore. Any opinions, findings and conclusions or recommendations expressed in this material are those of the author(s) and do not necessarily reflect the views of the Singapore MOE and NIE. Consent from participants of this research was obtained based on ethics approval by Nanyang Technological University, IRB ref: IRB-2018-07-108.</t>
  </si>
  <si>
    <t>1475-939X</t>
  </si>
  <si>
    <t>1747-5139</t>
  </si>
  <si>
    <t>TECHNOL PEDAGOG EDUC</t>
  </si>
  <si>
    <t>Technol. Pedagag. Educ.</t>
  </si>
  <si>
    <t>10.1080/1475939X.2023.2256348</t>
  </si>
  <si>
    <t>S3KP5</t>
  </si>
  <si>
    <t>WOS:001070194100001</t>
  </si>
  <si>
    <t>Dalkilic, O; Demirtas, N</t>
  </si>
  <si>
    <t>Dalkilic, O.; Demirtas, N.</t>
  </si>
  <si>
    <t>Novel hybrid soft set theories focusing on decision-makers by considering the factors affecting the parameters</t>
  </si>
  <si>
    <t>JOURNAL OF EXPERIMENTAL &amp; THEORETICAL ARTIFICIAL INTELLIGENCE</t>
  </si>
  <si>
    <t>Soft set; fuzzy soft set; uncertainty problems; algorithm; decision making</t>
  </si>
  <si>
    <t>In this paper, the parameterisation tool of soft set theory is focused and factor sets are defined for all factors that can affect each parameter. Thus, more ideal results are aimed by determining the membership values of the parameters in uncertain environments. In addition, some new hybrid types of soft sets have been defined. The most important advantage of these new hybrid mathematical tools is that they can reduce the possible error margin of decision-makers. Moreover, a decision-making algorithm has been proposed for the set type that can bring us to the most comprehensive data on uncertainty. Finally, the solution to an uncertainty problem is obtained by using the given algorithm.</t>
  </si>
  <si>
    <t>[Dalkilic, O.; Demirtas, N.] Mersin Univ, Dept Math, Mersin, Turkiye</t>
  </si>
  <si>
    <t>Mersin University</t>
  </si>
  <si>
    <t>Dalkilic, O (corresponding author), Mersin Univ, Dept Math, Mersin, Turkiye.</t>
  </si>
  <si>
    <t>orhandlk952495@hotmail.com</t>
  </si>
  <si>
    <t>The authors would like to thank to Mersin University-BAP.; Mersin University-BAP</t>
  </si>
  <si>
    <t>The authors would like to thank to Mersin University-BAP.</t>
  </si>
  <si>
    <t>0952-813X</t>
  </si>
  <si>
    <t>1362-3079</t>
  </si>
  <si>
    <t>J EXP THEOR ARTIF IN</t>
  </si>
  <si>
    <t>J. Exp. Theor. Artif. Intell.</t>
  </si>
  <si>
    <t>10.1080/0952813X.2023.2259913</t>
  </si>
  <si>
    <t>Computer Science, Artificial Intelligence</t>
  </si>
  <si>
    <t>S0IF8</t>
  </si>
  <si>
    <t>WOS:001068086400001</t>
  </si>
  <si>
    <t>Ehrlich, SD; Fruge, KR; Haglund, J</t>
  </si>
  <si>
    <t>Ehrlich, Sean D.; Fruge, Kimberly R.; Haglund, Jillienne</t>
  </si>
  <si>
    <t>Lobbying, Access Points, and the Protection of Human Rights in Democracies</t>
  </si>
  <si>
    <t>INTERNATIONAL INTERACTIONS</t>
  </si>
  <si>
    <t>Access points; democracy; human rights</t>
  </si>
  <si>
    <t>NATIONAL ELECTIONS; PERSONAL INTEGRITY; STATE INCENTIVES; INSTITUTIONS; REPRESSION; RESPECT; BANK</t>
  </si>
  <si>
    <t>Why do some democracies better protect human rights than other democracies? Although research shows that democracies engage in fewer human rights abuses than nondemocracies, we know less about what explains the variation in respect for rights among democracies. Using Access Point Theory, we argue that the number of points of access for interest groups in democracies leads to better protection of physical integrity rights but has weaker or no effects on worker rights. By increasing the amount of access provided to interest groups, lobbying becomes cheaper which enables human rights organizations to lobby for better rights protection but, on worker rights, also enables businesses to lobby against those protections. We examine these expectations using data on all democracies from 1980 to 2002, as well as a new latent measure of worker rights constructed using item response theory.Por que algunas democracias protegen mejor los derechos humanos que otras? Aunque la investigacion muestra que las democracias cometen menos abusos contra los derechos humanos que las no democracias, existe una menor cantidad de informacion referente a los motivos que explican la variacion en el respeto de los derechos entre las democracias. Argumentamos, mediante el uso de la teoria del punto de acceso, que el numero de puntos de acceso existentes para los grupos de interes en las democracias provoca una mejor proteccion de los derechos en materia de integridad fisica, pero que tiene efectos mas debiles, o incluso nulos, sobre los derechos de los trabajadores. Al aumentar el grado de acceso que se proporciona a los grupos de interes, la presion politica se vuelve menos onerosa, lo que permite a las organizaciones de derechos humanos presionar en favor de una mejor proteccion de los derechos. Sin embargo, en lo que se refiere a los derechos de los trabajadores, esto tambien permite a las empresas presionar contra esas protecciones. Estudiamos estas expectativas utilizando tanto datos procedentes de todas las democracias desde 1980 hasta 2002, como una nueva medida, latente, de derechos economicos que fue creada utilizando la teoria de respuesta al item.Pourquoi certaines democraties protegent-elles mieux les droits de l'Homme que d'autres? Bien que la recherche montre que les democraties presentent moins de violations des droits de l'Homme que les pays non democratiques, nous ne savons pas tres bien expliquer les variations relatives aux droits dans les democraties. A l'aide de la theorie des points d'acces (Access Point Theory), nous affirmons que plus le nombre de points d'acces des groupes d'interets dans les democraties augmente, meilleure est la protection de l'integrite physique des droits, mais que les effets sur les droits des travailleurs sont minimes, voire inexistants. En augmentant l'acces fourni aux groupes d'interets, le lobbying coute moins cher. Les organisations des droits de l'Homme peuvent donc promouvoir plus facilement la protection des droits, mais, s'agissant des droits des travailleurs, les entreprises peuvent egalement faire pression contre ces protections. Nous analysons ces predictions a l'aide de donnees sur toutes les democraties entre 1980 et 2002, ainsi qu'une nouvelle mesure latente des droits economiques creee a l'aide de la theorie des reponses aux items.</t>
  </si>
  <si>
    <t>[Ehrlich, Sean D.] Florida State Univ, Tallahassee, FL 32306 USA; [Fruge, Kimberly R.] Stephen F Austin State Univ, Nacogdoches, TX USA; [Haglund, Jillienne] Univ Kentucky, Lexington, KY USA</t>
  </si>
  <si>
    <t>State University System of Florida; Florida State University; University of Kentucky</t>
  </si>
  <si>
    <t>Ehrlich, SD (corresponding author), Florida State Univ, Tallahassee, FL 32306 USA.</t>
  </si>
  <si>
    <t>sehrlich@fsu.edu</t>
  </si>
  <si>
    <t>0305-0629</t>
  </si>
  <si>
    <t>1547-7444</t>
  </si>
  <si>
    <t>INT INTERACT</t>
  </si>
  <si>
    <t>Int. Interact.</t>
  </si>
  <si>
    <t>10.1080/03050629.2023.2254461</t>
  </si>
  <si>
    <t>S3YI3</t>
  </si>
  <si>
    <t>WOS:001070555200001</t>
  </si>
  <si>
    <t>Abdulkader, NJ; Abed, MS</t>
  </si>
  <si>
    <t>Jamal Abdulkader, Niveen; Abed, Mayyadah Shanan</t>
  </si>
  <si>
    <t>Influence of SiC nanoparticles addition on the microstructure and mechanical properties of stir-casted Zn-Al alloy</t>
  </si>
  <si>
    <t>INTERNATIONAL JOURNAL OF CAST METALS RESEARCH</t>
  </si>
  <si>
    <t>Zn-Al alloy; stir casting; mechanical properties; Silicon carbide; nanoparticles</t>
  </si>
  <si>
    <t>ALUMINUM-ALLOY; COMPOSITES</t>
  </si>
  <si>
    <t>This study focuses on the synthesis of a Zn-Al alloy nanocomposite, incorporating varying weight percentages (2, 4, 6, and 8 wt.%) of SiC nanoparticles with an average size of 30 nm. The preparation was carried out using the stir casting technique. Experimental tests, including hardness, compression, and tensile tests, were conducted on both the Zn-Al alloy and its composite. Furthermore, the surface morphology of the materials was examined using scanning electron microscopy (SEM) and energy-dispersive spectroscopy (EDS). The mechanical properties and microstructure of the composite samples were assessed. The results indicate that an increase in the weight percentage of SiC nanoparticles led to corresponding increases in hardness, compression strength, and ultimate tensile strength of the composite materials. When compared to an unreinforced alloy, nanocomposites reinforced with 2, 4, 6, and 8 wt.% SiC nanoparticles exhibited hardness improvements of 9.1%, 15%, 20.8%, and 30% respectively, as well as increases in ultimate tensile strength of 2.56%, 4.46%, 7.74%, and 12.21%, and compression strength enhancements of 17.5%, 20%, 22.4%, and 31.5% respectively. Notably, the composite sample containing 8% weight of reinforcement consistently demonstrated the highest ratings in terms of hardness, tensile strength, and compression strength. Based on the scanning electron microscopy (SEM) results, the nanocomposite alloy exhibits a dendritic morphology, with evenly distributed silicon carbide (SiC) particles embedded within the metal matrix. Furthermore, the interface between the SiC particles and the metal matrix demonstrates a strong bond. As a consequence, the mechanical properties of the fabricated composites were significantly improved.</t>
  </si>
  <si>
    <t>[Jamal Abdulkader, Niveen; Abed, Mayyadah Shanan] Univ Technol Iraq, Dept Mat Engn, Baghdad, Iraq</t>
  </si>
  <si>
    <t>University of Technology- Iraq</t>
  </si>
  <si>
    <t>Abed, MS (corresponding author), Univ Technol Iraq, Dept Mat Engn, Baghdad, Iraq.</t>
  </si>
  <si>
    <t>Mayyadah.S.Abed@uotechnology.edu.iq</t>
  </si>
  <si>
    <t>S. Abed Al-Fatlawi, Mayyadah/W-9993-2019</t>
  </si>
  <si>
    <t>S. Abed Al-Fatlawi, Mayyadah/0000-0002-9097-1972</t>
  </si>
  <si>
    <t>The authors would like to acknowledge and thank all of their colleagues at the Department of Materials Engineering/University of Technology- Iraq for their excellent contributions, which helped them complete and improve this study.</t>
  </si>
  <si>
    <t>1364-0461</t>
  </si>
  <si>
    <t>1743-1336</t>
  </si>
  <si>
    <t>INT J CAST METAL RES</t>
  </si>
  <si>
    <t>Int. J. Cast. Metals Res.</t>
  </si>
  <si>
    <t>10.1080/13640461.2023.2260662</t>
  </si>
  <si>
    <t>Metallurgy &amp; Metallurgical Engineering</t>
  </si>
  <si>
    <t>S1SN5</t>
  </si>
  <si>
    <t>WOS:001069040700001</t>
  </si>
  <si>
    <t>Dehkharghani, LL; Menzies, J; Suri, H</t>
  </si>
  <si>
    <t>Lotfi Dehkharghani, Leila; Menzies, Jane; Suri, Harsh</t>
  </si>
  <si>
    <t>Academic women's silences in Iran: exploring with positioning theory</t>
  </si>
  <si>
    <t>GENDER AND EDUCATION</t>
  </si>
  <si>
    <t>Iran; women; positioning theory; silence; academia</t>
  </si>
  <si>
    <t>CONCEPTUALIZING EMPLOYEE SILENCE; ORGANIZATIONAL SILENCE; HIGHER-EDUCATION; GENDER; VOICE; CULTURE; DIVERSITY; VALIDITY; POLITICS; WOMAN</t>
  </si>
  <si>
    <t>In this paper, we seek to understand the complexity of women outside 'the centre' of scholarship by exploring women's silences in an Iranian University. Building on a framework of external and internal silencing and positioning theory, we analyse in-depth interviews with 15 women and five men from an Iranian University. Using inductive and deductive approaches to data analysis, we find that women's silences are influenced by their positioning due to constraining forces stemming from the political and societal environment as well as their own perceptions of self. We find prevalent storylines rooted in the broader patriarchal Muslim society, sexist cultural norms and unjust laws in Iran that reify women's oppressed position, exclusion, and silence within the academic workplace. Manifesting through socialization processes and stereotypical perceptions of gender roles, these prevalent storylines silence academic women and position them to be silent. We identify emerging emancipatory storylines that foster women's positioning from being silenced to being heard.</t>
  </si>
  <si>
    <t>[Lotfi Dehkharghani, Leila] Univ Warsaw, Dept Management, Warsaw, Poland; [Menzies, Jane] Univ Sunshine Coast, Sch Business &amp; Creat Ind, Sippy Downs, Australia; [Suri, Harsh] Deakin Univ, Deakin Learning Futures, Burwood, Australia; [Lotfi Dehkharghani, Leila] Univ Warsaw, Dept Management, Krakowskie Przedmiescie 26-28, PL-00927 Warsaw, Poland</t>
  </si>
  <si>
    <t>University of Warsaw; University of the Sunshine Coast; Deakin University; University of Warsaw</t>
  </si>
  <si>
    <t>Dehkharghani, LL (corresponding author), Univ Warsaw, Dept Management, Krakowskie Przedmiescie 26-28, PL-00927 Warsaw, Poland.</t>
  </si>
  <si>
    <t>l.lotfi.de@gmail.com</t>
  </si>
  <si>
    <t>0954-0253</t>
  </si>
  <si>
    <t>1360-0516</t>
  </si>
  <si>
    <t>GENDER EDUC</t>
  </si>
  <si>
    <t>Gend. Educ.</t>
  </si>
  <si>
    <t>10.1080/09540253.2023.2250817</t>
  </si>
  <si>
    <t>S2IA2</t>
  </si>
  <si>
    <t>WOS:001069444300001</t>
  </si>
  <si>
    <t>Mahmud, KK; Chowdhury, MMH; Shaheen, MMA</t>
  </si>
  <si>
    <t>Mahmud, Kazi Khaled; Chowdhury, Mohammed Mojahid Hossain; Shaheen, Md. Mostafa Aziz</t>
  </si>
  <si>
    <t>Green port management practices for sustainable port operations: a multi method study of Asian ports</t>
  </si>
  <si>
    <t>MARITIME POLICY &amp; MANAGEMENT</t>
  </si>
  <si>
    <t>green port; drivers; Sustainability; Maritime port industry; fuzzy DEMATEL; Asian</t>
  </si>
  <si>
    <t>ENVIRONMENTAL PERFORMANCE INDICATORS; CONTAINER TERMINALS; ENERGY MANAGEMENT; SUPPLY CHAINS; IMPLEMENTATION; EMISSIONS; SYSTEM; POLICY; TECHNOLOGIES; STRATEGIES</t>
  </si>
  <si>
    <t>Ports pose a substantial portion of marine emissions, causing significant health and environmental risks. Providing profitable services in compliance with environmental regulations has become a significant challenge for port authorities. The idea of green port management practices (GPMP) has recently grown as an innovative method for balancing port economic growth with ecological issues. The study systematically reviewed the literature regarding the green port management model and identified an integrated set of drivers of GPMP for sustainable port operations. Besides, an empirical multiple case study methodology was adopted where twelve major Asian ports from developing and developed countries were investigated through a performance-based scoring measurement method based on their GPMP drivers' implementation status. Finally, the study employed a quantitative fuzzy decision-making trial and evaluation laboratory model (DEMATEL) to examine the interdependent cause-and-effect connections among the different green port drivers. The study reveals that Singapore is rated highest in green port implementation practices while the Port of Male (Maldives) was classified lowest among 12 Asian ports. Besides, Pollution Control Measures are the most significant driver having the highest influence on all drivers. Automation and digitalization have the most significant causal influence on all the drivers of GPMP, followed by environmental incentives and penalty pricing.</t>
  </si>
  <si>
    <t>[Mahmud, Kazi Khaled; Chowdhury, Mohammed Mojahid Hossain; Shaheen, Md. Mostafa Aziz] Bangabandhu Sheikh Mujibur Rahman Maritime Univ, Dept Port &amp; Shipping Management, Mirpur 12, Dhaka 1216, Bangladesh</t>
  </si>
  <si>
    <t>Chowdhury, MMH (corresponding author), Bangabandhu Sheikh Mujibur Rahman Maritime Univ, Dept Port &amp; Shipping Management, Mirpur 12, Dhaka 1216, Bangladesh.</t>
  </si>
  <si>
    <t>mojahid.psm@bsmrmu.edu.bd</t>
  </si>
  <si>
    <t>0308-8839</t>
  </si>
  <si>
    <t>1464-5254</t>
  </si>
  <si>
    <t>MARIT POLICY MANAG</t>
  </si>
  <si>
    <t>Marit. Policy Manag.</t>
  </si>
  <si>
    <t>10.1080/03088839.2023.2258125</t>
  </si>
  <si>
    <t>Transportation</t>
  </si>
  <si>
    <t>S0RL2</t>
  </si>
  <si>
    <t>WOS:001068326200001</t>
  </si>
  <si>
    <t>Steven</t>
  </si>
  <si>
    <t>The relation between generalized notions of radical formula of a module</t>
  </si>
  <si>
    <t>COMMUNICATIONS IN ALGEBRA</t>
  </si>
  <si>
    <t>Envelope of a submodule; fully primal module; localization of a module; prime submodules; radical formula of a module</t>
  </si>
  <si>
    <t>In this article, a new radical formula for a module over a commutative ring is introduced by constructing a generalization of radical and envelope and defining an (e, r)-radical formula. Since the set of these radical formulae is not totally ordered, we develop characterizations related to the module structure satisfying some radical formulae and McCasland modules. Furthermore, we show that some relations between those modules hold if and only if they are modules over a local ring. Moreover, we define a fully primal module which is needed for some relations between modules which satisfy some radical formulae and their localizations.</t>
  </si>
  <si>
    <t>[Steven] Univ Prasetiya Mulya, Sch Appl STEM, Dept Business Math, Tangerang, Indonesia; [Steven] Univ Prasetiya Mulya, Sch Appl STEM, Dept Business Math, Tangerang 15339, Indonesia</t>
  </si>
  <si>
    <t>Steven (corresponding author), Univ Prasetiya Mulya, Sch Appl STEM, Dept Business Math, Tangerang, Indonesia.;Steven (corresponding author), Univ Prasetiya Mulya, Sch Appl STEM, Dept Business Math, Tangerang 15339, Indonesia.</t>
  </si>
  <si>
    <t>steven@pmbs.ac.id</t>
  </si>
  <si>
    <t>The author would like to thank the anonymous referee for the valuable feedback which has contributed to improving the quality of the manuscript.</t>
  </si>
  <si>
    <t>0092-7872</t>
  </si>
  <si>
    <t>1532-4125</t>
  </si>
  <si>
    <t>COMMUN ALGEBRA</t>
  </si>
  <si>
    <t>Commun. Algebr.</t>
  </si>
  <si>
    <t>10.1080/00927872.2023.2258401</t>
  </si>
  <si>
    <t>S1SR9</t>
  </si>
  <si>
    <t>WOS:001069045100001</t>
  </si>
  <si>
    <t>Strzelecka, M; Mika, M; Durydiwka, M</t>
  </si>
  <si>
    <t>Strzelecka, Marianna; Mika, Miroslaw; Durydiwka, Malgorzata</t>
  </si>
  <si>
    <t>When tourism meets conservation: a deep dive into residents' attitudes towards Tatra National Park</t>
  </si>
  <si>
    <t>CURRENT ISSUES IN TOURISM</t>
  </si>
  <si>
    <t>Nature-based tourism; protected area; biodiversity conservation; place identity; place dependence; nature bonding; resident attitudes; social exchange</t>
  </si>
  <si>
    <t>PLACE-ATTACHMENT; PROTECTED AREAS; COMMUNITY PERCEPTIONS; LOCAL PEOPLE; ECOTOURISM; MANAGEMENT; SUPPORT; BIODIVERSITY; LIVELIHOOD; FRAMEWORK</t>
  </si>
  <si>
    <t>This study investigates the complex relationship between residents and national parks in a top nature-based destination, Poland's Tatra and Podhale region. Utilizing a door-to-door survey of 511 respondents from 26 towns around Tatra National Park (TNP), the research employs two-step structural equation modeling and fsQCA to analyze how place attachment and preferences for nature protection strategies interact. Contrary to the widely held view that tourism development positively influences attitudes toward national parks, we found tourism growth in the communities surrounding TNP impacts how these communities relate to the protected area. The study concludes that for TNP to gain broader community support, it is crucial to convey to residents their essential role as a tourism asset. This finding has wider implications for how national parks and adjacent communities can coexist harmoniously in areas experiencing rapid tourism expansion.</t>
  </si>
  <si>
    <t>[Strzelecka, Marianna] Linnaeus Univ Kalmar, Sch Business &amp; Econ, Kalmar, Sweden; [Mika, Miroslaw] Jagiellonian Univ Krakow, Inst Geog &amp; Spatial Management, Krakow, Poland; [Durydiwka, Malgorzata] Univ Warsaw, Fac Geog &amp; Reg Studies, Warsaw, Poland</t>
  </si>
  <si>
    <t>Linnaeus University; Jagiellonian University; University of Warsaw</t>
  </si>
  <si>
    <t>Strzelecka, M (corresponding author), Linnaeus Univ Kalmar, Sch Business &amp; Econ, Kalmar, Sweden.</t>
  </si>
  <si>
    <t>Marianna.Strzelecka@lnu.se</t>
  </si>
  <si>
    <t>1368-3500</t>
  </si>
  <si>
    <t>1747-7603</t>
  </si>
  <si>
    <t>CURR ISSUES TOUR</t>
  </si>
  <si>
    <t>Curr. Issues Tour.</t>
  </si>
  <si>
    <t>10.1080/13683500.2023.2260063</t>
  </si>
  <si>
    <t>S3AM2</t>
  </si>
  <si>
    <t>WOS:001069930400001</t>
  </si>
  <si>
    <t>Xu, JW; Xing, T; Li, JL; Zhang, L; Gao, F</t>
  </si>
  <si>
    <t>Xu, Jiawen; Xing, Tong; Li, Jiaolong; Zhang, Lin; Gao, Feng</t>
  </si>
  <si>
    <t>Efficacy of creatine nitrate supplementation on redox status and mitochondrial function in pectoralis major muscle of preslaughter transported broilers</t>
  </si>
  <si>
    <t>ANIMAL BIOTECHNOLOGY</t>
  </si>
  <si>
    <t>Transport stress; broiler; creatine nitrate; redox status; mitochondrial function</t>
  </si>
  <si>
    <t>RECEPTOR-GAMMA COACTIVATOR-1-ALPHA; SKELETAL-MUSCLE; SUPEROXIDE-PRODUCTION; OXIDATIVE STRESS; UNCOUPLING PROTEIN; MEAT QUALITY; BIOGENESIS; GLYCOLYSIS; METABOLISM; EXPRESSION</t>
  </si>
  <si>
    <t>This study was purposed to investigate the efficacy of dietary creatine nitrate (CrN) supplementation on redox status and mitochondrial function in pectoralis major (PM) muscle of broilers that experienced preslaughter transport. A total of 288 Arbor Acres broilers (28-day-old) were randomly assigned into five dietary treatments, including a basal diet or the basal diet supplemented with 600 mg/kg guanidinoacetic acid (GAA), 300, 600, or 900 mg/kg CrN for 14 days, respectively. On the transportation day, the basal diet group was divided into two groups on average, resulting in six groups. The control group was transported for 0.5 h and the other groups for 3 h (identified as Control, T-3h , GAA600, CrN300, CrN600, and CrN900 group, respectively), and all crates were randomly placed on the truck travelling at an average speed of 80 km/h. Our results showed that GAA600 and CrN treatments decreased the muscle ROS level and MDA content (P &lt; 0.05) and increased the mitochondrial membrane potential (P &lt; 0.001), as well as a higher mRNA expression of avUCP (P &lt; 0.001) and lower mRNA expressions of Nrf2 (P &lt; 0.001), Nrf2 and PGC-1a (P &lt; 0.05) compared with T(3h )group. Meanwhile, the mRNA and protein expressions of Nrf1, TFAM, and PGC-1a in CrN600 and CrN900 groups were lower than those in the T-3h group (P &lt; 0.05). Conclusively, dietary supplementation with GAA and CrN decreased muscle oxidative products and enhanced mitochondrial uncoupling mechanism and mtDNA copy number, which relieved muscle oxidative damage and maintained mitochondrial function.</t>
  </si>
  <si>
    <t>[Xu, Jiawen; Xing, Tong; Zhang, Lin; Gao, Feng] Nanjing Agr Univ, Jiangsu Prov Collaborat Innovat Ctr Meat Prod &amp; Pr, Jiangsu Prov Key Lab Anim Origin Food Prod &amp; Safet, Coll Anim Sci &amp; Technol,Jiangsu Prov Key Lab Gastr, Nanjing, Jiangsu, Peoples R China; [Li, Jiaolong] Jiangsu Acad Agr Sci, Inst Agr Prod Proc, Nanjing, Peoples R China; [Zhang, Lin] Nanjing Agr Univ, Coll Anim Sci &amp; Technol, 1 Weigang, Nanjing 210095, Peoples R China</t>
  </si>
  <si>
    <t>Nanjing Agricultural University; Jiangsu Academy of Agricultural Sciences; Nanjing Agricultural University</t>
  </si>
  <si>
    <t>Zhang, L (corresponding author), Nanjing Agr Univ, Coll Anim Sci &amp; Technol, 1 Weigang, Nanjing 210095, Peoples R China.</t>
  </si>
  <si>
    <t>zhanglin2012@njau.edu.cn</t>
  </si>
  <si>
    <t>National Natural Science Foundation of China [32172753]; Fundamental Research Funds for the Central Universities [YDZX2023003]; Earmarked Fund for Jiangsu Agricultural Industry Technology System [JATS[2022]460]</t>
  </si>
  <si>
    <t>National Natural Science Foundation of China(National Natural Science Foundation of China (NSFC)); Fundamental Research Funds for the Central Universities(Fundamental Research Funds for the Central Universities); Earmarked Fund for Jiangsu Agricultural Industry Technology System</t>
  </si>
  <si>
    <t>&amp; nbsp;This work was financed by the National Natural Science Foundation of China (32172753), the Fundamental Research Funds for the Central Universities (YDZX2023003) and the Earmarked Fund for Jiangsu Agricultural Industry Technology System (JATS[2022]460).</t>
  </si>
  <si>
    <t>1049-5398</t>
  </si>
  <si>
    <t>1532-2378</t>
  </si>
  <si>
    <t>ANIM BIOTECHNOL</t>
  </si>
  <si>
    <t>Anim. Biotechnol.</t>
  </si>
  <si>
    <t>10.1080/10495398.2023.2249957</t>
  </si>
  <si>
    <t>Agriculture, Dairy &amp; Animal Science; Biotechnology &amp; Applied Microbiology</t>
  </si>
  <si>
    <t>Agriculture; Biotechnology &amp; Applied Microbiology</t>
  </si>
  <si>
    <t>S8GC9</t>
  </si>
  <si>
    <t>WOS:001073486700001</t>
  </si>
  <si>
    <t>Yuan, YB; Qu, AN</t>
  </si>
  <si>
    <t>Yuan, Yubai; Qu, Annie</t>
  </si>
  <si>
    <t>De-confounding Causal Inference Using Latent Multiple-Mediator Pathways</t>
  </si>
  <si>
    <t>JOURNAL OF THE AMERICAN STATISTICAL ASSOCIATION</t>
  </si>
  <si>
    <t>Causal identification; Generalized additive model; Latent factor modeling; Mediation analysis; Sequential ignorability</t>
  </si>
  <si>
    <t>DNA METHYLATION; CIGARETTE-SMOKING; NONLINEAR ICA; DEATH; VARIABLES; HEALTH; CANCER; RISK; BIAS</t>
  </si>
  <si>
    <t>Causal effect estimation from observational data is one of the essential problems in causal inference. However, most estimation methods rely on the strong assumption that all confounders are observed, which is impractical and untestable in the real world. We develop a mediation analysis framework inferring the latent confounder for debiasing both direct and indirect causal effects. Specifically, we introduce generalized structural equation modeling that incorporates structured latent factors to improve the goodness-of-fit of the model to observed data, and deconfound the mediators and outcome simultaneously. One major advantage of the proposed framework is that it uses the causal pathway structure from cause to outcome via multiple mediators to debias the causal effect without requiring external information on latent confounders. In addition, the proposed framework is flexible in terms of integrating powerful nonparametric prediction algorithms while retaining interpretable mediation effects. In theory, we establish the identification of both causal and mediation effects based on the proposed deconfounding method. Numerical experiments on both simulation settings and a normative aging study indicate that the proposed approach reduces the estimation bias of both causal and mediation effects. Supplementary materials for this article are available online.</t>
  </si>
  <si>
    <t>[Yuan, Yubai] Penn State Univ, Dept Stat, State Coll, PA USA; [Qu, Annie] Univ Calif Irvine, Dept Stat, Irvine, CA 92697 USA</t>
  </si>
  <si>
    <t>Pennsylvania Commonwealth System of Higher Education (PCSHE); Pennsylvania State University; University of California System; University of California Irvine</t>
  </si>
  <si>
    <t>Qu, AN (corresponding author), Univ Calif Irvine, Dept Stat, Irvine, CA 92697 USA.</t>
  </si>
  <si>
    <t>aqu2@uci.edu</t>
  </si>
  <si>
    <t>The authors thank the Associate Editor and anonymous reviewers for their suggestions and helpful feedback which improved the article significantly.</t>
  </si>
  <si>
    <t>0162-1459</t>
  </si>
  <si>
    <t>1537-274X</t>
  </si>
  <si>
    <t>J AM STAT ASSOC</t>
  </si>
  <si>
    <t>J. Am. Stat. Assoc.</t>
  </si>
  <si>
    <t>10.1080/01621459.2023.2240461</t>
  </si>
  <si>
    <t>S5JS8</t>
  </si>
  <si>
    <t>hybrid, Green Submitted</t>
  </si>
  <si>
    <t>WOS:001071534600001</t>
  </si>
  <si>
    <t>Atanesyan, AV; Reynolds, BM; Mkrtichyan, AE</t>
  </si>
  <si>
    <t>Atanesyan, Arthur V.; Reynolds, Bradley M.; Mkrtichyan, Artur E.</t>
  </si>
  <si>
    <t>Balancing between Russia and the West: the hard security choice of Armenia</t>
  </si>
  <si>
    <t>EUROPEAN SECURITY</t>
  </si>
  <si>
    <t>Armenian society; Russia; The West; Complementarism; Karabakh War; Security priorities</t>
  </si>
  <si>
    <t>OF-INDEPENDENT-STATES; PUBLIC-OPINION; POLICY; MEDIA</t>
  </si>
  <si>
    <t>Armenia's official foreign policy of complementarism aims to sustain national security and development by balancing strategic and friendly relations with Russia, while also engaging in multilevel political, economic and cultural interactions with the EU and the USA. However, after the 2020 Karabakh War and amidst the increasing confrontation between the West and Russia, complementarism faced unprecedented challenges. To investigate whether Armenian elites still adhere to the line of complementarism and to determine whether they reflect or contradict public perceptions of foreign policy, we gathered novel sociological data on foreign policy preferences in Armenian society through a nationwide survey, outlining changes and continuities in their perceptions over the past ten years. Our study reveals that Armenian elites have started to modify complementarism as they began to doubt Russia's role in Armenian foreign policy, particularly in the context of the European neighbourhood. Armenian society's trust in Russia has consistently declined, despite Moscow still being ranked as the main strategic ally in public perceptions. The misbalancing of complementarism by Armenian elites not only challenges Russia's role in Armenian security and public opinion but also offers no viable alternative for the security of Armenia and the Armenian population in Karabakh.</t>
  </si>
  <si>
    <t>[Atanesyan, Arthur V.] Yerevan State Univ, Fac Sociol, Dept Appl Sociol, Yerevan, Armenia; [Reynolds, Bradley M.] Univ Helsinki, Fac Social Sci, Dept Polit Hist, Helsinki, Finland; [Mkrtichyan, Artur E.] Yerevan State Univ, Fac Sociol, Yerevan, Armenia</t>
  </si>
  <si>
    <t>Yerevan State University; University of Helsinki; Yerevan State University</t>
  </si>
  <si>
    <t>Atanesyan, AV (corresponding author), Yerevan State Univ, Fac Sociol, Dept Appl Sociol, Yerevan, Armenia.</t>
  </si>
  <si>
    <t>atanesyan@ysu.am</t>
  </si>
  <si>
    <t>Konrad Adenauer Stiftung (Armenia)</t>
  </si>
  <si>
    <t>This work is part of the research project Armenian Society on Crossroad: Foreign Political Orientation, Priorities and Perceptions, funded by Konrad Adenauer Stiftung (Armenia) in 2021-2022.</t>
  </si>
  <si>
    <t>0966-2839</t>
  </si>
  <si>
    <t>1746-1545</t>
  </si>
  <si>
    <t>EUR SECUR</t>
  </si>
  <si>
    <t>Eur. Secur.</t>
  </si>
  <si>
    <t>2023 SEP 21</t>
  </si>
  <si>
    <t>10.1080/09662839.2023.2258528</t>
  </si>
  <si>
    <t>Area Studies; International Relations; Political Science</t>
  </si>
  <si>
    <t>Area Studies; International Relations; Government &amp; Law</t>
  </si>
  <si>
    <t>S8UM2</t>
  </si>
  <si>
    <t>WOS:001073864100001</t>
  </si>
  <si>
    <t>Bian, ZW; Fan, ZC; Xiao, TT; Yan, JY; Ren, RT; Xu, SJ; Deng, BC; Zhang, LN</t>
  </si>
  <si>
    <t>Bian, Zhaowei; Fan, Zhicong; Xiao, Tingting; Yan, Jiayi; Ren, Ruiti; Xu, Suijun; Deng, Baichuan; Zhang, Lingna</t>
  </si>
  <si>
    <t>Effects of species-relevant auditory stimuli on stress in cats exposed to novel environment</t>
  </si>
  <si>
    <t>JOURNAL OF APPLIED ANIMAL WELFARE SCIENCE</t>
  </si>
  <si>
    <t>Environment enrichment; species-relevant auditory stimuli; animal welfare; cat-behavior</t>
  </si>
  <si>
    <t>FELINE FACIAL PHEROMONE; RESPIRATORY-TRACT INFECTION; DOMESTIC CATS; RISK-FACTORS; BEHAVIOR; MANAGEMENT; MUSIC; ASSOCIATIONS; RESPONSES; SCORES</t>
  </si>
  <si>
    <t>Environmental changes like vet visit could cause stress in cats. Studies have attempted to develop stress management strategies targeting sensory systems. Even though species-appropriate music which includes cat affiliative sound (e.g., cats' purring and suckling sound) has been shown to relieve stress in cats. Little is known whether the cat sound alone works in stress management. This study was conducted to investigate the effects of species-relevant auditory stimuli on stress in cats exposed to a novel environment. During the 28-day experiment periods, 20 cats received four types of sound treatments which included silence (T1), purr of cats (T2), eating sound in cats (T3), and the mixed sound of T2 and T3 (T4) in a novel environment in random orders with intervals of 1 week between treatments. Cats' behaviors were recorded during each 10-min test. Results showed that T4 reduced visual scanning (P = 0.017) without significantly affecting other behaviors, compared with other treatments. Together, the two types of cat-specific sounds did not exert pronounced effects of relieving stress on cats exposed to a novel environment.</t>
  </si>
  <si>
    <t>[Bian, Zhaowei; Fan, Zhicong; Xiao, Tingting; Yan, Jiayi; Ren, Ruiti; Xu, Suijun; Deng, Baichuan; Zhang, Lingna] South China Agr Univ, Dept Anim Sci, Lab Compan Anim Sci, Guangzhou, Peoples R China; [Zhang, Lingna] South China Agr Univ, Dept Anim Sci, Lab Compan Anim Sci, Guangzhou 510642, Peoples R China</t>
  </si>
  <si>
    <t>South China Agricultural University; South China Agricultural University</t>
  </si>
  <si>
    <t>Zhang, LN (corresponding author), South China Agr Univ, Dept Anim Sci, Lab Compan Anim Sci, Guangzhou 510642, Peoples R China.</t>
  </si>
  <si>
    <t>lingna.zhang@scau.edu.cn</t>
  </si>
  <si>
    <t>Zhaowei, Bian/0000-0003-3378-7025</t>
  </si>
  <si>
    <t>Thanks to the researchers who contributed to this experiment.</t>
  </si>
  <si>
    <t>1088-8705</t>
  </si>
  <si>
    <t>1532-7604</t>
  </si>
  <si>
    <t>J APPL ANIM WELF SCI</t>
  </si>
  <si>
    <t>J. Appl. Anim. Welf. Sci.</t>
  </si>
  <si>
    <t>10.1080/10888705.2023.2259803</t>
  </si>
  <si>
    <t>Veterinary Sciences</t>
  </si>
  <si>
    <t>R9CT4</t>
  </si>
  <si>
    <t>WOS:001067266800001</t>
  </si>
  <si>
    <t>Chapman, R; Cope, E; Richardson, D; Littlewood, M; Cronin, C</t>
  </si>
  <si>
    <t>Chapman, Reece; Cope, Ed; Richardson, Dave; Littlewood, Martin; Cronin, Colum</t>
  </si>
  <si>
    <t>How did we get here; a historical and social exploration of the construction of English FA coach education</t>
  </si>
  <si>
    <t>SPORT EDUCATION AND SOCIETY</t>
  </si>
  <si>
    <t>Coach education; Football; Paulo Freire; Social construction; Social architect; Crystallisation</t>
  </si>
  <si>
    <t>FOOTBALL; MILITARY</t>
  </si>
  <si>
    <t>Formal coach education, such as courses experienced by coaches, is part of a wider education system, constructed by policy developers, course designers and coach educators. To date, research has explored the complex micro-pedagogical interactions between coach educators and coaches on courses, yet there is little understanding of the historical and social influences on the development of these systems. In response, this study analyses the social construction of The English FA's coach education system over 50 years (1967-2019). Specifically, this study aimed to (1) identify 'social architects' who influenced the development of FA coach education and (2) analyse the wider social, economic, and political influences on these architects and their development of FA coach education over time. To do so, this work re-examines data from 16 semi-structured interviews (with participants who have held significant roles within The FA e.g. Head of Coaching) and 47 policy documents (e.g. course materials). Through a deductive crystallisation process the findings recognise (1) the military's influence in positioning the coach educator as powerful, (2) how insights from PE and education have informed FA coach education development and (3) how economic opportunities from the 1990s and onward prompted an expansion of FA coach education provision. This important contribution provides a platform for further research to explore the historical social construction of coach education systems.</t>
  </si>
  <si>
    <t>[Chapman, Reece] Northumbria Univ, Dept Sport Exercise &amp; Rehabil, Newcastle Upon Tyne, England; [Chapman, Reece; Littlewood, Martin; Cronin, Colum] Liverpool John Moores Univ, Sch Sport &amp; Exercise Sci, Liverpool, England; [Cope, Ed] Loughborough Univ, Sch Sport Exercise &amp; Hlth Sci, Loughborough, England; [Richardson, Dave] Bangor Univ, Sch Human &amp; Behav Sci, Bangor, Wales</t>
  </si>
  <si>
    <t>Northumbria University; Liverpool John Moores University; Loughborough University; Bangor University</t>
  </si>
  <si>
    <t>Chapman, R (corresponding author), Northumbria Univ, Dept Sport Exercise &amp; Rehabil, Newcastle Upon Tyne, England.;Chapman, R (corresponding author), Liverpool John Moores Univ, Sch Sport &amp; Exercise Sci, Liverpool, England.</t>
  </si>
  <si>
    <t>reece2.chapman@northumbria.ac.uk</t>
  </si>
  <si>
    <t>Chapman, Reece/0000-0002-1714-1331</t>
  </si>
  <si>
    <t>This paper has been written with the support of The FA whom are part funding this research.</t>
  </si>
  <si>
    <t>1357-3322</t>
  </si>
  <si>
    <t>1470-1243</t>
  </si>
  <si>
    <t>SPORT EDUC SOC</t>
  </si>
  <si>
    <t>Sport. Educ. Soc.</t>
  </si>
  <si>
    <t>10.1080/13573322.2023.2256754</t>
  </si>
  <si>
    <t>Education &amp; Educational Research; Hospitality, Leisure, Sport &amp; Tourism; Sport Sciences</t>
  </si>
  <si>
    <t>Education &amp; Educational Research; Social Sciences - Other Topics; Sport Sciences</t>
  </si>
  <si>
    <t>S0WV3</t>
  </si>
  <si>
    <t>WOS:001068467500001</t>
  </si>
  <si>
    <t>de los Reyes, PIM; Gutiérrez, A; Macho-Callejo, A; García-Morato, S; Moreno-García, M; Fernández-Jalvo, Y</t>
  </si>
  <si>
    <t>de los Reyes, Penelope I. Martinez; Gutierrez, Aida; Macho-Callejo, Alba; Garcia-Morato, Sara; Moreno-Garcia, Marta; Fernandez-Jalvo, Yolanda</t>
  </si>
  <si>
    <t>Let's play with fire! Preliminary results of new experiments on animal bone of thermo-alterations</t>
  </si>
  <si>
    <t>HISTORICAL BIOLOGY</t>
  </si>
  <si>
    <t>Experimental taphonomy; oxidising-reducing heating; high temperature colour sequence; skeletal modifications; hydroxyapatite diagenesis</t>
  </si>
  <si>
    <t>NORTHERN CAPE PROVINCE; WONDERWERK CAVE; MIDDLE PLEISTOCENE; CHEMICAL-CHANGES; BURNT BONES; CRYSTALLINITY; TAPHONOMY; COLOR</t>
  </si>
  <si>
    <t>Thermo-alterations in skeletal remains result from circumstances that can be key to understanding the context in which these appear. Here, we present the results of a series of experiments based on the exposure of animal remains to a range of different conditions and temperatures (up to 900 &amp; DEG;C) to document a variety of contexts that provide valuable information in fossil sites and forensic cases. Meat-bearing and defleshed remains (i.e. meat manually removed before the experiment) were exposed to high-temperatures, both directly or buried in different types of sediments (silt, sand, gravel and mixed sediment), in order to document colour changes and survival of soft tissues. Thus, our main goal was to monitor colour alteration and superficial modifications on the bone surface (i.e. cracks, as well as disarticulation of small mammal carcasses caused by high temperatures).</t>
  </si>
  <si>
    <t>[de los Reyes, Penelope I. Martinez] Univ Seville, Dept Prehist &amp; Arqueol, Seville, Spain; [de los Reyes, Penelope I. Martinez; Gutierrez, Aida; Macho-Callejo, Alba; Garcia-Morato, Sara; Fernandez-Jalvo, Yolanda] Museo Nacl Ciencias Nat MNCN CSIC, Dept Paleobiol, Madrid, Spain; [de los Reyes, Penelope I. Martinez; Moreno-Garcia, Marta] Inst Hist IH CSIC, Dept Arqueol &amp; Proc Sociales, Madrid, Spain; [Gutierrez, Aida] Univ Autonoma Barcelona, Dept Biol Anim Biol Vegetal &amp; Ecol, Unitat Antropol Biol, Barcelona, Spain; [Macho-Callejo, Alba] Univ Complutense Madrid, Fac Biol, Dept Biodivers Ecol &amp; Evoluc, Madrid, Spain; [Garcia-Morato, Sara] Univ Complutense Madrid, Dept Geodinam Estratig &amp; Paleontol, Area Paleontol, Madrid, Spain</t>
  </si>
  <si>
    <t>University of Sevilla; Consejo Superior de Investigaciones Cientificas (CSIC); CSIC - Museo Nacional de Ciencias Naturales (MNCN); Consejo Superior de Investigaciones Cientificas (CSIC); CSIC - Instituto de Historia (IH); Autonomous University of Barcelona; Complutense University of Madrid; Complutense University of Madrid</t>
  </si>
  <si>
    <t>Fernández-Jalvo, Y (corresponding author), Museo Nacl Ciencias Nat MNCN CSIC, Dept Paleobiol, Madrid, Spain.</t>
  </si>
  <si>
    <t>UCM-Banco Santander [CT42/18-CT43/18]; JAE Intro grant_ArchaeologyHIb (CSIC) Regional Community of Madrid; LeaT-MNCN-CSIC</t>
  </si>
  <si>
    <t>UCM-Banco Santander; JAE Intro grant_ArchaeologyHIb (CSIC) Regional Community of Madrid; LeaT-MNCN-CSIC</t>
  </si>
  <si>
    <t>The work was supported by the predoctoral grant UCM-Banco Santander [CT42/18-CT43/18]; JAE Intro grant_ArchaeologyHIb (CSIC) Regional Community of Madrid and the LeaT-MNCN-CSIC. Next Generation EU at the MNCN-CSIC-UAB.</t>
  </si>
  <si>
    <t>0891-2963</t>
  </si>
  <si>
    <t>1029-2381</t>
  </si>
  <si>
    <t>HIST BIOL</t>
  </si>
  <si>
    <t>Hist. Biol.</t>
  </si>
  <si>
    <t>10.1080/08912963.2023.2258912</t>
  </si>
  <si>
    <t>Biology; Paleontology</t>
  </si>
  <si>
    <t>Life Sciences &amp; Biomedicine - Other Topics; Paleontology</t>
  </si>
  <si>
    <t>S6HX5</t>
  </si>
  <si>
    <t>WOS:001072164500001</t>
  </si>
  <si>
    <t>Dong, DD; Liu, JX; Tang, GJ</t>
  </si>
  <si>
    <t>Dong, Dan-dan; Liu, Jian-xun; Tang, Guo-ji</t>
  </si>
  <si>
    <t>Sample average approximation method for a class of stochastic vector variational inequalities</t>
  </si>
  <si>
    <t>APPLICABLE ANALYSIS</t>
  </si>
  <si>
    <t>J. Tugaut; Stochastic vector variational inequality; regularized gap function; sample average approximation; convergence</t>
  </si>
  <si>
    <t>RESIDUAL MINIMIZATION METHOD; CONSTRAINTS</t>
  </si>
  <si>
    <t>In the present paper, the expected-value (EV) reformulation of a class of stochastic vector variational inequalities (SVVI) is investigated. By using the regularized gap function, the EV reformulation of SVVI is transformed into a constrained optimization problem. Then a sample average approximation (SAA) method is proposed for solving the constrained optimization problem. Under suitable assumptions, the limiting behaviors of the optimal values and optimal solutions of the approximation problem are investigated. Finally, the rates of convergence in the different senses of optimal solutions for sample average approximation problem are discussed under the error bound condition.</t>
  </si>
  <si>
    <t>[Dong, Dan-dan] Guangxi Minzu Univ, Sch Math &amp; Phys, Nanning, Peoples R China; [Dong, Dan-dan] Henan Univ Sci &amp; Technol, Business Sch, Luoyang, Peoples R China; [Liu, Jian-xun] Guangxi Minzu Univ, Ctr Appl Math Guangxi, Sch Math &amp; Phys, Nanning, Peoples R China; [Tang, Guo-ji] Guangxi Minzu Univ, Ctr Appl Math Guangxi, Sch Math &amp; Phys, Guangxi Key Lab Hybrid Computat &amp; IC Design Anal, Nanning, Peoples R China</t>
  </si>
  <si>
    <t>Guangxi Minzu University; Henan University of Science &amp; Technology; Guangxi Minzu University; Guangxi Minzu University</t>
  </si>
  <si>
    <t>Tang, GJ (corresponding author), Guangxi Minzu Univ, Ctr Appl Math Guangxi, Sch Math &amp; Phys, Guangxi Key Lab Hybrid Computat &amp; IC Design Anal, Nanning, Peoples R China.</t>
  </si>
  <si>
    <t>guojvtang@126.com</t>
  </si>
  <si>
    <t>National Natural Science Foundation of China [11961006]; Guangxi Science and Technology Plan Project [guikeAD22035021]; Guangxi Natural Science Foundation [2020GXNSFAA159100]; Innovation Project of Guangxi Graduate Education [gxun-chxs2021055]</t>
  </si>
  <si>
    <t>National Natural Science Foundation of China(National Natural Science Foundation of China (NSFC)); Guangxi Science and Technology Plan Project; Guangxi Natural Science Foundation(National Natural Science Foundation of Guangxi Province); Innovation Project of Guangxi Graduate Education</t>
  </si>
  <si>
    <t>The authors are grateful to the editor and referee for their valuable comments and suggestions. Thiswork was partially supported by National Natural Science Foundation of China (No. 11961006),Guangxi Science and Technology Plan Project (No. guikeAD22035021), Guangxi Natural Science Foundation (No. 2020GXNSFAA159100) and Innovation Project of Guangxi Graduate Education (gxun-chxs2021055).</t>
  </si>
  <si>
    <t>0003-6811</t>
  </si>
  <si>
    <t>1563-504X</t>
  </si>
  <si>
    <t>APPL ANAL</t>
  </si>
  <si>
    <t>Appl. Anal.</t>
  </si>
  <si>
    <t>10.1080/00036811.2023.2260403</t>
  </si>
  <si>
    <t>S0RJ9</t>
  </si>
  <si>
    <t>WOS:001068324900001</t>
  </si>
  <si>
    <t>Matalon, E</t>
  </si>
  <si>
    <t>Matalon, Eftichia</t>
  </si>
  <si>
    <t>The therapeutic and scientific benefits of psychological poetry: a two-step study</t>
  </si>
  <si>
    <t>JOURNAL OF POETRY THERAPY</t>
  </si>
  <si>
    <t>Clinical psychology; counselling; education; methodology; poetry; positive psychology; religion</t>
  </si>
  <si>
    <t>The cornerstone of this study is a poem of psychological poetry concerning some religious teachings. The poem was composed by the author. In a first step, in order to confirm the therapeutic capacity of psychological poetry, an after-death letter regarding a rabbi is presented. In a second step, psychological poetry's ability as a scientific tool is tested through a study of the relationship between religion and happiness. Here, religion is represented by some religious teachings of a luminary rabbi as they are understood by the author. Happiness is represented by research on Positive Psychology (PP). More specifically, the values of the religious teachings found in the poem are examined and compared to the scientifically established characteristics assigned to happiness. A new method of comparison is applied and allows us to identify and validate the presence of similarities between the two variables. The results obtained in both steps are positive.</t>
  </si>
  <si>
    <t>effiem@bell.net</t>
  </si>
  <si>
    <t>0889-3675</t>
  </si>
  <si>
    <t>1567-2344</t>
  </si>
  <si>
    <t>J POETRY THER</t>
  </si>
  <si>
    <t>J. Poetry Ther.</t>
  </si>
  <si>
    <t>10.1080/08893675.2023.2259617</t>
  </si>
  <si>
    <t>S2HI4</t>
  </si>
  <si>
    <t>WOS:001069426300001</t>
  </si>
  <si>
    <t>Mikhaylova, T; Pettersson, D</t>
  </si>
  <si>
    <t>Mikhaylova, Tatiana; Pettersson, Daniel</t>
  </si>
  <si>
    <t>Minding the gaps: the politics of differentiation in Swedish education from 1842 to the 1960s</t>
  </si>
  <si>
    <t>JOURNAL OF CURRICULUM STUDIES</t>
  </si>
  <si>
    <t>differentiation; individualization; intelligence tests; gaps; history of education</t>
  </si>
  <si>
    <t>The concept of differentiation holds immense significance in education, touching upon aspects like access, inclusion, justice, and equality. However, it is also a complex and elusive notion, which acquires different meanings across historical and cultural contexts. This article explores the shifting reasoning about differentiation in the Swedish educational context. Inspired by Foucault's account of disciplinary power, it conceptualizes differentiation as a technique for marking and addressing gaps between individuals. Drawing on an analysis of governmental and scholarly reports from 1842 to the late 1960s, the article identifies three shifts in the reasoning on differentiation: 1) from differentiation by socioeconomic class as a given factor to the search for scientific rationales for differentiation based on measurement of intellectual ability, 2) from viewing differences in intelligence as biologically conditioned and stable to viewing them as amenable to training and correction through education, and 3) from a focus on inputs to a focus on outputs. Overall, the article argues that even if the term 'differentiation' itself has been discursively replaced by others, the ideas underlying it-the search for gaps-continue to shape education in Sweden and beyond.</t>
  </si>
  <si>
    <t>[Mikhaylova, Tatiana; Pettersson, Daniel] Univ Gavle, Dept Educ Sci, Gavle, Sweden</t>
  </si>
  <si>
    <t>University of Gavle</t>
  </si>
  <si>
    <t>Mikhaylova, T (corresponding author), Univ Gavle, Dept Educ Sci, Gavle, Sweden.</t>
  </si>
  <si>
    <t>tatiana.mikhaylova@hig.se</t>
  </si>
  <si>
    <t>Mikhaylova, Tatiana/HLX-8044-2023</t>
  </si>
  <si>
    <t>Mikhaylova, Tatiana/0000-0002-5916-0565</t>
  </si>
  <si>
    <t>0022-0272</t>
  </si>
  <si>
    <t>1366-5839</t>
  </si>
  <si>
    <t>J CURRICULUM STUD</t>
  </si>
  <si>
    <t>J. Curric. Stud.</t>
  </si>
  <si>
    <t>10.1080/00220272.2023.2260456</t>
  </si>
  <si>
    <t>S0TE5</t>
  </si>
  <si>
    <t>WOS:001068371600001</t>
  </si>
  <si>
    <t>Rahman, NFA; Davies, N; Suhaimi, J; Idris, F; Mohamad, SNS; Park, S</t>
  </si>
  <si>
    <t>Rahman, Nur Faraheen Abdul; Davies, Nathan; Suhaimi, Julia; Idris, Faridah; Mohamad, Sharifah Najwa Syed; Park, Sophie</t>
  </si>
  <si>
    <t>Transformative learning in clinical reasoning: a meta-synthesis in undergraduate primary care medical education</t>
  </si>
  <si>
    <t>EDUCATION FOR PRIMARY CARE</t>
  </si>
  <si>
    <t>Cinical reasoning; transformative learning; meta-synthesis; primary care; medical education</t>
  </si>
  <si>
    <t>INTERPROFESSIONAL EDUCATION; STUDENTS; IMPACT; SKILLS; PERFORMANCE; SPECIALTY; CLERKSHIP; DIAGNOSIS</t>
  </si>
  <si>
    <t>Clinical reasoning is a vital medical education skill, yet its nuances in undergraduate primary care settings remain debated. This systematic review explores clinical reasoning teaching and learning intricacies within primary care. We redefine clinical reasoning as dynamically assimilating and prioritising synthesised patient, significant other, or healthcare professional information for diagnoses or non-diagnoses. This focused meta-synthesis applies transformative learning theory to primary care clinical reasoning education. A comprehensive analysis of 29 selected studies encompassing various designs made insights into clinical reasoning learning dimensions visible. Primary care placements in varying duration and settings foster diverse instructional methods like bedside teaching, clinical consultations, simulated clinics, virtual case libraries, and more. This review highlights the interplay between disease-oriented and patient-centred orientations in clinical reasoning learning. Transformative learning theory provides an innovative lens, revealing stages of initiation, persistence, time and space, and competence and confidence in students' clinical reasoning evolution. Clinical teachers guide this transformation, adopting roles as fortifiers, connoisseurs, mediators, and monitors. Patient engagement spans passive to active involvement, co-constructing clinical reasoning. The review underscores theoretical underpinnings' significance in shaping clinical reasoning pedagogy, advocating broader diversity. Intentional student guidance amid primary care complexities is vital. Utilising transformative learning, interventions bridging cognitive boundaries enhance meaningful clinical reasoning learning experiences. This study contributes insights for refining pedagogy, encouraging diverse research, and fostering holistic clinical reasoning development.</t>
  </si>
  <si>
    <t>[Rahman, Nur Faraheen Abdul; Davies, Nathan; Park, Sophie] UCL, Inst Epidemiol &amp; Populat Hlth, Res Dept Primary Care &amp; Populat Hlth, London, England; [Rahman, Nur Faraheen Abdul; Mohamad, Sharifah Najwa Syed] Univ Sains Islam Malaysia, Fac Med &amp; Hlth Sci, Dept Primary Hlth Care, Nilai, Malaysia; [Suhaimi, Julia] Univ Malaya, Fac Med, Dept Primary Care Med, Kuala Lumpur, Malaysia; [Idris, Faridah] Univ Putra Malaysia, Fac Med &amp; Hlth Sci, Dept Pathol, Serdang, Malaysia; [Rahman, Nur Faraheen Abdul] UCL, Royal Free Hosp, Inst Epidemiol &amp; Populat Hlth, Res Dept Primary Care &amp; Populat Hlth, Upper Third Floor,Rowland Hill St, London NW3 2PF, England</t>
  </si>
  <si>
    <t>University of London; University College London; Universiti Sains Islam Malaysia; Universiti Malaya; Universiti Putra Malaysia; University of London; University College London; Royal Free London NHS Foundation Trust; UCL Medical School</t>
  </si>
  <si>
    <t>Rahman, NFA (corresponding author), UCL, Royal Free Hosp, Inst Epidemiol &amp; Populat Hlth, Res Dept Primary Care &amp; Populat Hlth, Upper Third Floor,Rowland Hill St, London NW3 2PF, England.</t>
  </si>
  <si>
    <t>nur.rahman.19@ucl.ac.uk</t>
  </si>
  <si>
    <t>We wish to thank Jennifer Ford (Royal Free Hospital Medical Library) for her valuable assistance in the search processes, Prof. Pat Croskerry for his advice on the feasibility of this review, Prof. Pawlikowska (Head of BICC) and BEME protocol review team,</t>
  </si>
  <si>
    <t>We wish to thank Jennifer Ford (Royal Free Hospital Medical Library) for her valuable assistance in the search processes, Prof. Pat Croskerry for his advice on the feasibility of this review, Prof. Pawlikowska (Head of BICC) and BEME protocol review team, Prof. Joseph Rencic for providing advice on MESH terms for clinical reasoning research; Carolyn Kirk (UCL Centre for Languages and International Education) and Dr Sara Thompson (Research Department of Primary Care and Population Health, UCL) for reviewing the protocol and the initial manuscript.</t>
  </si>
  <si>
    <t>1473-9879</t>
  </si>
  <si>
    <t>1475-990X</t>
  </si>
  <si>
    <t>EDUC PRIM CARE</t>
  </si>
  <si>
    <t>Educ. Prim. Care</t>
  </si>
  <si>
    <t>10.1080/14739879.2023.2248070</t>
  </si>
  <si>
    <t>Primary Health Care</t>
  </si>
  <si>
    <t>S1SQ4</t>
  </si>
  <si>
    <t>WOS:001069043600001</t>
  </si>
  <si>
    <t>Redmond, J; Shonk, K</t>
  </si>
  <si>
    <t>Redmond, Jennifer; Shonk, Kenneth</t>
  </si>
  <si>
    <t>Ireland's New Traditionalists: Fianna F &amp; aacute;il republicanism and gender, 1926-1938</t>
  </si>
  <si>
    <t>WOMENS HISTORY REVIEW</t>
  </si>
  <si>
    <t>Book Review; Early Access</t>
  </si>
  <si>
    <t>[Redmond, Jennifer] Maynooth Univ, Dept Hist, Maynooth, Ireland</t>
  </si>
  <si>
    <t>Maynooth University</t>
  </si>
  <si>
    <t>Redmond, J (corresponding author), Maynooth Univ, Dept Hist, Maynooth, Ireland.</t>
  </si>
  <si>
    <t>jennifer.redmond@mu.ie</t>
  </si>
  <si>
    <t>0961-2025</t>
  </si>
  <si>
    <t>1747-583X</t>
  </si>
  <si>
    <t>WOMEN HIST REV</t>
  </si>
  <si>
    <t>Woman Hist.</t>
  </si>
  <si>
    <t>10.1080/09612025.2023.2256565</t>
  </si>
  <si>
    <t>History</t>
  </si>
  <si>
    <t>Arts &amp; Humanities Citation Index (A&amp;HCI)</t>
  </si>
  <si>
    <t>S3XA8</t>
  </si>
  <si>
    <t>WOS:001070521100001</t>
  </si>
  <si>
    <t>Wang, SW</t>
  </si>
  <si>
    <t>Wang, Siwei</t>
  </si>
  <si>
    <t>The aqueous form and the Afro-Sino encounter in Yvonne Owuor's The Dragonfly Sea</t>
  </si>
  <si>
    <t>JOURNAL OF POSTCOLONIAL WRITING</t>
  </si>
  <si>
    <t>Oceanic studies; Africa-China relations; Global South studies; Yvonne Owuor; Kenyan literature; Indo-Pacific waters</t>
  </si>
  <si>
    <t>INDIAN-OCEAN; CHINA; SOUTH</t>
  </si>
  <si>
    <t>Through a focused study of Kenyan writer Yvonne Owuor's The Dragonfly Sea, this article seeks to develop an aqueous hermeneutics of Africa-China literatures. Such a reading practice highlights the waterways that fundamentally shape Afro-Sino relations but have not been properly theorized in oceanic studies or Global South studies and challenges the ways we think about global connectivity and its associated genre - world literature. Owuor uses an aqueous form to tackle the Afro-Sino encounter's complex temporalities - its maritime connections in antiquity, its present moment in capitalist modernity, and its unpredictable futures. Furthermore, her novel draws on water's materiality to respond to the unevenly powered global literary market. Using Owuor as a starting point, this article considers whether the Indo-Pacific waters might offer a generative frame for cross-cultural comparisons, complicate the dominant paradigm of Afro-Sino literary studies, and integrate Chinese/sinophone maritime fiction and Indian Ocean literature of the anglophone and francophone worlds.</t>
  </si>
  <si>
    <t>[Wang, Siwei] Princeton Univ, Dept Comparat Literature, Princeton, NJ USA; [Wang, Siwei] Princeton Univ, Dept Comparat Literature, 133 East Pyne, Princeton, NJ 08544 USA</t>
  </si>
  <si>
    <t>Princeton University; Princeton University</t>
  </si>
  <si>
    <t>Wang, SW (corresponding author), Princeton Univ, Dept Comparat Literature, 133 East Pyne, Princeton, NJ 08544 USA.</t>
  </si>
  <si>
    <t>sw8329@princeton.edu</t>
  </si>
  <si>
    <t>1744-9855</t>
  </si>
  <si>
    <t>1744-9863</t>
  </si>
  <si>
    <t>J POSTCOLONIAL WRIT</t>
  </si>
  <si>
    <t>J. Postcolonial Writ.</t>
  </si>
  <si>
    <t>10.1080/17449855.2023.2248552</t>
  </si>
  <si>
    <t>Literature</t>
  </si>
  <si>
    <t>S3VV6</t>
  </si>
  <si>
    <t>WOS:001070489500001</t>
  </si>
  <si>
    <t>Abou Assi, R; Abdulbaqi, IM; Tan, SM; Wahab, HA; Darwis, Y; Chan, SY</t>
  </si>
  <si>
    <t>Abou Assi, Reem; Abdulbaqi, Ibrahim M.; Tan, Siew Mei; Wahab, Habibah A.; Darwis, Yusrida; Chan, Siok-Yee</t>
  </si>
  <si>
    <t>Breaking barriers: bilosomes gel potentials to pave the way for transdermal breast cancer treatment with Tamoxifen</t>
  </si>
  <si>
    <t>DRUG DEVELOPMENT AND INDUSTRIAL PHARMACY</t>
  </si>
  <si>
    <t>Tamoxifen; bilosomes; gel; breast cancer; penetration enhancer; transdermal</t>
  </si>
  <si>
    <t>EX-VIVO PERMEATION; IN-VITRO; VESICULAR CARRIER; BILE-SALTS; DELIVERY; ETHOSOMES; OPTIMIZATION; FORMULATION; THERAPY; DESIGN</t>
  </si>
  <si>
    <t>ObjectiveBreast cancer affects women globally, regardless of age or location. On the other hand, Tamoxifen (TXN), a class II biopharmaceutical drug is acting as a prophylactic/treating agent for women at risk of and/or with hormone receptor-positive breast cancer. However, its oral administration has life-threatening side effects, which have led researchers to investigate alternative delivery methods. One such method is transdermal drug delivery utilizing bile salts as penetration enhancers, aka Bilosomes.MethodsBilosomes formulations were optimized statistically for the outcome of vesicle shape, size, and entrapment efficiency using two types of bile, i.e. sodium taurocholate and sodium cholate. These bilosomes were then loaded into HPMC base gel and further characterized for their morphology, drug content, pH, viscosity, spreadability and eventually ex-vivo skin penetration and deposition studies.ResultsFindings showed that sodium cholate has superiority as a penetration enhancer over sodium taurocholate in terms of morphological characterizes, zeta potential, and cumulative amounts of tamoxifen permeated per unit area (15.13 &amp; PLUSMN; 0.71 &amp; mu;g/cm2 and 6.51 &amp; PLUSMN; 0.6 &amp; mu;g/cm2 respectively). In fact, bilosomes designed with sodium cholate provided around 9 folds of skin deposition compared to TXN non-bilosomal gel.ConclusionBilosomes gels could be a promising option for locally delivering tamoxifen to the breast through the skin, offering an encouraging transdermal solution.</t>
  </si>
  <si>
    <t>[Abou Assi, Reem; Abdulbaqi, Ibrahim M.; Tan, Siew Mei; Darwis, Yusrida; Chan, Siok-Yee] Univ Sains Malaysia, Sch Pharmaceut Sci, Discipline Pharmaceut Technol, Thoughts Formulat Lab, Minden 11800, Penang, Malaysia; [Abou Assi, Reem] Al Kitab Univ, Coll Pharm, Discipline Pharmaceut Technol, EDEN Res Grp, Kirkuk, Iraq; [Abdulbaqi, Ibrahim M.] Al Kitab Univ, Coll Pharm, PractSol Res Grp, Kirkuk, Iraq; [Abdulbaqi, Ibrahim M.; Wahab, Habibah A.] Univ Sains Malaysia, Sch Pharmaceut Sci, Discipline Pharmaceut Technol, Pharmaceut Design &amp; Simulat PhDS Lab, Minden, Penang, Malaysia</t>
  </si>
  <si>
    <t>Universiti Sains Malaysia; Al-Kitab University; Al-Kitab University; Universiti Sains Malaysia</t>
  </si>
  <si>
    <t>Chan, SY (corresponding author), Univ Sains Malaysia, Sch Pharmaceut Sci, Discipline Pharmaceut Technol, Thoughts Formulat Lab, Minden 11800, Penang, Malaysia.</t>
  </si>
  <si>
    <t>sychan@usm.my</t>
  </si>
  <si>
    <t>Authors Reem Abou Assi and Ibrahim M. Abdulbaqi are the recipients of Universiti Sains Malaysia USM Fellowship Award.; Universiti Sains Malaysia USM Fellowship Award</t>
  </si>
  <si>
    <t>Authors Reem Abou Assi and Ibrahim M. Abdulbaqi are the recipients of Universiti Sains Malaysia USM Fellowship Award.; Universiti Sains Malaysia USM Fellowship Award(Universiti Sains Malaysia)</t>
  </si>
  <si>
    <t>Authors Reem Abou Assi and Ibrahim M. Abdulbaqi are the recipients of Universiti Sains Malaysia USM Fellowship Award.</t>
  </si>
  <si>
    <t>0363-9045</t>
  </si>
  <si>
    <t>1520-5762</t>
  </si>
  <si>
    <t>DRUG DEV IND PHARM</t>
  </si>
  <si>
    <t>Drug Dev. Ind. Pharm.</t>
  </si>
  <si>
    <t>2023 SEP 20</t>
  </si>
  <si>
    <t>10.1080/03639045.2023.2256404</t>
  </si>
  <si>
    <t>Chemistry, Medicinal; Pharmacology &amp; Pharmacy</t>
  </si>
  <si>
    <t>R9IO1</t>
  </si>
  <si>
    <t>WOS:001067417800001</t>
  </si>
  <si>
    <t>Anastasia, N; Maria, M; Christina, PM; Lambros, M; Grigorios, N</t>
  </si>
  <si>
    <t>Anastasia, Nousia; Maria, Martzoukou; Maria Christina, Petri; Lambros, Messinis; Grigorios, Nasios</t>
  </si>
  <si>
    <t>Face-to-face vs. Telerehabilitation language and cognitive training in patients with multi-domain amnestic mild cognitive impairment</t>
  </si>
  <si>
    <t>APPLIED NEUROPSYCHOLOGY-ADULT</t>
  </si>
  <si>
    <t>Telerehabilitation; face-to-face; language and cognitive training; multi domain amnestic MCI</t>
  </si>
  <si>
    <t>GREEK POPULATION; NORMATIVE DATA; INTERVENTION; VALIDATION; MEMORY</t>
  </si>
  <si>
    <t>The recent coronavirus emergency raised the question of whether telerehabilitation could be as effective as conventional face-to-face intervention. The aim of the present study was to compared language and cognitive training delivered to patients from a distance, through telecommunication systems, for the same intervention conducted on a face-to-face mode in patients with multi domain amnestic MCI (md-aMCI). To this end, 30 patients diagnosed with md-aMCI took part in the present study. The participants divided into two groups; one group received conventional face-to-face training and the other group received Telerehabilitation training. Both groups received language training using paper and pencil tasks and cognitive training using the Rehacom software. The training lasted 15 weeks and was delivered twice a week, for 60 minutes per session. The conventional face-to-face mode had a significant impact on cognitive (delayed and working memory, processing speed, executive function, and attention) and language domains (naming, word recognition, and semantic fluency). The telerehabilitation method had a beneficial impact on delayed memory, naming, and semantic fluency. The results of our study provide evidence that both telerehabilitation and face-to-face language and cognitive training seem to have a positive impact in patients with md-aMCI, with face-to-face training improving more domains than telerehabilitation.</t>
  </si>
  <si>
    <t>[Anastasia, Nousia] Univ Peloponnese, Dept Speech &amp; Language Therapy, Kalamata, Greece; [Maria, Martzoukou; Maria Christina, Petri; Lambros, Messinis] Aristotle Univ Thessaloniki, Sch Psychol, Lab Cognit Neurosci, Thessaloniki, Greece; [Grigorios, Nasios] Univ Ioannina, Dept Speech &amp; Language Therapy, Ioannina, Greece; [Anastasia, Nousia] Univ Peloponnese, Dept Speech &amp; Language Therapy, GR-24100 Kalamata, Greece</t>
  </si>
  <si>
    <t>University of Peloponnese; Aristotle University of Thessaloniki; University of Ioannina; University of Peloponnese</t>
  </si>
  <si>
    <t>Anastasia, N (corresponding author), Univ Peloponnese, Dept Speech &amp; Language Therapy, GR-24100 Kalamata, Greece.</t>
  </si>
  <si>
    <t>sialogo@gmail.com</t>
  </si>
  <si>
    <t>2327-9095</t>
  </si>
  <si>
    <t>2327-9109</t>
  </si>
  <si>
    <t>APPL NEUROPSYCH-ADUL</t>
  </si>
  <si>
    <t>Appl. Neuropsychol.-Adult</t>
  </si>
  <si>
    <t>10.1080/23279095.2023.2259035</t>
  </si>
  <si>
    <t>Clinical Neurology; Psychology</t>
  </si>
  <si>
    <t>Neurosciences &amp; Neurology; Psychology</t>
  </si>
  <si>
    <t>S2HP0</t>
  </si>
  <si>
    <t>WOS:001069433000001</t>
  </si>
  <si>
    <t>Bertelli, JA; Rosa, ICN; Ghizoni, MF</t>
  </si>
  <si>
    <t>Bertelli, Jayme A.; Rosa, Isadora Carvalho Nunes; Ghizoni, Marcos F.</t>
  </si>
  <si>
    <t>Retrograde peripheral nerve regeneration from sensory to motor pathways in rats: a new experimental concept in nerve repair</t>
  </si>
  <si>
    <t>NEUROLOGICAL RESEARCH</t>
  </si>
  <si>
    <t>Nerve graft; retrograde nerve regeneration; nerve transfer; muscle reinnervation; nerve regeneration; nerve repair</t>
  </si>
  <si>
    <t>BRACHIAL-PLEXUS; FUNCTIONAL RECOVERY; BRANCH TRANSFER; BASAL LAMINA; INJURY; SPECIFICITY; TRANSFERS; FORELIMB; MODEL</t>
  </si>
  <si>
    <t>BackgroundThe polarity of nerve grafts does not interfere with axon growth. Our goal was to investigate whether axons can regenerate in a retrograde fashion within sensory pathways and then extend into motor pathways, leading to muscle reinnervation.MethodsFifty-four rats were randomized into four groups. In Group 1, the ulnar nerve was connected end-to-end to the superficial radial nerve after neurectomy of the radial nerve in the axilla. In Group 2, the ulnar nerve was connected end-to-end to the radial nerve distal to the humerus; the radial nerve then was divided in the axilla. In Group 3, the radial nerve was divided in the axilla, but no nerve reconstruction was performed. In Group 4, the radial nerve was crushed in the axilla. Over 6 months, we behaviorally assessed the recovery of toe spread in the right operated-upon forepaw by lifting the rat by its tail and lowering it onto a flat surface. Six months after surgery, rats underwent reoperation, nerve transfers were tested electrophysiologically, and the posterior interosseous nerve (PIN) was removed for histological evaluation.ResultsRats in the crush group recovered toe spread between 5 and 8 days after surgery. Rats with nerve transfers demonstrated electrophysiological and histological findings of nerve regeneration but no behavioral recovery.ConclusionsUlnar nerve axons regrew into the superficial radial nerve and then into the PIN to reinnervate the extensor digitorum communis. We were unable to demonstrate behavioral recovery because rats cannot readapt to cross-nerve transfer.</t>
  </si>
  <si>
    <t>[Bertelli, Jayme A.] Univ Fed Santa Catarina, Dept Surg lieu, Dept Surg Tech, Florianopolis, SC, Brazil; [Rosa, Isadora Carvalho Nunes] Univ South St Catarina UNISUL, Ctr Biol &amp; Hlth Sci, Tubarao, SC, Brazil; [Ghizoni, Marcos F.] Univ South Santa Catarina UNISUL, Ctr Biol &amp; Hlth Sci, Dept Neurosurg, Tubarao, SC, Brazil; [Bertelli, Jayme A.] Univ Fed Santa Catarina, Dept Surg, Rua Eng Agron Andrei Cristian Ferreira S-N, BR-88040900 Florianopolis, SC, Brazil</t>
  </si>
  <si>
    <t>Universidade Federal de Santa Catarina (UFSC); Universidade do Sul de Santa Catarina; Universidade Federal de Santa Catarina (UFSC)</t>
  </si>
  <si>
    <t>Bertelli, JA (corresponding author), Univ Fed Santa Catarina, Dept Surg, Rua Eng Agron Andrei Cristian Ferreira S-N, BR-88040900 Florianopolis, SC, Brazil.</t>
  </si>
  <si>
    <t>drbertelli@gmail.com</t>
  </si>
  <si>
    <t>0161-6412</t>
  </si>
  <si>
    <t>1743-1328</t>
  </si>
  <si>
    <t>NEUROL RES</t>
  </si>
  <si>
    <t>Neurol. Res.</t>
  </si>
  <si>
    <t>10.1080/01616412.2023.2258039</t>
  </si>
  <si>
    <t>Clinical Neurology; Neurosciences</t>
  </si>
  <si>
    <t>S0RQ2</t>
  </si>
  <si>
    <t>WOS:001068331200001</t>
  </si>
  <si>
    <t>Saleem, Z; Sono, TM; Godman, B</t>
  </si>
  <si>
    <t>Saleem, Zikria; Sono, Tiyani Milta; Godman, Brian</t>
  </si>
  <si>
    <t>Concerns with current Drug Laws regarding the purchasing antibiotics without a prescription in Pakistan; ways forward to assist the national action plan</t>
  </si>
  <si>
    <t>EXPERT REVIEW OF ANTI-INFECTIVE THERAPY</t>
  </si>
  <si>
    <t>Editorial Material; Early Access</t>
  </si>
  <si>
    <t>AwaRe classification; Drug Laws; national action plans; purchasing antibiotics without a prescription; Pakistan</t>
  </si>
  <si>
    <t>[Saleem, Zikria] Bahauddin Zakariya Univ, Fac Pharm, Dept Pharm Practice, Multan, Pakistan; [Sono, Tiyani Milta; Godman, Brian] Sefako Makgatho Hlth Sci Univ, Sch Pharm, Dept Publ Hlth Pharm &amp; Management, Pretoria, South Africa; [Sono, Tiyani Milta] Saselamani Pharm, Saselamani, South Africa; [Godman, Brian] Univ Strathclyde, Strathclyde Inst Pharm &amp; Biomed Sci, Dept Pharmacoepidemiol, Glasgow G4 0RE, Scotland</t>
  </si>
  <si>
    <t>Bahauddin Zakariya University; Sefako Makgatho Health Sciences University; University of Strathclyde</t>
  </si>
  <si>
    <t>Godman, B (corresponding author), Univ Strathclyde, Strathclyde Inst Pharm &amp; Biomed Sci, Dept Pharmacoepidemiol, Glasgow G4 0RE, Scotland.</t>
  </si>
  <si>
    <t>Brian.Godman@strath.ac.uk</t>
  </si>
  <si>
    <t>Saleem, Zikria/0000-0003-3202-6347; Godman, Brian/0000-0001-6539-6972</t>
  </si>
  <si>
    <t>1478-7210</t>
  </si>
  <si>
    <t>1744-8336</t>
  </si>
  <si>
    <t>EXPERT REV ANTI-INFE</t>
  </si>
  <si>
    <t>Expert Rev. Anti-Infect. Ther.</t>
  </si>
  <si>
    <t>10.1080/14787210.2023.2260096</t>
  </si>
  <si>
    <t>Infectious Diseases; Microbiology; Pharmacology &amp; Pharmacy</t>
  </si>
  <si>
    <t>S3VL2</t>
  </si>
  <si>
    <t>WOS:001070479100001</t>
  </si>
  <si>
    <t>Seroussi, E; Loeffler, J</t>
  </si>
  <si>
    <t>Seroussi, Edwin; Loeffler, James</t>
  </si>
  <si>
    <t>Staging Hillula: Ariel Bension and Avraham Zvi Idelsohn in early twentieth-century Jerusalem</t>
  </si>
  <si>
    <t>JOURNAL OF MODERN JEWISH STUDIES</t>
  </si>
  <si>
    <t>Ariel Bension; Avraham Zvi Idelsohn; Mizrahi; Zionism; Music; Theater</t>
  </si>
  <si>
    <t>LATE-OTTOMAN; MUSIC</t>
  </si>
  <si>
    <t>The writer, Zohar scholar and Zionist activist Ariel Bension (1880-1932) has attracted attention of late from scholars seeking to recover an alternative vision of Zionism with Mizrahi roots in Ottoman Palestine. Yet the instrumentalization of Bension's biography for the politics of identity in present-day Israel has led to a flattening effect whereby Bension is divorced from his manifold ties to European and global Jewish culture. In this article, we demonstrate those complex transnational and multidisciplinary dimensions of Bension's life, theatrical oeuvre and thought through a reconstruction of his brief collaboration on a Hebrew musical play and film project with music scholar, composer and educator Avraham Zvi Idelsohn (1882-1938). Presenting newly discovered archival documents, we explore both the tangled array of social identities present in the early Zionist cultural elite and the emergence of a shared global Jewish imaginary in a moment of profound historical change.</t>
  </si>
  <si>
    <t>[Seroussi, Edwin] Hebrew Univ Jerusalem, Dept Musicol, Jerusalem, Israel; [Loeffler, James] Johns Hopkins Univ, Dept Hist, Baltimore, MD 21218 USA</t>
  </si>
  <si>
    <t>Hebrew University of Jerusalem; Johns Hopkins University</t>
  </si>
  <si>
    <t>Loeffler, J (corresponding author), Johns Hopkins Univ, Dept Hist, Baltimore, MD 21218 USA.</t>
  </si>
  <si>
    <t>jbl6w@virginia.edu</t>
  </si>
  <si>
    <t>1472-5886</t>
  </si>
  <si>
    <t>1472-5894</t>
  </si>
  <si>
    <t>J MOD JEW STUD</t>
  </si>
  <si>
    <t>J. Mod. Jew. Stud.</t>
  </si>
  <si>
    <t>10.1080/14725886.2023.2251117</t>
  </si>
  <si>
    <t>S3VH5</t>
  </si>
  <si>
    <t>WOS:001070475400001</t>
  </si>
  <si>
    <t>Chen, ZY</t>
  </si>
  <si>
    <t>Chen, Zhaoyu</t>
  </si>
  <si>
    <t>Theoretical development of the tourist experience: a future perspective</t>
  </si>
  <si>
    <t>TOURISM RECREATION RESEARCH</t>
  </si>
  <si>
    <t>Tourism; Tourist experience; systematic literature review; theory; experience economy</t>
  </si>
  <si>
    <t>RETHINKING AUTHENTICITY; DESTINATION IMAGE; SATISFACTION; EMOTIONS; ATTITUDE</t>
  </si>
  <si>
    <t>The tourist experience is a widely explored phenomenon in tourism research because of its importance to the design and provision of quality products and services and the enhancement of destination branding. Various theories and theoretical frameworks have been applied to understand tourist experiences, including the constructivist, experiential, and emotional perspectives. However, recent systematic literature reviews of the theoretical underpinnings of tourist experience research is lacking. This study aims to address this gap by conducting a contemporary systematic literature review of the progress of theoretical developments in tourist experience research. This review explores the evolution of theoretical frameworks applied in previous studies and summarizes them into four main stages: descriptive, experiential, transformative, and scope-expanding. This study is significant in identifying different dominant theories over time. It enhances our understanding of the theoretical foundations of tourist experience research and provides insights into possible theories that could guide future research. This study concludes by examining the practical implications for destination managers and policymakers in dealing with the changing patterns of tourist consumption of experiences, one of the most important issues for tourism destination marketing and development. This involves adapting strategies to meet the growing demand for personalized, authentic, and interactive experiences.</t>
  </si>
  <si>
    <t>[Chen, Zhaoyu] Macao Inst Tourism Studies, Sch Tourism Management, Macau, Peoples R China; [Chen, Zhaoyu] F203 Forward Bldg,Taipa Campus,Ave Padre Tomas Per, Taipa, Macao, Peoples R China</t>
  </si>
  <si>
    <t>Macao Institute for Tourism Studies</t>
  </si>
  <si>
    <t>Chen, ZY (corresponding author), F203 Forward Bldg,Taipa Campus,Ave Padre Tomas Per, Taipa, Macao, Peoples R China.</t>
  </si>
  <si>
    <t>vickychen@iftm.edu.mo</t>
  </si>
  <si>
    <t>CHEN, ZHAOYU/0000-0001-8023-0516</t>
  </si>
  <si>
    <t>The authors would like to thank Macao Institute for Tourism Studies for the grants of editing service.; Macao Institute for Tourism Studies</t>
  </si>
  <si>
    <t>The authors would like to thank Macao Institute for Tourism Studies for the grants of editing service.</t>
  </si>
  <si>
    <t>0250-8281</t>
  </si>
  <si>
    <t>2320-0308</t>
  </si>
  <si>
    <t>TOUR RECREAT RES</t>
  </si>
  <si>
    <t>Tour. Recreat. Res.</t>
  </si>
  <si>
    <t>2023 SEP 19</t>
  </si>
  <si>
    <t>10.1080/02508281.2023.2255939</t>
  </si>
  <si>
    <t>R7EJ2</t>
  </si>
  <si>
    <t>WOS:001065944600001</t>
  </si>
  <si>
    <t>Mumford, D; Shires, J</t>
  </si>
  <si>
    <t>Mumford, Densua; Shires, James</t>
  </si>
  <si>
    <t>Toward a Decolonial Cybersecurity: Interrogating the Racial-Epistemic Hierarchies That Constitute Cybersecurity Expertise</t>
  </si>
  <si>
    <t>SECURITY STUDIES</t>
  </si>
  <si>
    <t>CYBER-SECURITY; MIDDLE-EAST; COLONIALITY; EUROCENTRISM; MODERNITY; POLITICS; THINKING; DEFENSE; FACES</t>
  </si>
  <si>
    <t>Beginning with a startling pattern of racialized practices in cybersecurity expert communities in the Gulf States, and drawing on the decolonial insights of the modernity/coloniality school, this article argues that race operates as a marker of who is a legitimate knower of dominant Euro-American knowledges of cybersecurity and who is not, and therefore whose understandings, experiences, and practices of cybersecurity are privileged. In demonstrating that decolonial thought can be fruitfully applied to questions of cybersecurity, this article makes three contributions to security studies. The first is empirical, drawing on original interview data to identify racial hierarchies of rationality and authority in cybersecurity expert communities. The second contribution is theoretical, demonstrating how a decolonial perspective is especially well equipped to understand racialized practices in cybersecurity knowledge production. The third contribution is programmatic, outlining a decolonial research agenda for cybersecurity-or, as we put it in the title, a path toward a decolonial cybersecurity.</t>
  </si>
  <si>
    <t>[Mumford, Densua] Leiden Univ, Fac Governance &amp; Global Affairs, Leiden, Netherlands; [Shires, James] Chatham House, Royal Inst Int Affairs, London, England</t>
  </si>
  <si>
    <t>Leiden University; Leiden University - Excl LUMC</t>
  </si>
  <si>
    <t>Mumford, D (corresponding author), Leiden Univ, Fac Governance &amp; Global Affairs, Leiden, Netherlands.</t>
  </si>
  <si>
    <t>The authors extend their sincere thanks and gratitude to the editors of the special issue on race and security for their support and guidance, as well as the conveners, discussants, and participants at the online workshops held to discuss this special issu</t>
  </si>
  <si>
    <t>The authors extend their sincere thanks and gratitude to the editors of the special issue on race and security for their support and guidance, as well as the conveners, discussants, and participants at the online workshops held to discuss this special issue in January and February 2022. The authors would also like to thank the organizers and participants at two workshops where previous versions of this article have been presented: the Center Colloquium of the Philipps-University Marburg Center for Conflict Studies in June 2022; and a panel on The International Dimensions of Cybersecurity at the British International Studies Association conference in Bath in June 2018.</t>
  </si>
  <si>
    <t>0963-6412</t>
  </si>
  <si>
    <t>1556-1852</t>
  </si>
  <si>
    <t>SECUR STUD</t>
  </si>
  <si>
    <t>Secur. Stud.</t>
  </si>
  <si>
    <t>10.1080/09636412.2023.2230879</t>
  </si>
  <si>
    <t>S6DZ9</t>
  </si>
  <si>
    <t>WOS:001072062100001</t>
  </si>
  <si>
    <t>Sangber-Dery, GM; Tham-Agyekum, EK; Ankuyi, F; Bakang, JEA; Lartey, NNL; Okorley, EL; Jones, EO; Boansi, D</t>
  </si>
  <si>
    <t>Sangber-Dery, Gifty-Maria; Tham-Agyekum, Enoch Kwame; Ankuyi, Fred; Andivi Bakang, John-Eudes; Lartey Lartey, Nathaniel Nii; Okorley, Ernest Laryea; Jones, Ebenezer Osei; Boansi, David</t>
  </si>
  <si>
    <t>Farm operation injuries among cocoa famers in Ghana: Investigating the causes, choice of treatment and compliance to safety standards</t>
  </si>
  <si>
    <t>AFRICAN JOURNAL OF SCIENCE TECHNOLOGY INNOVATION &amp; DEVELOPMENT</t>
  </si>
  <si>
    <t>cocoa farmers; compliance; farm operations; injuries; safety standards; treatment</t>
  </si>
  <si>
    <t>OCCUPATIONAL-HEALTH; DETERMINANTS; RISK</t>
  </si>
  <si>
    <t>This study investigated the socioeconomic factors that predispose cocoa farmers to farm operation injuries, their choice of treatment and compliance with recommended safety standards. It used the multi-stage sampling technique to collect data from 400 cocoa farmers. Descriptive statistics, the ordered logistic and the multinomial logistic regression model were the method of analysis. The study found that injuries occur at all stages of farm operations, and sex, age, education level, alternative livelihood, household size, and farm size are associated with increased risk of injury. The majority of cocoa farmers prefer self-medication, with this practice being more common among young, less-educated male farmers with more farming experience and large farm sizes. It was found that compliance with recommended safety standards was influenced by sex, age, marital status, education level, farming experience, access to credit, and membership of a cooperative association. There is a need to raise awareness and provide education to cocoa farmers about the consequences of using herbal remedies and self-medication, and to emphasize the importance of seeking professional medical assistance. The study fills the literature gap by highlighting the socioeconomic factors that predispose farmers to injuries, the factors behind their choice of treatment methods and compliance with safety standards.</t>
  </si>
  <si>
    <t>[Sangber-Dery, Gifty-Maria; Tham-Agyekum, Enoch Kwame; Ankuyi, Fred; Andivi Bakang, John-Eudes; Boansi, David] KNUST Kumasi, Dept Agr Econ Agribusiness &amp; Extens, Kumasi, Ghana; [Lartey Lartey, Nathaniel Nii] Univ Michigan, Dept Microbiol &amp; Immunol, Ann Arbor, MI USA; [Lartey Lartey, Nathaniel Nii] Baldwin Univ Coll, Dept Hlth &amp; Allied Sci, Accra, Ghana; [Okorley, Ernest Laryea] Univ Cape Coast, Dept Agr Econ &amp; Extens, Cape Coast, Ghana; [Jones, Ebenezer Osei] Akenten Appiah Menka Univ Skills Training &amp; Entrep, Dept Agr Econ &amp; Extens Educ, Mampong, Ghana</t>
  </si>
  <si>
    <t>University of Michigan System; University of Michigan; University of Cape Coast</t>
  </si>
  <si>
    <t>Ankuyi, F (corresponding author), KNUST Kumasi, Dept Agr Econ Agribusiness &amp; Extens, Kumasi, Ghana.</t>
  </si>
  <si>
    <t>fredankuyi@gmail.com</t>
  </si>
  <si>
    <t>This research is part of a thesis submitted to the Department of Agricultural Economics, Agribusiness and Extension, Kwame Nkrumah University of Science and Technology, Kumasi, Ghana in 2023 by Gifty-Maria Sangber-Dery for the award of Master of Science in; Kwame Nkrumah University of Science and Technology, Kumasi</t>
  </si>
  <si>
    <t>This research is part of a thesis submitted to the Department of Agricultural Economics, Agribusiness and Extension, Kwame Nkrumah University of Science and Technology, Kumasi, Ghana in 2023 by Gifty-Maria Sangber-Dery for the award of Master of Science in Agricultural Extension and Development Communication. The authors of this paper are thankful to her and are also grateful to the anonymous reviewers of AJSTID whose comments were important in reshaping the paper.</t>
  </si>
  <si>
    <t>2042-1338</t>
  </si>
  <si>
    <t>2042-1346</t>
  </si>
  <si>
    <t>AFR J SCI TECHNOL IN</t>
  </si>
  <si>
    <t>Afr. J. Sci. Technol. Innov. Dev.</t>
  </si>
  <si>
    <t>10.1080/20421338.2023.2247754</t>
  </si>
  <si>
    <t>S1SH2</t>
  </si>
  <si>
    <t>WOS:001069034400001</t>
  </si>
  <si>
    <t>Sears, D</t>
  </si>
  <si>
    <t>Sears, Darren</t>
  </si>
  <si>
    <t>Fracturing &amp; amp; fluidity, isolation &amp; amp; (dis)integration: mapping ecological islands &amp; amp; edges in painting &amp; amp; music</t>
  </si>
  <si>
    <t>INTERNATIONAL JOURNAL OF CARTOGRAPHY</t>
  </si>
  <si>
    <t>Art in cartography; musical mapping; narrative cartography; environmental imagination; island representation</t>
  </si>
  <si>
    <t>LANDSCAPE</t>
  </si>
  <si>
    <t>The author's watercolor maps capturing the inherently spatial, heterogeneous experiences of ecological islands and edges, and musical map evoking a multifaceted journey through an 'archipelago' of island ecosystems, aim to convey the increasing fragility and 'preciousness' of these slivers of the natural world. But simultaneously, the maps unintentionally begin to muddle this simplistic conception of ecological isolation and stability. The paintings' fractured compositions and external frames appear to freeze and distance islands in space and time, but as the fragments multiply they also immerse the viewer in the geography and suggest ecological dynamism. The musical map has a similarly multifaceted structure, but it is mainly qualities of fluidity and cohesion, along with sound's fundamentally non-descriptive, temporal nature, that objectify the island in some ways and in others produce an immersive, energizing effect. In future cartographic work, the author expects to more consciously engage rather than to resolve this tension between isolation and integration. But as a viewer/listener impression that is ultimately itself the 'object' of the maps, the islands' imagined state of timelessness and preciousness is in fact a manifestation of their inseparability from humanity and the wider world - and therefore an image with reality and value of its own. Les cartes a l'aquarelle de l'auteur, qui saisissent les experiences spatiales et heterogenes des iles et lisieres ecologiques, ainsi que la carte musicale 'The Last Island' qui evoque un voyage aux multiples facettes au travers un 'archipel' d'ecosystemes insulaires, ont pour objectif de transmettre la fragilite et la 'preciosite' de ces eclats du monde naturel. Mais en meme temps, les cartes commencent involontairement a brouiller cette conception simpliste d'un isolement et d'une stabilite ecologiques. Les compositions fracturees et les cadres exterieurs de ces peintures semblent figer et eloigner les iles dans l'espace et le temps., mais a mesure que les fragments se multiplient, ils immergent egalement l'observateur dans la geographie et suggerent un dynamisme ecologique. La carte musicale a une structure multifacette similaire, mais ce sont surtout les qualites de fluidite et de cohesion, associees a la nature fondamentalement non descriptive et temporelle du son, qui objectivent l'ile en quelque sorte, et produisent un effet immersif energisant. L'auteur s'attend a un engagement plus conscient plutot que de resoudre la tension entre isolement et integration. Mais comme l'impression de l'observateur/auditeur qui est en fin de compte elle-meme &amp; DLANGBRAC; l'objet &amp; drangbrac; des cartes, l'etat imaginaire d'intemporalite et de preciosite des iles est en realite une manifestation de leur inseparabilite de l'humanite et d'un monde en general - et donc une image qui a une realite et une valeur qui lui est propre.</t>
  </si>
  <si>
    <t>[Sears, Darren] Hang Art Gallery, San Francisco, CA 94102 USA</t>
  </si>
  <si>
    <t>Sears, D (corresponding author), Hang Art Gallery, San Francisco, CA 94102 USA.</t>
  </si>
  <si>
    <t>darren@darrensears.com</t>
  </si>
  <si>
    <t>I would like to thank Carolina Aragon, Aaron Brown, Andreana Rosnik, and Ling-Yun Tang for reviewing this manuscript, and Richard Register for picking up on the element of ecological dynamism in the painted maps that I had originally failed to perceive.</t>
  </si>
  <si>
    <t>2372-9333</t>
  </si>
  <si>
    <t>2372-9341</t>
  </si>
  <si>
    <t>INT J CARTOGRAPHY</t>
  </si>
  <si>
    <t>Int. J. Cartogr.</t>
  </si>
  <si>
    <t>10.1080/23729333.2023.2225951</t>
  </si>
  <si>
    <t>Computer Science, Information Systems; Geography; Geography, Physical; Remote Sensing</t>
  </si>
  <si>
    <t>Computer Science; Geography; Physical Geography; Remote Sensing</t>
  </si>
  <si>
    <t>S0JH4</t>
  </si>
  <si>
    <t>WOS:001068114000001</t>
  </si>
  <si>
    <t>Wada, T; Nagashima, R; Kizu, K; Takayama, T; Miyamoto, S; Sako, H</t>
  </si>
  <si>
    <t>Wada, Takeshi; Nagashima, Ryotaro; Kizu, Kenya; Takayama, Tetsushi; Miyamoto, Shinji; Sako, Hidenori</t>
  </si>
  <si>
    <t>Totally endoscopic pulmonary valve replacement</t>
  </si>
  <si>
    <t>MINIMALLY INVASIVE THERAPY &amp; ALLIED TECHNOLOGIES</t>
  </si>
  <si>
    <t>Totally endoscopic pulmonary valve replacement; minimally invasive cardiac surgery; pulmonary regurgitation; redo cardiac surgery</t>
  </si>
  <si>
    <t>A 68-year-old man with a history of valve-sparing aortic root replacement and endoscopic aortic valve replacement was admitted to our hospital with dyspnea. Transthoracic echocardiography revealed severe pulmonary valve regurgitation. The patient had undergone cardiac surgery twice, through median sternotomy and right thoracotomy; therefore, we planned endoscopic pulmonary valve replacement via the left thoracic approach. The patient was placed in a modified right lateral decubitus position and underwent mild hypothermic cardiopulmonary bypass. An on-pump beating-heart technique was used during surgery. The 3D endoscopic system and trocars for surgical instruments were inserted through the left 3rd and 4th intercostal spaces. After incision of the pulmonary artery, the pulmonary cusps were resected. A 27-mm St Jude Medical Epic heart valve was implanted in the intra-annular position. Subsequently, the left atrial appendage was resected. The patient was discharged without complications. To our knowledge, this is the first case of totally endoscopic pulmonary valve replacement.</t>
  </si>
  <si>
    <t>[Wada, Takeshi; Nagashima, Ryotaro; Kizu, Kenya; Takayama, Tetsushi; Miyamoto, Shinji; Sako, Hidenori] Oita Univ Hosp, Dept Cardiovasc Surg, Oita, Japan; [Wada, Takeshi] Oita Univ Hosp, Dept Cardiovasc Surg, 3-7-11 Nishitsurusaki, Oita, Oita 8700192, Japan</t>
  </si>
  <si>
    <t>Oita University; Oita University</t>
  </si>
  <si>
    <t>Wada, T (corresponding author), Oita Univ Hosp, Dept Cardiovasc Surg, 3-7-11 Nishitsurusaki, Oita, Oita 8700192, Japan.</t>
  </si>
  <si>
    <t>wa.22.ta@gmail.com</t>
  </si>
  <si>
    <t>Wada, Takeshi/0000-0002-2384-4164</t>
  </si>
  <si>
    <t>1364-5706</t>
  </si>
  <si>
    <t>1365-2931</t>
  </si>
  <si>
    <t>MINIM INVASIV THER</t>
  </si>
  <si>
    <t>Minim. Invasive Ther. Allied Technol.</t>
  </si>
  <si>
    <t>10.1080/13645706.2023.2250422</t>
  </si>
  <si>
    <t>S0ZI1</t>
  </si>
  <si>
    <t>WOS:001068533500001</t>
  </si>
  <si>
    <t>Chen, KV; Bruron, MCI; Mondaca, S; Pizarro, G; Liberman, P; Berkenstock, MK</t>
  </si>
  <si>
    <t>Chen, Kevin; Bruron, Maria Carolina Ibanez; Mondaca, Sebastian; Pizarro, Gonzalo; Liberman, Paulina; Berkenstock, Meghan K.</t>
  </si>
  <si>
    <t>Quantitative Ocular Surface Changes in Patients Undergoing Immune Checkpoint Inhibitor Therapy</t>
  </si>
  <si>
    <t>OCULAR IMMUNOLOGY AND INFLAMMATION</t>
  </si>
  <si>
    <t>Dry eye disease; immune checkpoint inhibitor; OSDI; pembrolizumab; Schirmer I</t>
  </si>
  <si>
    <t>DRY EYE</t>
  </si>
  <si>
    <t>PurposeTo describe the clinical course and evaluate treatment of ocular surface changes in patients receiving immune checkpoint inhibitor (ICI) therapy.MethodsMultiple markers of ocular surface dryness were evaluated in 16 patients on ICI therapy. The Wilcoxon rank-sum test was used to determine the significant change in the initial and final ocular surface indices.ResultsFifty percent of the eyes demonstrated worsening Schirmer I scores; 29% showed an increase in lissamine green staining. During follow-up, 43% of patients experienced a decline in OSDI scores. Treatments included preservative-free artificial tears (88%), cyclosporine (25%), topical corticosteroids (31%), warm compresses (25%); punctal plugs (13%). Median follow-up time was 3.4 months (range:0-79 ); median ICI treatment duration was 7 months (range:1-40). Four patients died during the observation period.ConclusionA significant proportion of patients experience changes in ocular surface markers while treated with ICIs. Medical intervention can lead to stabilization of ocular surface disease.</t>
  </si>
  <si>
    <t>[Chen, Kevin] Drexel Univ, Coll Med, Philadelphia, PA USA; [Bruron, Maria Carolina Ibanez; Liberman, Paulina] Pontificia Univ Catolica Chile, Escuela Med, Dept Oftalmol, Santiago, Chile; [Mondaca, Sebastian; Pizarro, Gonzalo] Pontificia Univ Catolica Chile, Escuela Med, Dept Oncol, Santiago, Chile; [Berkenstock, Meghan K.] Johns Hopkins Univ, Wilmer Eye Inst, Sch Med, Dept Ophthalmol, Baltimore, MD USA; [Berkenstock, Meghan K.] Johns Hopkins Univ, Wilmer Eye Inst, Sch Med, Dept Ophthalmol, 600 N Wolfe St, Baltimore, MD 21287 USA</t>
  </si>
  <si>
    <t>Drexel University; Pontificia Universidad Catolica de Chile; Pontificia Universidad Catolica de Chile; Johns Hopkins University; Johns Hopkins Medicine; Johns Hopkins University; Johns Hopkins Medicine</t>
  </si>
  <si>
    <t>Berkenstock, MK (corresponding author), Johns Hopkins Univ, Wilmer Eye Inst, Sch Med, Dept Ophthalmol, 600 N Wolfe St, Baltimore, MD 21287 USA.</t>
  </si>
  <si>
    <t>mberken2@jhmi.edu</t>
  </si>
  <si>
    <t>Liberman, Paulina/0000-0002-1053-8651</t>
  </si>
  <si>
    <t>0927-3948</t>
  </si>
  <si>
    <t>1744-5078</t>
  </si>
  <si>
    <t>OCUL IMMUNOL INFLAMM</t>
  </si>
  <si>
    <t>Ocul. Immunol. Inflamm.</t>
  </si>
  <si>
    <t>2023 SEP 18</t>
  </si>
  <si>
    <t>10.1080/09273948.2023.2252892</t>
  </si>
  <si>
    <t>Ophthalmology</t>
  </si>
  <si>
    <t>S0TJ8</t>
  </si>
  <si>
    <t>WOS:001068376900001</t>
  </si>
  <si>
    <t>Imai, H; Kim, JM</t>
  </si>
  <si>
    <t>Imai, Hiroyuki; Kim, Jong-Min</t>
  </si>
  <si>
    <t>Foreign investors, rebalancing trades, and increases in US-Japan stock market correlations</t>
  </si>
  <si>
    <t>APPLIED ECONOMICS</t>
  </si>
  <si>
    <t>Stock market correlations; dynamic conditional correlations; Gaussian copula models; international diversification; portfolio rebalancing; F30; G15</t>
  </si>
  <si>
    <t>DYNAMIC CONDITIONAL CORRELATION; INTERNATIONAL EQUITY MARKETS; CONTAGION; INTERDEPENDENCE; CRISIS; RISK</t>
  </si>
  <si>
    <t>Foreign investors' transaction volume in the Tokyo Stock Exchange has grown steadily in the past three decades, and Japanese stocks have become a familiar instrument for international diversification. Rebalancing trades in a local national market by foreign institutional investors holding multi-country asset portfolios, often heavily represented by U.S. stocks, amplify the national market's stock index co-movements with the U.S. This paper examines the extent to which greater participation of foreign investors is associated with increases in the unconditional correlation of daily returns between the U.S. (S &amp; P 500) and Japan (TOPIX). A Gaussian copula marginal regression model is applied to the monthly series of unconditional correlations. We find that the growth in foreign investors' transaction share of the Tokyo market's turnover approximately accounts for the rise in U.S.-Japan correlations for 1990-2019. Foreign investors' trades improve the informational efficiency of local national markets. Increased correlations lead to smaller potential gains from international diversification, however.</t>
  </si>
  <si>
    <t>[Imai, Hiroyuki] Univ Minnesota, Carlson Sch Management, Dept Finance, 321-19th Ave South, Minneapolis, MN 55455 USA; [Kim, Jong-Min] Univ Minnesota, Div Sci &amp; Math, Morris, MN USA</t>
  </si>
  <si>
    <t>University of Minnesota System; University of Minnesota Twin Cities; University of Minnesota System; University of Minnesota Morris</t>
  </si>
  <si>
    <t>Imai, H (corresponding author), Univ Minnesota, Carlson Sch Management, Dept Finance, 321-19th Ave South, Minneapolis, MN 55455 USA.</t>
  </si>
  <si>
    <t>himai@umn.edu</t>
  </si>
  <si>
    <t>We are grateful to Raman Kumar and participants of the Fifth Annual Conference of the Japan Economy Network for helpful comments and suggestions.</t>
  </si>
  <si>
    <t>0003-6846</t>
  </si>
  <si>
    <t>1466-4283</t>
  </si>
  <si>
    <t>APPL ECON</t>
  </si>
  <si>
    <t>Appl. Econ.</t>
  </si>
  <si>
    <t>10.1080/00036846.2023.2257929</t>
  </si>
  <si>
    <t>R8BB8</t>
  </si>
  <si>
    <t>WOS:001066542800001</t>
  </si>
  <si>
    <t>Macdougall, KB; McClean, ZJ; MacIntosh, BR; Fletcher, JR; Aboodarda, SJ</t>
  </si>
  <si>
    <t>Macdougall, Keenan B.; McClean, Zachary J.; MacIntosh, Brian R.; Fletcher, Jared R.; Aboodarda, Saied J.</t>
  </si>
  <si>
    <t>Validity of the Entralpi force plate in the assessment of finger flexor performance metrics in rock climbers</t>
  </si>
  <si>
    <t>SPORTS BIOMECHANICS</t>
  </si>
  <si>
    <t>Force plates; validation; Entralpi force plate; intraclass correlation coefficient; Bland-Altman analysis</t>
  </si>
  <si>
    <t>RELIABILITY; PLATFORM; JUMP</t>
  </si>
  <si>
    <t>This study assessed the validity of the Entralpi force plate in the assessment of finger flexor performance in rock climbers. In addition to a static force evaluation, peak force, peak impulse, and total impulse were measured during 30 all-out performance trials by 15 participants, in which force during the trials was recorded simultaneously by the Entralpi and a Pasco force plate. Agreement between devices was assessed by a variety of statistical analyses, including intraclass correlation coefficient (ICC), coefficient of variation (CV), and Bland-Altman analyses. The static force evaluation showed a mean relative error of 0.41% and excellent day-to-day reliability (ICC = 1; CV = 0.03%). Peak force, peak impulse, and total impulse from the performance trials demonstrated strong agreement (ICC &amp; GE; 0.991, CV &amp; LE; 1.9%, Bland-Altman mean bias &amp; LE; 0.5%). These results illustrate that the Entralpi force plate provides accurate and reliable data for rock climbing related tasks at an affordable cost.</t>
  </si>
  <si>
    <t>[Macdougall, Keenan B.; McClean, Zachary J.; MacIntosh, Brian R.; Aboodarda, Saied J.] Univ Calgary, Fac Kinesiol, Calgary, AB, Canada; [Fletcher, Jared R.] Mt Royal Univ, Dept Hlth &amp; Phys Educ, Calgary, AB, Canada</t>
  </si>
  <si>
    <t>University of Calgary; Mount Royal University</t>
  </si>
  <si>
    <t>Aboodarda, SJ (corresponding author), Univ Calgary, Fac Kinesiol, Calgary, AB, Canada.</t>
  </si>
  <si>
    <t>saiedjalal.aboodarda@ucalgary.ca</t>
  </si>
  <si>
    <t>We would like to thank the participants of this study.</t>
  </si>
  <si>
    <t>1476-3141</t>
  </si>
  <si>
    <t>1752-6116</t>
  </si>
  <si>
    <t>SPORT BIOMECH</t>
  </si>
  <si>
    <t>Sport. Biomech.</t>
  </si>
  <si>
    <t>10.1080/14763141.2023.2259356</t>
  </si>
  <si>
    <t>Engineering, Biomedical; Sport Sciences</t>
  </si>
  <si>
    <t>Engineering; Sport Sciences</t>
  </si>
  <si>
    <t>R9HM6</t>
  </si>
  <si>
    <t>WOS:001067390100001</t>
  </si>
  <si>
    <t>Paswan, AK; Rajamma, RK; Sun, Q; Suryandari, RT</t>
  </si>
  <si>
    <t>Paswan, Audhesh K.; Rajamma, Rajasree K.; Sun, Qin; Suryandari, Retno Tanding</t>
  </si>
  <si>
    <t>Motivational intricacies behind volunteerism</t>
  </si>
  <si>
    <t>JOURNAL OF MARKETING THEORY AND PRACTICE</t>
  </si>
  <si>
    <t>TRIPLE BOTTOM-LINE; SOCIAL MEDIA; ALTRUISM; RESPONSIBILITY; BEHAVIOR; MODEL; OBLIGATION; DISCLOSURE; MANAGEMENT; DECISIONS</t>
  </si>
  <si>
    <t>The purpose of this study was to investigate the motivations behind consumer intention to volunteer. Intrinsic motivations, attribution of blame, and collective responsibility were examined as antecedents to volunteering intention. In addition, moderating role of attribution of blame and collective responsibility were also explored. Results show that altruistic motvation, social recognition motivation and collective responsibility were positively assocated with intention to volunteer. Interesting moderating relationships were also found in this study.</t>
  </si>
  <si>
    <t>[Paswan, Audhesh K.] Univ North Texas, G Brint Ryan Coll Business, Dept Mkt, Denton, TX USA; [Rajamma, Rajasree K.] Fairfield Univ, Charles F Dolan Sch Business, Dept Mkt, Firfield, CT USA; [Sun, Qin] Calif State Univ, David Nazarian Coll Business &amp; Econ, Dept Mkt, Northridge, CA USA; [Suryandari, Retno Tanding] Univ Sebelas Maret, Fac Econ &amp; Business, Dept Management, Surakarta, Cent Java, Indonesia; [Paswan, Audhesh K.] Univ North Texas, G Brint Ryan Coll Business, Dept Mkt, 1155 Union Circle 311396, Denton, TX 76203 USA</t>
  </si>
  <si>
    <t>University of North Texas System; University of North Texas Denton; Fairfield University; California State University System; California State University Northridge; Sebelas Maret University; University of North Texas System; University of North Texas Denton</t>
  </si>
  <si>
    <t>Paswan, AK (corresponding author), Univ North Texas, G Brint Ryan Coll Business, Dept Mkt, 1155 Union Circle 311396, Denton, TX 76203 USA.</t>
  </si>
  <si>
    <t>audhesh.paswan@unt.edu</t>
  </si>
  <si>
    <t>1069-6679</t>
  </si>
  <si>
    <t>1944-7175</t>
  </si>
  <si>
    <t>J MARKET THEORY PRAC</t>
  </si>
  <si>
    <t>J. Market. Theory Pract.</t>
  </si>
  <si>
    <t>10.1080/10696679.2023.2248545</t>
  </si>
  <si>
    <t>S0YH1</t>
  </si>
  <si>
    <t>WOS:001068506500001</t>
  </si>
  <si>
    <t>Zhang, XM; Hao, XY; Chen, XQ; Wang, FX; Guo, HB</t>
  </si>
  <si>
    <t>Zhang, Xuanming; Hao, Xiaoyan; Chen, Xiqiang; Wang, Fengxia; Guo, Hongbo</t>
  </si>
  <si>
    <t>The beneficial effects of the active components from Maclura tricuspidata fruits in the treatment of diabetes mellitus</t>
  </si>
  <si>
    <t>NATURAL PRODUCT RESEARCH</t>
  </si>
  <si>
    <t>Maclura tricuspidata; diabetes mellitus; LC-MS/ms; molecular mechanism; functional food</t>
  </si>
  <si>
    <t>METABOLITES</t>
  </si>
  <si>
    <t>Five active compounds, daidzein, luteolin, alpinumisoflavone (AI), 6,8-diprenylgenistein (DG), and warangalone (WA), were identified from the fruits of Maclura tricuspidata via LC-Q/TOF-MS. WA and DG were shown to reverse the high glucose (HG)-induced injury in human umbilical vein endothelial cells (HUVECs), indicating their potential protective effects in alleviating diabetic symptoms. Network pharmacology was conducted to reveal the potential mechanisms of action of the compounds, and Hsp90a (degree: 47), Src (degree: 49), Akt (degree: 69) and p53 (degree: 60) were shown as the core targets related to antidiabetic properties. Further experimental verification suggested that the compounds could enhance phosphorylation of Src and Akt, increase p53 expression act as Hsp90 inhibitors, and protect against HG induced endothelial dysfunction. Our findings will provide a comprehensive understanding of the active substances of M. tricuspidata, which will be helpful for their utilisation. [GRAPHICS]</t>
  </si>
  <si>
    <t>[Zhang, Xuanming; Chen, Xiqiang; Wang, Fengxia] Qilu Univ Technol, Biol Inst, Shandong Acad Sci, Engn Res Ctr Zebrafish Models Human Dis &amp; Drug Scr, Jinan, Peoples R China; [Hao, Xiaoyan] Shandong Lancheng Anal &amp; Testing Co Ltd, Jinan, Peoples R China; [Guo, Hongbo] Northwest A&amp;F Univ, Coll Chem &amp; Pharm, State &amp; Local Joint Res Ctr Tradit Chinese Med Fin, State Key Lab Stress Biol Arid Areas, Yangling, Peoples R China</t>
  </si>
  <si>
    <t>Qilu University of Technology; Northwest A&amp;F University - China</t>
  </si>
  <si>
    <t>Zhang, XM (corresponding author), Qilu Univ Technol, Biol Inst, Shandong Acad Sci, Engn Res Ctr Zebrafish Models Human Dis &amp; Drug Scr, Jinan, Peoples R China.;Guo, HB (corresponding author), Northwest A&amp;F Univ, Coll Chem &amp; Pharm, State &amp; Local Joint Res Ctr Tradit Chinese Med Fin, State Key Lab Stress Biol Arid Areas, Yangling, Peoples R China.</t>
  </si>
  <si>
    <t>zhangmx@sdas.org; hbguo@nwsuaf.edu.cn</t>
  </si>
  <si>
    <t>Taishan Scholar Project from Shandong Province [ts20190950]; Key Innovation Project of Qilu University of Technology (Shandong Academy of Sciences) [2022JBZ01-06]</t>
  </si>
  <si>
    <t>Taishan Scholar Project from Shandong Province; Key Innovation Project of Qilu University of Technology (Shandong Academy of Sciences)</t>
  </si>
  <si>
    <t>The study was financially supported by the Taishan Scholar Project from Shandong Province to H.L. [grant number: ts20190950] and the Key Innovation Project of Qilu University of Technology (Shandong Academy of Sciences) [grant number: 2022JBZ01-06].</t>
  </si>
  <si>
    <t>1478-6419</t>
  </si>
  <si>
    <t>1478-6427</t>
  </si>
  <si>
    <t>NAT PROD RES</t>
  </si>
  <si>
    <t>Nat. Prod. Res.</t>
  </si>
  <si>
    <t>10.1080/14786419.2023.2261067</t>
  </si>
  <si>
    <t>Chemistry, Applied; Chemistry, Medicinal</t>
  </si>
  <si>
    <t>Chemistry; Pharmacology &amp; Pharmacy</t>
  </si>
  <si>
    <t>S5NR1</t>
  </si>
  <si>
    <t>WOS:001071637100001</t>
  </si>
  <si>
    <t>Jiang, CH; Gao, X; Wang, SM; An, QF; Zhu, MZ</t>
  </si>
  <si>
    <t>Jiang, Chunhua; Gao, Xiang; Wang, Shuaimin; An, Qianfang; Zhu, Meizhen</t>
  </si>
  <si>
    <t>Comparison of pressure, temperature and specific humidity from COSMIC-2 with radiosonde and ERA5</t>
  </si>
  <si>
    <t>JOURNAL OF SPATIAL SCIENCE</t>
  </si>
  <si>
    <t>COSMIC-2; ERA5; radiosonde; 1D-Var</t>
  </si>
  <si>
    <t>RELATIVE-HUMIDITY; OCCULTATION; MODEL; TROPOSPHERE; SEASON</t>
  </si>
  <si>
    <t>Pressure, temperature and specific humidity profiles from COSMIC-2 are compared with those from ERA5 and radiosonde data from October 2019 to September 2020. The results demonstrate that COSMIC-2 pressure and specific humidity profiles show relatively poor accuracy and stability in the lower troposphere. The 1D-Var solution effectively improves the accuracy of temperature parameters in the troposphere. Three parameters show high accuracy over one climatological year, but show slight seasonal fluctuations, especially for the specific humidity profiles in summer. Furthermore, COSMIC-2 specific humidity data show low consistency with radiosonde and ERA5 in the equatorial region.</t>
  </si>
  <si>
    <t>[Jiang, Chunhua; Gao, Xiang; An, Qianfang; Zhu, Meizhen] Liaoning Tech Univ, Sch Geomat, Fuxing, Peoples R China; [Jiang, Chunhua] State Key Lab Geoinformat Engn, Xian, Peoples R China; [Jiang, Chunhua] Chinese Acad Sci, Innovat Acad Precis Measurement Sci &amp; Technol, State Key Lab Geodesy &amp; Earths Dynam, Wuhan, Peoples R China; [Wang, Shuaimin] Hebei Univ Engn, Coll Min &amp; Geomat, Handan, Peoples R China; [Wang, Shuaimin] Liaoning Tech Univ, Sch Geomat, Fuxing 123000, Peoples R China</t>
  </si>
  <si>
    <t>Liaoning Technical University; Chinese Academy of Sciences; Hebei University of Engineering; Liaoning Technical University</t>
  </si>
  <si>
    <t>Wang, SM (corresponding author), Liaoning Tech Univ, Sch Geomat, Fuxing 123000, Peoples R China.</t>
  </si>
  <si>
    <t>wsm1949@sina.com</t>
  </si>
  <si>
    <t>Liu, Yixuan/JFJ-2820-2023</t>
  </si>
  <si>
    <t>The authors would like to thank the UCAR (University Corporation for Atmospheric Research) for providing COSMIC-2 profiles data and University of Wyoming for providing radiosonde data. The ECMWF (European Centre for Medium-Range Meteorological Weather Fore</t>
  </si>
  <si>
    <t>The authors would like to thank the UCAR (University Corporation for Atmospheric Research) for providing COSMIC-2 profiles data and University of Wyoming for providing radiosonde data. The ECMWF (European Centre for Medium-Range Meteorological Weather Forecasts) is appreciated for providing ERA5 reanalysis products. The numerical calculatione in this study have been done on the supercomputing system in the Supercomputing Center, Shandong University, Weihai.</t>
  </si>
  <si>
    <t>1449-8596</t>
  </si>
  <si>
    <t>1836-5655</t>
  </si>
  <si>
    <t>J SPAT SCI</t>
  </si>
  <si>
    <t>J. Spat. Sci.</t>
  </si>
  <si>
    <t>2023 SEP 17</t>
  </si>
  <si>
    <t>10.1080/14498596.2023.2250749</t>
  </si>
  <si>
    <t>R9GY2</t>
  </si>
  <si>
    <t>WOS:001067375600001</t>
  </si>
  <si>
    <t>Kaittila, A; Isoniemi, H; Viitasalo, K; Moisio, M; Raijas, A; Toikka, E; Tuominen, J; Hakovirta, M</t>
  </si>
  <si>
    <t>Kaittila, Anniina; Isoniemi, Henna; Viitasalo, Katri; Moisio, Meri; Raijas, Anu; Toikka, Enna; Tuominen, Jarno; Hakovirta, Mia</t>
  </si>
  <si>
    <t>A Pilot Randomized Controlled Trial of Intervention for Social Work Clients with Children Facing Complex Financial Problems in Finland (FinSoc): A Study Protocol</t>
  </si>
  <si>
    <t>JOURNAL OF EVIDENCE-BASED SOCIAL WORK</t>
  </si>
  <si>
    <t>Financial capability; financial literacy; financial social work; families; mixed methods; psychosocial intervention; pilot randomized controlled trial</t>
  </si>
  <si>
    <t>SOCIOECONOMIC-STATUS; TREATMENT FIDELITY; FAMILY PROCESSES; ADOLESCENT; EDUCATION; LITERACY; BEHAVIOR; POVERTY; LIFE</t>
  </si>
  <si>
    <t>PurposeSocial work clients often face complex financial problems. We have developed a financial social work intervention, FinSoc, to increase financial literacy and economic self-efficacy and reduce financial anxiety among parents with financial problems in Finland. The aim of this pilot randomized controlled trial is to explore the feasibility, acceptability, and preliminary effectiveness of the intervention. This paper, a study protocol, describes the design and implementation of the trial. Study protocols are articles detailing a priori the research plan, rationale, proposed methods and plans for how a clinical trial will be conducted.MethodThis study is a pilot randomized controlled trial with a mixed methods approach applying both quantitative measures and qualitative interviews. Participating social work clients with children are randomly assigned to either the treatment or the waiting list control group at a ratio of 1:1. The treatment group receives the intervention and the control group receives services as usual. The quantitative data from social work clients are collected at three measurement points. Qualitative interviews are conducted post-intervention with both clients receiving, and professionals implementing the intervention. The feasibility is assessed through recruitment and retention rates and the interviews with social work professionals providing the intervention. Acceptability is assessed through feedback from participants on satisfaction with the intervention and usefulness of the specific intervention components. Potential effectiveness is measured by financial literacy, economic self-efficacy and financial anxiety.DiscussionThe intervention is hypothesized to increase financial literacy and economic self-efficacy and reduce financial anxiety among social work clients with children. The results of this pilot study will increase the evidence base of financial social work and offer new insights for developing interventions for clients experiencing financial difficulties.</t>
  </si>
  <si>
    <t>[Kaittila, Anniina; Isoniemi, Henna; Moisio, Meri; Hakovirta, Mia] Univ Turku, INVEST Flagship, Turku, Finland; [Viitasalo, Katri] Univ Helsinki, Fac Social Sci, Helsinki, Finland; [Toikka, Enna] Univ Turku, Dept Social Res, Turku, Finland; [Raijas, Anu] Bank Finland Museum, Bank Finland, Helsinki, Finland; [Tuominen, Jarno] Univ Turku, Dept Psychol &amp; Speech Language Pathol, Turku, Finland; [Kaittila, Anniina] Univ Turku, INVEST Flagship, Assistentinkatu 7, Turku 20500, Finland</t>
  </si>
  <si>
    <t>University of Turku; University of Helsinki; University of Turku; Bank of Finland; University of Turku; University of Turku</t>
  </si>
  <si>
    <t>Kaittila, A (corresponding author), Univ Turku, INVEST Flagship, Assistentinkatu 7, Turku 20500, Finland.</t>
  </si>
  <si>
    <t>anniina.kaittila@utu.fi</t>
  </si>
  <si>
    <t>Ministry of Social Affairs and Health (Finland)</t>
  </si>
  <si>
    <t>The work was supported by the Ministry of Social Affairs and Health (Finland).</t>
  </si>
  <si>
    <t>2640-8066</t>
  </si>
  <si>
    <t>2640-8074</t>
  </si>
  <si>
    <t>J EVID-BASED SOC WOR</t>
  </si>
  <si>
    <t>J. Evid.-Based Soc. Work</t>
  </si>
  <si>
    <t>10.1080/26408066.2023.2257174</t>
  </si>
  <si>
    <t>R8GZ0</t>
  </si>
  <si>
    <t>WOS:001066698700001</t>
  </si>
  <si>
    <t>Chen, XC; Wu, QY</t>
  </si>
  <si>
    <t>Chen, Xiaocong; Wu, Qunying</t>
  </si>
  <si>
    <t>Further research on complete integral convergence for moving average process of ND random variables under sub-linear expectations</t>
  </si>
  <si>
    <t>COMMUNICATIONS IN STATISTICS-THEORY AND METHODS</t>
  </si>
  <si>
    <t>Complete convergence; complete integral convergence; moving average process; negatively dependent random variables; sub-linear expectation</t>
  </si>
  <si>
    <t>DEPENDENT RANDOM-VARIABLES; COMPLETE MOMENT CONVERGENCE; CENTRAL-LIMIT-THEOREM; G-BROWNIAN MOTION; STOCHASTIC CALCULUS; INEQUALITIES</t>
  </si>
  <si>
    <t>In this article, we establish some results on complete convergence and complete integral convergence of moving average process {Xn= n-ary sumation i=-&amp; INFIN;&amp; INFIN;aiYi+n,n &amp; GE;1} based on negatively dependent random variables under sub-linear expectations. We generalize corresponding conclusions obtained by Zhang and Ding, and extend convergence theorems for general function from classical probability space to the sub-linear expectation space.</t>
  </si>
  <si>
    <t>[Chen, Xiaocong; Wu, Qunying] Guilin Univ Technol, Coll Sci, Guilin, Peoples R China</t>
  </si>
  <si>
    <t>Guilin University of Technology</t>
  </si>
  <si>
    <t>Wu, QY (corresponding author), Guilin Univ Technol, Coll Sci, Guilin, Peoples R China.</t>
  </si>
  <si>
    <t>wqy666@glut.edu.cn</t>
  </si>
  <si>
    <t>National Natural Science Foundation of China [12061028]; National Science Foundation of China [12061028]; Guangxi Colleges and Universities Key Laboratory of Applied Statistics</t>
  </si>
  <si>
    <t>National Natural Science Foundation of China(National Natural Science Foundation of China (NSFC)); National Science Foundation of China(National Natural Science Foundation of China (NSFC)); Guangxi Colleges and Universities Key Laboratory of Applied Statistics</t>
  </si>
  <si>
    <t>This paper was supported by the National Natural Science Foundation of China (12061028). Supported by the National Science Foundation of China (12061028); and Guangxi Colleges and Universities Key Laboratory of Applied Statistics.</t>
  </si>
  <si>
    <t>0361-0926</t>
  </si>
  <si>
    <t>1532-415X</t>
  </si>
  <si>
    <t>COMMUN STAT-THEOR M</t>
  </si>
  <si>
    <t>Commun. Stat.-Theory Methods</t>
  </si>
  <si>
    <t>2023 SEP 16</t>
  </si>
  <si>
    <t>10.1080/03610926.2023.2258428</t>
  </si>
  <si>
    <t>S0RD8</t>
  </si>
  <si>
    <t>WOS:001068318800001</t>
  </si>
  <si>
    <t>Foulis, E; Gillen, K</t>
  </si>
  <si>
    <t>Foulis, Elena; Gillen, Katherine</t>
  </si>
  <si>
    <t>Culturally Sustaining Pedagogy at Hispanic Serving Institutions: The Case for Centering Heritage Language Learners' Experiences in Spanish Programs</t>
  </si>
  <si>
    <t>JOURNAL OF LATINOS AND EDUCATION</t>
  </si>
  <si>
    <t>AWARENESS</t>
  </si>
  <si>
    <t>This article argues for the need to center Latine students' experiences and language practices in Spanish programs at Hispanic Serving Institutions. We describe the work and possibilities of designing programs informed by Latine Studies perspectives as well by culturally and linguistically sustaining approaches to teaching Heritage Language Learners. Doing so, we contend, demands that we prioritize local knowledge and U.S. Spanishes and that we resist the whiteness and coloniality that predominates in many university language programs. We share our experiences designing such a program at an HSI with a student population that is 80% Latine, including our efforts to redesign curricula, placement, and programming. We hope that our work may serve as a model for others interested in centering the historical, linguistic, and cultural practices of Latine students and their communities.</t>
  </si>
  <si>
    <t>[Foulis, Elena; Gillen, Katherine] Texas A&amp;M Univ, Dept Language Literatures &amp; Arts, San Antonio One Univ Way, San Antonio, TX 78224 USA</t>
  </si>
  <si>
    <t>Texas A&amp;M University System</t>
  </si>
  <si>
    <t>Foulis, E (corresponding author), Texas A&amp;M Univ, Dept Language Literatures &amp; Arts, San Antonio One Univ Way, San Antonio, TX 78224 USA.</t>
  </si>
  <si>
    <t>elena.foulis@tamusa.edu</t>
  </si>
  <si>
    <t>1534-8431</t>
  </si>
  <si>
    <t>1532-771X</t>
  </si>
  <si>
    <t>J LAT EDUC</t>
  </si>
  <si>
    <t>J. Lat. Educ.</t>
  </si>
  <si>
    <t>10.1080/15348431.2023.2256852</t>
  </si>
  <si>
    <t>S0EQ5</t>
  </si>
  <si>
    <t>WOS:001067993100001</t>
  </si>
  <si>
    <t>Hemingway, K; Butt, J; Spray, C; Olusoga, P; De Azevedo, LB</t>
  </si>
  <si>
    <t>Hemingway, Kirsty; Butt, Joanne; Spray, Christopher; Olusoga, Peter; Beretta De Azevedo, Liane</t>
  </si>
  <si>
    <t>Exploring students experiences of secondary school Physical Education in England</t>
  </si>
  <si>
    <t>PHYSICAL EDUCATION AND SPORT PEDAGOGY</t>
  </si>
  <si>
    <t>PE; engagement; wellbeing; choice; teacher-student relationship</t>
  </si>
  <si>
    <t>TEACHERS PERCEPTIONS; FUTURE; PARTICIPATION; STRATEGIES; QUALITY; SPORTS</t>
  </si>
  <si>
    <t>Background:There are many diverging views regarding the role and purpose of Physical Education (PE) in secondary schools within the UK. However, very few studies have explored PE processes through the eyes of young people. Adolescence represents a critical time period when physical activity (PA) behaviour patterns are often established. Student disengagement in PE is therefore a concern, as PE has the potential to play an important role in influencing adolescents to develop lifelong PA habits. Secondary school PE is compulsory in the UK until the age of 16, therefore PE teachers have a captive audience who they can influence positively or negatively. Understanding of students' experiences and perceptions of PE could help inform future PE provision.Purpose:The purpose of this study was to explore students' perceptions of PE throughout secondary school (age 11-16) in England, UK. This study aims to explore students' views concerning changes and continuities from Key Stage (KS3) (age 11-14) to KS4 (age 14-16). We are also interested in the meanings that students attach to their PE experiences, identifying the social structures and processes that shape these meanings.Methods:Using a social constructionist framework, semi-structured interviews were conducted at eight secondary schools across Yorkshire, England. A convenience sample of eligible schools was used to recruit the study participants. Two participants aged 15-16 (Year 11, KS4) were interviewed at each school (N = 16). Inductive and deductive thematic analysis informed by self-determination theory guided the analysis. Thematic analysis comprised three second-order themes which were generated by ten first-order themes drawing students' experiences of PE.Results:Perceptions of PE throughout KS3 (age 11-14) were perceived as unfavourable, owing to too much structure and social comparisons. However, perceptions of KS4 (age 14-16) PE lessons were positive, with students enjoying increased choice, less structure, and an opportunity to relieve the stress and pressure of school life. Students identified the role of the teacher to be significant in enhancing student experience throughout secondary school. However, students acknowledged that the student-teacher relationship changed across secondary school, suggesting a need for numerous pedagogical approaches to be adopted through secondary school PE. In addition, PE is recognised by some students as an opportunity to improve their wellbeing, advocating the need for PE teachers to consider employing more holistic outcomes within PE lessons.Conclusions:The findings of this study suggest that there is a noticeable difference between students' experiences of PE at KS3 (age 11-14) compared to KS4 (age 14-16), questioning if the KS3 curriculum is conducive to support student engagement in PE. The results also indicate that PE teachers could widen the learning of PE beyond the physical domain and incorporate a more holistic approach when planning and delivering PE lessons. The long-term implications of engaging more students in PE is that we may inspire more adolescents to remain physically active into adulthood, and to live healthier, more active lives.</t>
  </si>
  <si>
    <t>[Hemingway, Kirsty; Beretta De Azevedo, Liane] Univ Huddersfield, Div Sport Exercise &amp; Publ Hlth, Huddersfield, England; [Butt, Joanne; Spray, Christopher] Liverpool John Moores Univ, Sch Sport &amp; Exercise Sci, Liverpool, England; [Olusoga, Peter] Sheffield Hallam Univ, Dept Psychol Sociol &amp; Polit, Sheffield, England; [Olusoga, Peter] Inland Norway Univ Appl Sci, Hedmark, Norway</t>
  </si>
  <si>
    <t>University of Huddersfield; Liverpool John Moores University; Sheffield Hallam University; Inland Norway University of Applied Sciences</t>
  </si>
  <si>
    <t>Hemingway, K (corresponding author), Univ Huddersfield, Div Sport Exercise &amp; Publ Hlth, Huddersfield, England.</t>
  </si>
  <si>
    <t>k.j.hemingway@hud.ac.uk</t>
  </si>
  <si>
    <t>B. Azevedo, Liane/Q-4012-2016</t>
  </si>
  <si>
    <t>B. Azevedo, Liane/0000-0001-9966-9414; Hemingway, Kirsty/0000-0002-5733-0196</t>
  </si>
  <si>
    <t>I would like to acknowledge Dr Leighton Jones, Academy of Sport and Physical Activity, Sheffield Hallam University, for his help and guidance throughout the study</t>
  </si>
  <si>
    <t>1740-8989</t>
  </si>
  <si>
    <t>1742-5786</t>
  </si>
  <si>
    <t>PHYS EDUC SPORT PEDA</t>
  </si>
  <si>
    <t>Phys. Educ. Sport Pedag.</t>
  </si>
  <si>
    <t>10.1080/17408989.2023.2256771</t>
  </si>
  <si>
    <t>R9EO3</t>
  </si>
  <si>
    <t>WOS:001067313700001</t>
  </si>
  <si>
    <t>Quttainah, M; Singhania, S; Rana, S</t>
  </si>
  <si>
    <t>Quttainah, Majdi; Singhania, Shubham; Rana, Sudhir</t>
  </si>
  <si>
    <t>Gender diversity and financial performance: a quantified review based on bibliometric and cluster analysis</t>
  </si>
  <si>
    <t>INTERNATIONAL STUDIES OF MANAGEMENT &amp; ORGANIZATION</t>
  </si>
  <si>
    <t>Bibliometric analysis; cluster analysis; financial performance; gender diversity</t>
  </si>
  <si>
    <t>CORPORATE SOCIAL-RESPONSIBILITY; FIRM PERFORMANCE; BOARDS; WOMEN; EVOLUTION; DIRECTORS; IMPACT; ORGANIZATION; GOVERNANCE; CITATIONS</t>
  </si>
  <si>
    <t>The board of directors of a firm are the principal decision-makers of all activities conducted by the firm, and hence, their composition demands attention. Diversity on boards can bring about varied sets of knowledge, perspectives, and abilities and can help the firm in solving a multitude of problems. By employing Bibliometric Analysis, this study aims to critically examine the intellectual development and geographical evolution in the domain of gender diversity and financial performance. A total of 463 research articles, extracted from the Scopus Database, are analyzed through various techniques such as citation analysis, co-citation analysis, content analysis and keyword co-occurrence analysis through the software VOSviewer. The study led to the identification of growth trends, prominent countries, authors, seminal articles, journals, major themes of study as well as emerging themes for future research. The study shall help the scholars working in this domain to have a comprehensive understanding of the topic and explore the relevant research gaps in the future.</t>
  </si>
  <si>
    <t>[Quttainah, Majdi] Kuwait Univ, Coll Business Adm, Al Yarmouk, Kuwait; [Singhania, Shubham] Delhi Technol Univ, Univ Sch Management &amp; Entrepreneurship, Delhi, India; [Rana, Sudhir] Gulf Med Univ, Coll Healthcare Management &amp; Econ, Ajman, U Arab Emirates</t>
  </si>
  <si>
    <t>Kuwait University; Delhi Technological University</t>
  </si>
  <si>
    <t>Quttainah, M (corresponding author), Kuwait Univ, Coll Business Adm, Al Yarmouk, Kuwait.</t>
  </si>
  <si>
    <t>majdi.quttainah@ku.edu.kw</t>
  </si>
  <si>
    <t>0020-8825</t>
  </si>
  <si>
    <t>1558-0911</t>
  </si>
  <si>
    <t>INT STUD MANAG ORG</t>
  </si>
  <si>
    <t>Int. Stud. Manag. Org.</t>
  </si>
  <si>
    <t>10.1080/00208825.2023.2257537</t>
  </si>
  <si>
    <t>Management</t>
  </si>
  <si>
    <t>S0SP1</t>
  </si>
  <si>
    <t>WOS:001068356200001</t>
  </si>
  <si>
    <t>Barringer, A; Herbig, HC; Herden, D; Khalid, S; Seaton, C; Walker, L</t>
  </si>
  <si>
    <t>Barringer, Austin; Herbig, Hans-Christian; Herden, Daniel; Khalid, Saad; Seaton, Christopher; Walker, Lawton</t>
  </si>
  <si>
    <t>Multigraded Hilbert series of invariants, covariants, and symplectic quotients for some rank 1 Lie groups</t>
  </si>
  <si>
    <t>Circle invariants; circle representation; Hilbert series; multigrading; multigraded Hilbert series; O-2(R)-invariants; O-2(R)-representation; symplectic reduction</t>
  </si>
  <si>
    <t>POINCARE-SERIES; ALGEBRAS; REDUCTION</t>
  </si>
  <si>
    <t>We compute univariate and multigraded Hilbert series of invariants and covariants of representations of the circle and orthogonal group O-2(R). The multigradings considered include the maximal grading associated to the decomposition of the representation into irreducibles as well as the bigrading associated to a cotangent-lifted representation, or equivalently, the bigrading associated to the holomorphic and antiholomorphic parts of the real invariants and covariants. This bigrading induces a bigrading on the algebra of on-shell invariants of the symplectic quotient, and the corresponding Hilbert series are computed as well. We also compute the first few Laurent coefficients of the univariate Hilbert series, give sample calculations of the multigraded Laurent coefficients, and give an example to illustrate the extension of these techniques to the semidirect product of the circle by other finite groups. We describe an algorithm to compute each of the associated Hilbert series.</t>
  </si>
  <si>
    <t>[Barringer, Austin; Khalid, Saad; Walker, Lawton] Rhodes Coll, Memphis, TN USA; [Herbig, Hans-Christian] Univ Fed Rio De Janeiro, Dept Matemat Aplicada, Rio De Janeiro, Brazil; [Herden, Daniel] Baylor Univ, Dept Math, Waco, TX USA; [Seaton, Christopher] Rhodes Coll, Dept Math &amp; Comp Sci, Memphis, TN USA; [Seaton, Christopher] Rhodes Coll, Dept Math &amp; Comp Sci, 2000 N Pkwy, Memphis, TN 38112 USA; [Barringer, Austin] 1090 Vermont Ave NW,Suite 900, Washington, DC 20005 USA; [Khalid, Saad] Ohio State Univ, Dept Phys, 191 W Woodruff Ave, Columbus, OH 43210 USA; [Walker, Lawton] Georgia Inst Technol, North Ave NW, Atlanta, GA 30332 USA</t>
  </si>
  <si>
    <t>Universidade Federal do Rio de Janeiro; Baylor University; University System of Ohio; Ohio State University; University System of Georgia; Georgia Institute of Technology</t>
  </si>
  <si>
    <t>Seaton, C (corresponding author), Rhodes Coll, Dept Math &amp; Comp Sci, 2000 N Pkwy, Memphis, TN 38112 USA.</t>
  </si>
  <si>
    <t>seatonc@rhodes.edu</t>
  </si>
  <si>
    <t>Herbig, Hans-Christian/0000-0003-2676-3340</t>
  </si>
  <si>
    <t>Rhodes College Summer Research Fellowship program; CNPq; E.C. Ellett Professorship in Mathematics; Rhodes College sabbatical program</t>
  </si>
  <si>
    <t>Rhodes College Summer Research Fellowship program; CNPq(Conselho Nacional de Desenvolvimento Cientifico e Tecnologico (CNPQ)); E.C. Ellett Professorship in Mathematics; Rhodes College sabbatical program</t>
  </si>
  <si>
    <t>H.-C.H. and C.S. would like to thank Baylor University, D.H. and C.S. would like to thank the Instituto de Matematica Pura e Aplicada (IMPA), and H.-C.H. and D.H. would like to thank Rhodes College for hospitality during work contained here. This paper developed from A.B., S.K., and L.W.'s senior seminar projects in the Rhodes College Department of Mathematics and Computer Science, and the authors gratefully acknowledge the support of the department and college for these activities. A.B., S.K., and L.W. express appreciation to the Rhodes College Summer Research Fellowship program, H.-C.H. to CNPq through the Plataforma Integrada Carlos Chagas, and C.S. to the E.C. Ellett Professorship in Mathematics and the Rhodes College sabbatical program, for financial support.</t>
  </si>
  <si>
    <t>2023 SEP 15</t>
  </si>
  <si>
    <t>10.1080/00927872.2023.2255284</t>
  </si>
  <si>
    <t>S3VU0</t>
  </si>
  <si>
    <t>WOS:001070487900001</t>
  </si>
  <si>
    <t>Hoeber, L; Shaw, S; Rowe, K</t>
  </si>
  <si>
    <t>Hoeber, Larena; Shaw, Sally; Rowe, Katie</t>
  </si>
  <si>
    <t>Advancing women's cycling through digital activism: a feminist critical discourse analysis</t>
  </si>
  <si>
    <t>EUROPEAN SPORT MANAGEMENT QUARTERLY</t>
  </si>
  <si>
    <t>Twitter; feminist critical discourse analysis; digital activism; cycling; discursive practices</t>
  </si>
  <si>
    <t>SOCIAL MEDIA; HASHTAG ACTIVISM; SPORT MEDIA; TWITTER; POLITICS; GENDER; REPRESENTATIONS; SPORTSWOMEN; NARRATIVES; SENTIMENT</t>
  </si>
  <si>
    <t>Research question: Social media in sport management contexts is increasingly used to highlight social issues in sport and to advocate for change, such as expanding the opportunities for women to participate. The purpose of this study is to examine how and why people strategically used various Twitter conventions to advocate for women's cycling during the 2013 (men's) Tour de France. We draw on Feminist Critical Discourse Analysis to frame our exploration and analysis of the issue.Research methods: We analyzed the text of approximately 6000 tweets to examine the use of Twitter conventions, as discursive practices, in digital activism efforts to advance the women's cycling agenda.Findings and discussion: People used links, retweets, hashtags, direct mentions, and influencers' posts as individual discursive practices and for their collective potential to draw attention to, and advocate for, women's pro-cycling in the context of the 100th iteration of the men's Tour de France. We discuss why this was an important process in the context of women's cycling, and some of the impacts, ten years later, of this Twitter activity.Implications: Twitter conventions can be a useful digital activism tool for feminist agendas in sport. We are cautious of overstating this case as each cause will have different contexts, and the ability of trolls and other users to derail activism is ever present.</t>
  </si>
  <si>
    <t>[Hoeber, Larena] Univ Regina, Fac Kinesiol &amp; Hlth Studies, Regina, SK, Canada; [Shaw, Sally] Univ Otago, Sch Phys Educ Sport &amp; Exercise Sci, Dunedin, New Zealand; [Rowe, Katie] Deakin Univ, BL Deakin Business Sch, Melbourne, Australia; [Hoeber, Larena] Univ Regina, Fac Kinesiol &amp; Hlth Studies, 3737 Wascana Pkwy, Regina, SK S4S 0A2, Canada</t>
  </si>
  <si>
    <t>University of Regina; University of Otago; Deakin University; University of Regina</t>
  </si>
  <si>
    <t>Hoeber, L (corresponding author), Univ Regina, Fac Kinesiol &amp; Hlth Studies, 3737 Wascana Pkwy, Regina, SK S4S 0A2, Canada.</t>
  </si>
  <si>
    <t>larena.hoeber@uregina.ca</t>
  </si>
  <si>
    <t>1618-4742</t>
  </si>
  <si>
    <t>1746-031X</t>
  </si>
  <si>
    <t>EUR SPORT MANAG Q</t>
  </si>
  <si>
    <t>Eur. Sport Manag. Q.</t>
  </si>
  <si>
    <t>10.1080/16184742.2023.2257727</t>
  </si>
  <si>
    <t>S0FE5</t>
  </si>
  <si>
    <t>WOS:001068007100001</t>
  </si>
  <si>
    <t>Jacobs, S; Harrington, H</t>
  </si>
  <si>
    <t>Jacobs, Sandra; Harrington, Hannah</t>
  </si>
  <si>
    <t>The Purity and Sanctuary of the Body in Second Temple Judaism</t>
  </si>
  <si>
    <t>[Jacobs, Sandra] Kings &amp; Leo Baeck Coll, London, England</t>
  </si>
  <si>
    <t>Jacobs, S (corresponding author), Kings &amp; Leo Baeck Coll, London, England.</t>
  </si>
  <si>
    <t>sandra.jacobs@kcl.ac.uk</t>
  </si>
  <si>
    <t>10.1080/14725886.2023.2258348</t>
  </si>
  <si>
    <t>S3WK7</t>
  </si>
  <si>
    <t>WOS:001070504700001</t>
  </si>
  <si>
    <t>Ly, L; Kearney, M</t>
  </si>
  <si>
    <t>Ly, Le Quan; Kearney, Matthew</t>
  </si>
  <si>
    <t>Mobile learning in university science education: a systematic literature review</t>
  </si>
  <si>
    <t>IRISH EDUCATIONAL STUDIES</t>
  </si>
  <si>
    <t>Review; Early Access</t>
  </si>
  <si>
    <t>Mobile learning; university science education; systematic literature review; digital pedagogies</t>
  </si>
  <si>
    <t>SCHOOL EDUCATION; STUDENTS; TECHNOLOGY; SUPPORT; TRENDS; PEDAGOGIES; KNOWLEDGE; DEVICES</t>
  </si>
  <si>
    <t>This study adopts a robust systematic literature review (SLR) to investigate the use of mobile devices to support learning (mobile learning) in university science education. It analyses 24 high quality studies over the past decade to generate insights into contemporary mobile learning developments in relation to settings, applications and pedagogical approaches, as well as trends in research methodologies and outcomes. The results show that the use of mobile devices is providing university science learners with peer learning opportunities and supporting their networked interactions with the science community and resources. However, the study also uncovers more constrained use of mobile devices associated with traditional didactic approaches, often in formal settings. The study identifies key differences from other SLR findings on mobile learning in school science education, most notably with respect to adopted pedagogies. It suggests future research directions, including the need for more qualitative studies of mobile learning in university science education.</t>
  </si>
  <si>
    <t>[Ly, Le Quan; Kearney, Matthew] Univ Technol Sydney UTS, Fac Arts &amp; Social Sci, Sydney, Australia</t>
  </si>
  <si>
    <t>University of Technology Sydney</t>
  </si>
  <si>
    <t>Ly, L (corresponding author), Univ Technol Sydney UTS, Fac Arts &amp; Social Sci, Sydney, Australia.</t>
  </si>
  <si>
    <t>jenny.ly@uts.edu.au</t>
  </si>
  <si>
    <t>We would like to acknowledge Emeritus Professor Didar Zowghi's valuable contributions to the conceptualisation and development of this study.</t>
  </si>
  <si>
    <t>0332-3315</t>
  </si>
  <si>
    <t>1747-4965</t>
  </si>
  <si>
    <t>IRISH EDUC STUD</t>
  </si>
  <si>
    <t>Ir. Educ. Stud.</t>
  </si>
  <si>
    <t>10.1080/03323315.2023.2256689</t>
  </si>
  <si>
    <t>R6NQ5</t>
  </si>
  <si>
    <t>WOS:001065508000001</t>
  </si>
  <si>
    <t>Nishimura, H; Kaptchuk, RP; Mbabali, I; Mulamba, J; Nakyanjo, N; Anok, A; Wawer, MJ; Kennedy, CE; Nakigozi, G; Chang, LW; Amico, KR; Hutton, H</t>
  </si>
  <si>
    <t>Nishimura, Holly; Kaptchuk, Rose Pollard; Mbabali, Ismail; Mulamba, Jeremiah; Nakyanjo, Neema; Anok, Aggrey; Wawer, Maria J.; Kennedy, Caitlin E.; Nakigozi, Gertrude; Chang, Larry W.; Amico, K. Rivet; Hutton, Heidi</t>
  </si>
  <si>
    <t>Motivational interviewing experiences from a community health worker-led HIV prevention and care intervention in rural Uganda: a qualitative study</t>
  </si>
  <si>
    <t>AIDS CARE-PSYCHOLOGICAL AND SOCIO-MEDICAL ASPECTS OF AIDS/HIV</t>
  </si>
  <si>
    <t>HIV; motivational interviewing; community health workers; Uganda</t>
  </si>
  <si>
    <t>ENGAGEMENT; ADHERENCE</t>
  </si>
  <si>
    <t>Motivational Interviewing (MI) and Community Health Workers (CHWs) are increasingly utilized in global settings to improve HIV outcomes, yet research exploring implementation strategies using MI and CHWs is lacking. We examined the experiences of CHWs and their clients in a counseling intervention which used MI-informed counseling to increase engagement in HIV prevention and treatment. This study was nested within the mLAKE cluster-randomized trial in a high HIV prevalence fishing community in rural Rakai District, Uganda. We conducted in-depth interviews with purposively-sampled CHWs (n = 8) and clients (n = 51). Transcripts were analyzed thematically to characterize CHWs' implementation of the intervention. Main themes identified included use of specific MI strategies (including evocation, guidance towards positive behavior change, active listening, and open-ended questions), and MI spirit (including collaboration, power-sharing, trust, and non-judgmental relationship building). Through these specific MI mechanisms, CHWs supported client behavior change to facilitate engagement with HIV services. This study provides evidence from a low-resource setting that CHWs with no previous experience in MI can successfully implement MI-informed counseling that is well-received by clients. CHW-led MI-informed counseling appears to be a feasible and effective approach to increase uptake of HIV prevention and care services in low-resource, HIV endemic regions.</t>
  </si>
  <si>
    <t>[Nishimura, Holly] Univ Calif San Francisco, Dept Med, San Francisco, CA USA; [Kennedy, Caitlin E.] Johns Hopkins Bloomberg Sch Publ Hlth, Dept Int Hlth, Baltimore, MD USA; [Kaptchuk, Rose Pollard; Chang, Larry W.] Johns Hopkins Sch Med, Dept Med, Div Infect Dis, Baltimore, MD USA; [Mbabali, Ismail; Mulamba, Jeremiah; Nakyanjo, Neema; Anok, Aggrey; Wawer, Maria J.; Nakigozi, Gertrude; Chang, Larry W.] Rakai Hlth Sci Program, Social &amp; Behav Sci Dept, Kalisizo, Uganda; [Wawer, Maria J.; Chang, Larry W.] Johns Hopkins Bloomberg Sch Publ Hlth, Dept Epidemiol, Baltimore, MD USA; [Amico, K. Rivet] Univ Michigan, Dept Hlth Behav Hlth Educ, Ann Arbor, MI USA; [Hutton, Heidi] Johns Hopkins Sch Med, Dept Psychiat &amp; Behav Sci, Baltimore, MD USA; [Nishimura, Holly] Univ Calif San Francisco, Dept Med, 550 16th St,Third Floor, San Francisco, CA 94143 USA</t>
  </si>
  <si>
    <t>University of California System; University of California San Francisco; Johns Hopkins University; Johns Hopkins Bloomberg School of Public Health; Johns Hopkins University; Johns Hopkins Medicine; Rakai Health Sciences Program; Johns Hopkins University; Johns Hopkins Bloomberg School of Public Health; University of Michigan System; University of Michigan; Johns Hopkins University; Johns Hopkins Medicine; University of California System; University of California San Francisco</t>
  </si>
  <si>
    <t>Nishimura, H (corresponding author), Univ Calif San Francisco, Dept Med, 550 16th St,Third Floor, San Francisco, CA 94143 USA.</t>
  </si>
  <si>
    <t>holly.nishimura@ucsf.edu</t>
  </si>
  <si>
    <t>Ochiai, Kenji/0000-0001-8318-1940; Nishiura, Hayate/0000-0002-0882-4165; Hatai, Hitoshi/0000-0002-9063-7616</t>
  </si>
  <si>
    <t>We thank all participants and community health workers of the Health Scout intervention for their time and involvement in this study. We thank the RHSP department of Social and Behavioral Sciences leadership team and interviewers: William Ddaaki, Dauda Isa</t>
  </si>
  <si>
    <t>We thank all participants and community health workers of the Health Scout intervention for their time and involvement in this study. We thank the RHSP department of Social and Behavioral Sciences leadership team and interviewers: William Ddaaki, Dauda Isabirye, Aminah Nambuusi, Ann Lindah Namuddu and Charles Ssekyewa. Authors' contributions: All authors contributed to study conception and design. Larry W Chang originated the concept and obtained funding for the parent trial. Rose Pollard Kaptchuk, Ismail Mbabali, K. Rivet Amico, Larry W Chang, Neema Nakyanjo, Aggrey Anok, and Jeremiah Mulamba developed and implemented data collection procedures. Rose Pollard Kaptchuk, Heidi Hutton, and Holly Nishimura developed and contributed to the data analysis plan and analysis. Holly Nishimura wrote the first draft of the paper. All authors contributed important intellectual content to the manuscript and all authors approved the final submission.</t>
  </si>
  <si>
    <t>0954-0121</t>
  </si>
  <si>
    <t>1360-0451</t>
  </si>
  <si>
    <t>AIDS CARE</t>
  </si>
  <si>
    <t>Aids Care-Psychol. Socio-Med. Asp. Aids-Hiv</t>
  </si>
  <si>
    <t>10.1080/09540121.2023.2253504</t>
  </si>
  <si>
    <t>Health Policy &amp; Services; Public, Environmental &amp; Occupational Health; Psychology, Multidisciplinary; Respiratory System; Social Sciences, Biomedical</t>
  </si>
  <si>
    <t>Health Care Sciences &amp; Services; Public, Environmental &amp; Occupational Health; Psychology; Respiratory System; Biomedical Social Sciences</t>
  </si>
  <si>
    <t>R7EL1</t>
  </si>
  <si>
    <t>WOS:001065946600001</t>
  </si>
  <si>
    <t>Sample, H</t>
  </si>
  <si>
    <t>Sample, Hope</t>
  </si>
  <si>
    <t>Reconciling Moral Responsibility with Multiplicity in Conway's Principles</t>
  </si>
  <si>
    <t>INTERNATIONAL JOURNAL OF PHILOSOPHICAL STUDIES</t>
  </si>
  <si>
    <t>Anne Conway; moral responsiblity; multiplicity; metaphysics; parthood; powers</t>
  </si>
  <si>
    <t>ANNE CONWAY; MONIST</t>
  </si>
  <si>
    <t>Anne Conway's commitment to the moral responsibility of creatures, or created beings, is seemingly in tension with her unique metaphysics. Conway is committed to individual moral responsibility. Conway insists that an innocent person ought not be punished for someone else's sin. Interesting recent work highlights a unique aspect of Conway's position that creatures are multiplicities: not only are creatures integrated into the larger whole of creation, but also their parts are mutually integrated into one another. The latter, which I will call 'ontological overlap,' renders the boundaries between creatures unclear. However, creatures must be distinct enough from each other to provide a proper subject for individual moral responsibility. This contribution suggests that Conway's account of vital power can resolve an apparent tension between ontological overlap and individual moral responsibility and, more broadly, that Conway has a relational metaphysics of moral subjecthood.</t>
  </si>
  <si>
    <t>[Sample, Hope] Carleton Coll, Philosophy, Northfield, MN 55057 USA</t>
  </si>
  <si>
    <t>Carleton College</t>
  </si>
  <si>
    <t>Sample, H (corresponding author), Carleton Coll, Philosophy, Northfield, MN 55057 USA.</t>
  </si>
  <si>
    <t>hsample@carleton.edu</t>
  </si>
  <si>
    <t>This paper greatly benefitted from the extensive feedback of two anonymous referees, Ruth Boeker, and Graham Clay. I had a helpful discussion of an earlier version of this paper at Carleton College and St. Olaf's joint colloquium series. Finally, I would l</t>
  </si>
  <si>
    <t>This paper greatly benefitted from the extensive feedback of two anonymous referees, Ruth Boeker, and Graham Clay. I had a helpful discussion of an earlier version of this paper at Carleton College and St. Olaf's joint colloquium series. Finally, I would like to give a special thanks to Jason Decker, Dan Groll, Andrew Knoll, Anna Moltchanova, and Sue Sample for their feedback.</t>
  </si>
  <si>
    <t>0967-2559</t>
  </si>
  <si>
    <t>1466-4542</t>
  </si>
  <si>
    <t>INT J PHILOS STUD</t>
  </si>
  <si>
    <t>Int. J. Philos. Stud.</t>
  </si>
  <si>
    <t>10.1080/09672559.2023.2237026</t>
  </si>
  <si>
    <t>Philosophy</t>
  </si>
  <si>
    <t>R9MS6</t>
  </si>
  <si>
    <t>WOS:001067526700001</t>
  </si>
  <si>
    <t>Tack, S</t>
  </si>
  <si>
    <t>Tack, Saartje</t>
  </si>
  <si>
    <t>Teaching for Liberation: The Manifesto Assignment as an Example of bell hooks' Engaged Pedagogy</t>
  </si>
  <si>
    <t>AUSTRALIAN FEMINIST STUDIES</t>
  </si>
  <si>
    <t>engaged pedagogy; feminist pedagogy; manifesto; inclusive assessment; gender studies; decolonisation; bell hooks</t>
  </si>
  <si>
    <t>Diversity and inclusion, decolonising the curriculum, and intersectionality have become buzzwords in higher education, with questions raised about what counts as knowledge and whose knowledge counts in teaching contexts. Despite efforts being made to democratise the curriculum through reading lists and lecture content, pedagogy itself remains largely unchanged. In this article, I provide a theoretical reflection on my experiences of teaching an introductory gender studies unit at an Australian university at the start of the COVID-19 pandemic in 2020. The pandemic intensified existing inequities amongst students, not only outside but also inside the classroom. It is against this backdrop that I swapped the initially set research essay in the unit for a manifesto writing assignment. In this article, I explore the ways in which the manifesto assignment provided an opportunity to take seriously bell hooks' vision of engaged pedagogy that views education as the practice of freedom and discuss the ways in which it came to represent an example of feminist praxis that assists in fostering a more inclusive classroom, grounded in feminism's liberatory project.</t>
  </si>
  <si>
    <t>[Tack, Saartje] Vrije Univ Amsterdam, Dept Sociol, Amsterdam, Netherlands</t>
  </si>
  <si>
    <t>Vrije Universiteit Amsterdam</t>
  </si>
  <si>
    <t>Tack, S (corresponding author), Vrije Univ Amsterdam, Dept Sociol, Amsterdam, Netherlands.</t>
  </si>
  <si>
    <t>s.e.j.saartje.tack@vu.nl</t>
  </si>
  <si>
    <t>Most of what I know about teaching, I owe to Rebecca Sheehan, the best teacher I know. Thank you for everything you've taught me, and countless students, about teaching (and) life in challenging environments. Thank you also to Charlotte Overgaard for shari</t>
  </si>
  <si>
    <t>Most of what I know about teaching, I owe to Rebecca Sheehan, the best teacher I know. Thank you for everything you've taught me, and countless students, about teaching (and) life in challenging environments. Thank you also to Charlotte Overgaard for sharing your invaluable insights about teaching methods and kindness and caring in teaching with me. The anonymous reviewers provided generous comments and critical questions that helped me hone my argument, and the editors of Australian Feminist Studies provided support, guidance, and a safe space to ask questions through the journal's Mentoring Program. And finally, thank you to my (former and current) students, who open my eyes to new worlds and make me feel alive whenever I walk into a classroom.</t>
  </si>
  <si>
    <t>0816-4649</t>
  </si>
  <si>
    <t>1465-3303</t>
  </si>
  <si>
    <t>AUST FEMINIST STUD</t>
  </si>
  <si>
    <t>Aust. Fem. Stud.</t>
  </si>
  <si>
    <t>10.1080/08164649.2023.2255931</t>
  </si>
  <si>
    <t>Women's Studies</t>
  </si>
  <si>
    <t>R9CP2</t>
  </si>
  <si>
    <t>WOS:001067262600001</t>
  </si>
  <si>
    <t>Tang, J; Huang, YC; Mou, Z; Wang, SY; Zhang, YY; Guo, B</t>
  </si>
  <si>
    <t>Tang, Jun; Huang, Yuchen; Mou, Zhi; Wang, Shiyu; Zhang, Yuanyuan; Guo, Bing</t>
  </si>
  <si>
    <t>Defence algorithm against adversarial example based on local perturbation DAT-LP</t>
  </si>
  <si>
    <t>NONDESTRUCTIVE TESTING AND EVALUATION</t>
  </si>
  <si>
    <t>DAT-LP; defence algorithm; machine learning security; robustness; adversarial attack</t>
  </si>
  <si>
    <t>With further research into neural networks, their scope of application is becoming increasingly extensive. Among these, more neural network models are used in text classification tasks and have achieved excellent results. However, the crucial issue of derived adversarial examples has dramatically affected the stability and robustness of the neural network model. This issue confines the further expansion of the neural network application, especially in some security-sensitive tasks. Concerning the text classification task, our proposed DAT-LP (Defence with Adversarial Training Based on Local Perturbation) algorithm is designed to address the adversarial example issue, which uses local perturbation to enhance model performance based on adversarial training. Furthermore, SW-CStart (Cold-start Algorithm Based on Sliding Window) algorithm is designed to realise adversarial training in the model's initialisation stage. The DAT-LP algorithm is evaluated by comparing with three baselines, including baseline models (BiLSTM, TextCNN), Dropout(regularisation method), and ADT (Adversarial Training method), respectively. As it turns out, DAT-LP's performance is superior and demonstrates the best generalisation ability.</t>
  </si>
  <si>
    <t>[Tang, Jun; Huang, Yuchen; Mou, Zhi; Zhang, Yuanyuan; Guo, Bing] Sichuan Univ, Sch Comp Sci, Chengdu, Peoples R China; [Wang, Shiyu] Sichuan GreatWall Comp Syst Co Ltd, Business Ctr, Luzhou, Peoples R China</t>
  </si>
  <si>
    <t>Sichuan University</t>
  </si>
  <si>
    <t>Zhang, YY (corresponding author), Sichuan Univ, Sch Comp Sci, Chengdu, Peoples R China.</t>
  </si>
  <si>
    <t>yuanyuanzhang@stu.scu.edu.cn</t>
  </si>
  <si>
    <t>National Natural Science Foundation of China [62072319]; Sichuan Science and Technology Program [2023YFQ0022, 2022YFG0041, 2022YFG0155, 2022YFG0157]; Luzhou Science and Technology Innovation Ramp;D Program [2022CDLZ-6]</t>
  </si>
  <si>
    <t>National Natural Science Foundation of China(National Natural Science Foundation of China (NSFC)); Sichuan Science and Technology Program; Luzhou Science and Technology Innovation Ramp;D Program</t>
  </si>
  <si>
    <t>This work was supported in part by the National Natural Science Foundation of China under Grant No. 62072319; the Sichuan Science and Technology Program under Grant No. 2023YFQ0022, 2022YFG0041, 2022YFG0155 and 2022YFG0157; the Luzhou Science and Technology Innovation R &amp; amp;D Program under Grant No. 2022CDLZ-6.</t>
  </si>
  <si>
    <t>1058-9759</t>
  </si>
  <si>
    <t>1477-2671</t>
  </si>
  <si>
    <t>NONDESTRUCT TEST EVA</t>
  </si>
  <si>
    <t>Nondestruct. Test. Eval.</t>
  </si>
  <si>
    <t>10.1080/10589759.2023.2249581</t>
  </si>
  <si>
    <t>Materials Science, Characterization &amp; Testing</t>
  </si>
  <si>
    <t>R7CW6</t>
  </si>
  <si>
    <t>WOS:001065905700001</t>
  </si>
  <si>
    <t>Houensou, DA; Hekponhoue, S; Soglo, MAG; Senou, MM</t>
  </si>
  <si>
    <t>Houensou, Denis Acclassato; Hekponhoue, Sylvain; Soglo, Mahougbe Aimee-Gabrielle; Senou, Melain Modeste</t>
  </si>
  <si>
    <t>Does ICTs Usage Facilitate Access to Market? An Empirical Evidence of Market Gardeners in Benin</t>
  </si>
  <si>
    <t>JOURNAL OF AFRICAN BUSINESS</t>
  </si>
  <si>
    <t>Agriculture; ICT; market participation; transaction costsl; Benin</t>
  </si>
  <si>
    <t>SMALLHOLDER FARMERS PARTICIPATION; MOBILE PHONES; TRANSACTIONS COSTS; INFORMATION-TECHNOLOGY; DETERMINANTS; PREFERENCES; BEHAVIOR; INTERNET; WELFARE; EASTERN</t>
  </si>
  <si>
    <t>Imperfect information is a major obstacle for agricultural businesses in developing countries. The resulting information asymmetry increases transaction costs and affects the behavior of market stakeholders. In Benin, market gardeners' participation is limited by geographical isolation and poor communication and transport infrastructures. Information and communication technologies (ICTs) now offer a fast and less costly means of accessing and disseminating information for more active market participation. The aim of this article is to measure the contribution of ICTs to market participation by testing whether they improve participation. Using a recursive bivariate probit model, our results indicate that market gardeners who use ICT to access information have a higher frequency of market participation than those who do not. Cell phones, radios, and televisions lead to a 35.3%, 25.6% and 8% higher probability of market participation respectively than those who don't use them. These results suggest that a platform for disseminating knowledge via ICT could be set up to increase market participation.</t>
  </si>
  <si>
    <t>[Houensou, Denis Acclassato; Hekponhoue, Sylvain; Soglo, Mahougbe Aimee-Gabrielle; Senou, Melain Modeste] Univ Abomey Calavi, Lab Res Finance &amp; Dev Financing LARFFID, FASEG, Abomey Calavi, Benin; [Hekponhoue, Sylvain] Univ Abomey Calavi, Lab Res Finance &amp; Dev Financing LARFFID, FASEG, O3BP-3997, Cotonou, Benin</t>
  </si>
  <si>
    <t>University of Abomey Calavi; University of Abomey Calavi</t>
  </si>
  <si>
    <t>Hekponhoue, S (corresponding author), Univ Abomey Calavi, Lab Res Finance &amp; Dev Financing LARFFID, FASEG, O3BP-3997, Cotonou, Benin.</t>
  </si>
  <si>
    <t>sylvainhekponhoue@yahoo.fr</t>
  </si>
  <si>
    <t>1522-8916</t>
  </si>
  <si>
    <t>1522-9076</t>
  </si>
  <si>
    <t>J AFR BUS</t>
  </si>
  <si>
    <t>J. Afr. Bus.</t>
  </si>
  <si>
    <t>2023 SEP 14</t>
  </si>
  <si>
    <t>10.1080/15228916.2023.2257556</t>
  </si>
  <si>
    <t>R7CE7</t>
  </si>
  <si>
    <t>WOS:001065887800001</t>
  </si>
  <si>
    <t>Lisi, M; Silva, JGE</t>
  </si>
  <si>
    <t>Lisi, Marco; Silva, Joao Gaio e</t>
  </si>
  <si>
    <t>Campaigns without civil society? The involvement of organized interests in electoral politics</t>
  </si>
  <si>
    <t>JOURNAL OF CIVIL SOCIETY</t>
  </si>
  <si>
    <t>Organized interests; political parties; elections; political representation; Portugal</t>
  </si>
  <si>
    <t>STRATEGIES; PARTIES</t>
  </si>
  <si>
    <t>Elections are key moments for interactions between civil society and representatives. While bottom-up mobilization tries to influence the composition of parliament and policy outputs, political parties and politicians engage with broader civil society to strengthen their legitimacy and to obtain strategic benefits in terms of electoral results. This study focuses on the role organized interests play in election campaigns and explains why collective societal actors do not engage in a significant way in the electoral process. By examining the Portuguese case during the 2019 elections, this study relies on data triangulation to map the involvement of organized interests in the electoral process. We argue that political parties have no incentives to foster linkages with interest groups, while civil society organizations prefer to stay in the shade or do not have opportunities to engage in electoral politics. The findings have implications not only in terms of low levels of political mobilization, but also with regard to policy innovation (and lack thereof).</t>
  </si>
  <si>
    <t>[Lisi, Marco] Univ Nova Lisboa, Dept Polit Studies, NOVA FCSH, Lisbon, Portugal; [Lisi, Marco; Silva, Joao Gaio e] Univ Nova Lisboa, IPRI NOVA, Lisbon, Portugal; [Lisi, Marco] Univ Nova Lisboa, Dept Polit Studies, NOVA FCSH, Av Berna 26-C, P-1069061 Lisbon, Portugal; [Lisi, Marco] Univ Nova Lisboa, IPRI NOVA, Av Berna 26-C, P-1069061 Lisbon, Portugal</t>
  </si>
  <si>
    <t>Universidade Nova de Lisboa; Universidade Nova de Lisboa; Universidade Nova de Lisboa; Universidade Nova de Lisboa</t>
  </si>
  <si>
    <t>Lisi, M (corresponding author), Univ Nova Lisboa, Dept Polit Studies, NOVA FCSH, Av Berna 26-C, P-1069061 Lisbon, Portugal.;Lisi, M (corresponding author), Univ Nova Lisboa, IPRI NOVA, Av Berna 26-C, P-1069061 Lisbon, Portugal.</t>
  </si>
  <si>
    <t>marcolisi@fcsh.unl.pt</t>
  </si>
  <si>
    <t>Fundacao para a Ciencia e Tecnologia (FCT) [UIDB/04627/2020]</t>
  </si>
  <si>
    <t>Fundacao para a Ciencia e Tecnologia (FCT)(Fundacao para a Ciencia e a Tecnologia (FCT))</t>
  </si>
  <si>
    <t>This work was supported by Fundacao para a Ciencia e Tecnologia (FCT): [Grant Number UIDB/04627/2020].</t>
  </si>
  <si>
    <t>1744-8689</t>
  </si>
  <si>
    <t>1744-8697</t>
  </si>
  <si>
    <t>J CIV SOC</t>
  </si>
  <si>
    <t>J. Civ. Soc.</t>
  </si>
  <si>
    <t>10.1080/17448689.2023.2255690</t>
  </si>
  <si>
    <t>Political Science</t>
  </si>
  <si>
    <t>Government &amp; Law</t>
  </si>
  <si>
    <t>R8HF1</t>
  </si>
  <si>
    <t>WOS:001066704800001</t>
  </si>
  <si>
    <t>Meletis, ZA; Booth, A; Pyke, L; Seniunas, A</t>
  </si>
  <si>
    <t>Meletis, Zoe A.; Booth, Annie; Pyke, Laura; Seniunas, Ashley</t>
  </si>
  <si>
    <t>Outside of the box: Inspiring Women Among Us (IWAU) as public pedagogy on gender and inclusion via learning in community</t>
  </si>
  <si>
    <t>STUDIES IN THE EDUCATION OF ADULTS-NIACE</t>
  </si>
  <si>
    <t>Feminism; education; public pedagogy; mentoring; community-university collaborations; intersectionality</t>
  </si>
  <si>
    <t>EDUCATION; SUSTAINABILITY; PARTNERSHIPS; SCHOLARSHIP</t>
  </si>
  <si>
    <t>December 6th marks the Montreal Massacre, and Canada's National Day of Remembrance and Action on Violence Against Women. Universities often host actions around this date. In 2015, we sought to expand discussions on gender and equity by launching Inspiring Women Among Us or IWAU (www.iwau.ca). Our annual series of events includes talks, workshops, films, arts activities, movement, mentoring opportunities, and activism/actions. We build community through engaging with issues across the gender spectrum. Educational exchanges are key to IWAU but we do not label them as such. We work to showcase and support feminist, queer, and Indigenous individuals and organisations. Our events are low barrier, and we purposefully emphasise an informal atmosphere. We have responsively moved queerness, trans awareness, intersectionality, and learning from Indigenous leaders to our core. In this paper, we present research about participant experiences (2017) as collected via a self-administered survey (n=140). In discussing response patterns, key themes, and our interpretations, we consider IWAU as site of formal and informal educational exchanges. In design and practice, we stress inclusive opportunities outside of the classroom. According to participants, education and mentoring is occurring, formally and informally, as hoped. We share quotes about participant experiences of IWAU to illustrate how they experience exchanges and learning. Cognisant of work by Porter (2019) and others, we acknowledge the need for mutually-beneficial university-community relations. We discuss IWAU's unique position/role as a bridge between university, community, scholarship and action. In contextualising results and interpretations, we foreground the persistent need for gender-related spaces, opportunities, and exchanges beyond formal learning scenarios, in a 'knowledge democracy'. Adding to over 50 years of work (for recent examples, see Ahmed, Berdahl et al., Cheeks, Corbett, Moeke-Pickering et al.), we offer our case study as including elements that support adult education 'outside of the box,' for feminist futures.</t>
  </si>
  <si>
    <t>[Meletis, Zoe A.] Univ Northern British Columbia, Geog Earth &amp; Environm Sci, Prince George, BC, Canada; [Booth, Annie] Univ Northern British Columbia, Environm &amp; Sustainabil Studies, Prince George, BC, Canada; [Pyke, Laura] Univ Northern British Columbia, Anthropol, Prince George, BC, Canada; [Seniunas, Ashley] Univ Northern British Columbia, Psychol, Prince George, BC, Canada</t>
  </si>
  <si>
    <t>University of Northern British Columbia; University of Northern British Columbia; University of Northern British Columbia; University of Northern British Columbia</t>
  </si>
  <si>
    <t>Meletis, ZA (corresponding author), Univ Northern British Columbia, Geog Earth &amp; Environm Sci, Prince George, BC, Canada.</t>
  </si>
  <si>
    <t>zoe.meletis@unbc.ca</t>
  </si>
  <si>
    <t>The authors thank all IWAU participants since 2015, and particularly those who contributed to this 2017 research. We couldn't keep enjoying and refining IWAU without our Student Planning Assistants and volunteers, our organizing committee and all of our ch; UNBC; University of Northern British Columbia; City of Prince George; Prince George Public Library; Geoffrey R. Weller Library at UNBC; College of New Caledonia; Northern Women's Centre; Omineca Centre for the Arts; Copy Services at UNBC; UNBC Office of Research and Innovation; Social Sciences and Humanities Research Council of Canada</t>
  </si>
  <si>
    <t>The authors thank all IWAU participants since 2015, and particularly those who contributed to this 2017 research. We couldn't keep enjoying and refining IWAU without our Student Planning Assistants and volunteers, our organizing committee and all of our ch; UNBC; University of Northern British Columbia; City of Prince George; Prince George Public Library; Geoffrey R. Weller Library at UNBC; College of New Caledonia; Northern Women's Centre; Omineca Centre for the Arts; Copy Services at UNBC; UNBC Office of Research and Innovation; Social Sciences and Humanities Research Council of Canada(Social Sciences and Humanities Research Council of Canada (SSHRC))</t>
  </si>
  <si>
    <t>The authors thank all IWAU participants since 2015, and particularly those who contributed to this 2017 research. We couldn't keep enjoying and refining IWAU without our Student Planning Assistants and volunteers, our organizing committee and all of our champions, donors, and participants. This includes UNBC Chancellor and Lheidli T'enneh Elder Darlene McIntosh, a key supporter from the start. We thank funders and partners over the years, including the University of Northern British Columbia, and the City of Prince George. We also thank Two Rivers Gallery, the Prince George Public Library and the Geoffrey R. Weller Library at UNBC, the College of New Caledonia, the Northern Women's Centre, Gender Outlines, the Jim Pattison Broadcasting Group, the Makerie, the House of Ancestors, the Omineca Centre for the Arts, DEGREES Coffee, Copy Services at UNBC, and many more. We thank the UNBC Office of Research and Innovation, and the Social Sciences and Humanities Research Council of Canada for funding this work and contributing funding to IWAU events. We thank our family members, friends, and colleagues for supporting our service, reporting, and research efforts linked to IWAU.</t>
  </si>
  <si>
    <t>0266-0830</t>
  </si>
  <si>
    <t>1478-9833</t>
  </si>
  <si>
    <t>STUD ED ADULTS-NIACE</t>
  </si>
  <si>
    <t>Stud. Educ. Adults-NIACE</t>
  </si>
  <si>
    <t>10.1080/02660830.2023.2249599</t>
  </si>
  <si>
    <t>R7DZ8</t>
  </si>
  <si>
    <t>WOS:001065935200001</t>
  </si>
  <si>
    <t>Nordsletten, M; Saeed, U; Myklebust, TA; Robsahm, TE; Moller, B; Skalhegg, BS; Mala, T; Yaqub, S</t>
  </si>
  <si>
    <t>Nordsletten, Marie; Saeed, Usman; Myklebust, Tor age; Robsahm, Trude Eid; Moller, Bjorn; Skalhegg, Bjorn Steen; Mala, Tom; Yaqub, Sheraz</t>
  </si>
  <si>
    <t>Body mass index and its association with 22 cancer types: a Norwegian cohort study of 481 202 cancer cases</t>
  </si>
  <si>
    <t>ACTA ONCOLOGICA</t>
  </si>
  <si>
    <t>Letter; Early Access</t>
  </si>
  <si>
    <t>BREAST-CANCER; RISK; METAANALYSIS; OBESITY; FATNESS; WEIGHT</t>
  </si>
  <si>
    <t>[Nordsletten, Marie; Saeed, Usman; Mala, Tom; Yaqub, Sheraz] Oslo Univ Hosp, Dept Gastrointestinal &amp; Paediat Surg, Oslo, Norway; [Myklebust, Tor age; Moller, Bjorn] Canc Registry Norway, Dept Registrat, Oslo, Norway; [Myklebust, Tor age] More &amp; Romsdal Hosp Trust, Dept Res &amp; Innovat, Alesund, Norway; [Robsahm, Trude Eid] Canc Registry Norway, Dept Res, Oslo, Norway; [Skalhegg, Bjorn Steen] Univ Oslo, Inst Basic Med Sci, Div Mol Nutr, Oslo, Norway; [Mala, Tom; Yaqub, Sheraz] Univ Oslo, Inst Clin Med, Oslo, Norway; [Nordsletten, Marie] Oslo Univ Hosp, Dept Gastrointestinal &amp; Paediat Surg, POB 4950 Nydalen, N-0424 Oslo, Norway</t>
  </si>
  <si>
    <t>University of Oslo; University of Oslo; University of Oslo; University of Oslo; University of Oslo; University of Oslo</t>
  </si>
  <si>
    <t>Nordsletten, M (corresponding author), Oslo Univ Hosp, Dept Gastrointestinal &amp; Paediat Surg, POB 4950 Nydalen, N-0424 Oslo, Norway.</t>
  </si>
  <si>
    <t>mawnor@ous-hf.no</t>
  </si>
  <si>
    <t>Saeed, Usman/0000-0003-3418-9748</t>
  </si>
  <si>
    <t>0284-186X</t>
  </si>
  <si>
    <t>1651-226X</t>
  </si>
  <si>
    <t>ACTA ONCOL</t>
  </si>
  <si>
    <t>Acta Oncol.</t>
  </si>
  <si>
    <t>10.1080/0284186X.2023.2258443</t>
  </si>
  <si>
    <t>S1DY0</t>
  </si>
  <si>
    <t>WOS:001068653900001</t>
  </si>
  <si>
    <t>Varghaiyan, N</t>
  </si>
  <si>
    <t>Varghaiyan, Naghmeh</t>
  </si>
  <si>
    <t>The Mental Mapping of a Heterotopic Space in Jhumpa Lahiri's The Namesake</t>
  </si>
  <si>
    <t>ANQ-A QUARTERLY JOURNAL OF SHORT ARTICLES NOTES AND REVIEWS</t>
  </si>
  <si>
    <t>Varghaiyan, Naghmeh/0000-0002-6838-7876</t>
  </si>
  <si>
    <t>0895-769X</t>
  </si>
  <si>
    <t>1940-3364</t>
  </si>
  <si>
    <t>ANQ-Q J SHORT ART N</t>
  </si>
  <si>
    <t>Anq-A. J. Short Artic. Notes Rev.</t>
  </si>
  <si>
    <t>10.1080/0895769X.2023.2258384</t>
  </si>
  <si>
    <t>R8MY7</t>
  </si>
  <si>
    <t>WOS:001066855100001</t>
  </si>
  <si>
    <t>Xiong, F; Zhou, YW; Hao, YT; Wei, GX; Chen, XR; Qiu, M</t>
  </si>
  <si>
    <t>Xiong, Feng; Zhou, Yu-Wen; Hao, Ya-Ting; Wei, Gui-Xia; Chen, Xiao-Rong; Qiu, Meng</t>
  </si>
  <si>
    <t>Combining Anti-epidermal Growth Factor Receptor (EGFR) Therapy with Immunotherapy in Metastatic Colorectal Cancer (mCRC)</t>
  </si>
  <si>
    <t>EXPERT REVIEW OF GASTROENTEROLOGY &amp; HEPATOLOGY</t>
  </si>
  <si>
    <t>Anti-EGFR therapy; combination therapy; immune checkpoint inhibitors; immunomodulation; metastatic colorectal cancer</t>
  </si>
  <si>
    <t>IMMUNOGENIC CELL-DEATH; 1ST-LINE TREATMENT; NATURAL-KILLER; OPEN-LABEL; MICROSATELLITE INSTABILITY; MEDIATED CYTOTOXICITY; COMBINED BRAF; COLON-CANCER; CETUXIMAB; ANTIBODY</t>
  </si>
  <si>
    <t>IntroductionMonoclonal antibodies binding the EGFR, such as cetuximab and panitumumab, have been extensively used as targeted therapy for the treatment of mCRC. However, in clinical practice, it has been found that these treatment options have some limitations and fail to fully exploit their immunoregulatory activities. Meanwhile, because of the limited effects of current treatments, immunotherapy is being widely studied for patients with mCRC. However, previous immunotherapy trials in mCRC patients have had unsatisfactory outcomes as monotherapy. Thus, combinatorial treatment strategies are being researched.Areas coveredThe authors retrieved relevant documents of combination therapy for mCRC from PubMed and Medline. This review elaborates on the knowledge of immunomodulatory effects of anti-EGFR therapy alone and in combination with immunotherapy for mCRC.Expert opinionAlthough current treatment options have improved median overall survival (OS) for advanced disease to 30 months, the prognosis remains challenging for those with metastatic disease. More recently, the combination of anti-EGFR therapy with immunotherapy has been shown activity with complementary mechanisms. Hence, anti-EGFR therapy in combination with immunotherapy may hold the key to improving the therapeutic effect of refractory mCRC.</t>
  </si>
  <si>
    <t>[Xiong, Feng; Zhou, Yu-Wen; Wei, Gui-Xia; Chen, Xiao-Rong; Qiu, Meng] Sichuan Univ, Dept Colorectal Canc Ctr, West China Hosp, 37 Guoxue Alley, Chengdu 610041, Sichuan, Peoples R China; [Hao, Ya-Ting] Ningxia Med Univ, Sch Clin Med, Yinchuan, Peoples R China</t>
  </si>
  <si>
    <t>Sichuan University; Ningxia Medical University</t>
  </si>
  <si>
    <t>Qiu, M (corresponding author), Sichuan Univ, Dept Colorectal Canc Ctr, West China Hosp, 37 Guoxue Alley, Chengdu 610041, Sichuan, Peoples R China.</t>
  </si>
  <si>
    <t>qiumeng@wchscu.cn</t>
  </si>
  <si>
    <t>Sichuan Science and Technology Department Key Research and Development Project [2022YFS0209]; 1.3.5 Project for Disciplines of Excellence, West China Hospital, Sichuan University [ZYJC21017]</t>
  </si>
  <si>
    <t>Sichuan Science and Technology Department Key Research and Development Project; 1.3.5 Project for Disciplines of Excellence, West China Hospital, Sichuan University</t>
  </si>
  <si>
    <t>This paper was funded by the Sichuan Science and Technology Department Key Research and Development Project (grant no. 2022YFS0209) and 1.3.5 Project for Disciplines of Excellence, West China Hospital, Sichuan University (grant no. ZYJC21017).</t>
  </si>
  <si>
    <t>1747-4124</t>
  </si>
  <si>
    <t>1747-4132</t>
  </si>
  <si>
    <t>EXPERT REV GASTROENT</t>
  </si>
  <si>
    <t>Expert Rev. Gastroenterol. Hepatol.</t>
  </si>
  <si>
    <t>10.1080/17474124.2023.2232718</t>
  </si>
  <si>
    <t>Gastroenterology &amp; Hepatology</t>
  </si>
  <si>
    <t>R7CJ0</t>
  </si>
  <si>
    <t>WOS:001065892100001</t>
  </si>
  <si>
    <t>Zhang, L; Deng, FM; Chen, XZ; Zhang, S; Xing, XT; Liu, ZY</t>
  </si>
  <si>
    <t>Zhang, Lei; Deng, Fuming; Chen, Xiaozhou; Zhang, Sheng; Xing, Xiaotian; Liu, Ziyi</t>
  </si>
  <si>
    <t>Catalytic role of high pressure in the graphitization of amorphous carbon</t>
  </si>
  <si>
    <t>FULLERENES NANOTUBES AND CARBON NANOSTRUCTURES</t>
  </si>
  <si>
    <t>Temperature-pressure synergy; lower graphitization threshold; high pressure catalysis; amorphous carbon transformation</t>
  </si>
  <si>
    <t>COAL; FURNACE; CHAR</t>
  </si>
  <si>
    <t>To accelerate the graphitization transformation efficiency, reduce the transformation threshold of graphitization, and explore the transformation process and catalytic mechanism of amorphous carbon structure under high pressure, we performed rapid graphitization of amorphous carbon materials by a high temperature-high pressure synergistic preparation method. The results show that the high pressure intervention can accelerate the graphitization transformation progress of amorphous carbon materials and reduce the graphitization transition temperature threshold. Especially at 2.8 GPa-1300 &amp; DEG;C, the graphitization transformation rate is significantly increased, and the catalytic effect of high pressure is remarkable. The graphitization effect of this method is close to that of the conventional graphitization method at 3000 &amp; DEG;C. The high temperature and high pressure synergistic effect reduces the graphitization temperature requirement by 56%, 1 MPa can compensate for the energy loss of 2.15 &amp; DEG;C, and the preparation time is substantially reduced. Meanwhile, We summarize the important stages of initial lattice construction, microcrystal growth, and rapid formation of graphitic lattice in the transformation of disordered lattice under the synergistic effect of high temperature and high pressure, clearly showing the different evolutionary features in the process of structural transformation.</t>
  </si>
  <si>
    <t>[Zhang, Lei; Deng, Fuming; Chen, Xiaozhou; Zhang, Sheng; Xing, Xiaotian; Liu, Ziyi] China Univ Min &amp; Technol Beijing, Sch Mech Elect Informat Engn, Beijing, Peoples R China; [Deng, Fuming] China Univ Min &amp; Technol Beijing, Sch Mech Elect &amp; Informat Engn, Ding 11 Xueyuan Rd, Beijing 100083, Peoples R China</t>
  </si>
  <si>
    <t>China University of Mining &amp; Technology; China University of Mining &amp; Technology</t>
  </si>
  <si>
    <t>Deng, FM (corresponding author), China Univ Min &amp; Technol Beijing, Sch Mech Elect &amp; Informat Engn, Ding 11 Xueyuan Rd, Beijing 100083, Peoples R China.</t>
  </si>
  <si>
    <t>dfm_cumtb_edu@sina.cn</t>
  </si>
  <si>
    <t>National Natural Science Foundation of China [U20A20238]</t>
  </si>
  <si>
    <t>This work was funded by the National Natural Science Foundation of China (U20A20238)</t>
  </si>
  <si>
    <t>1536-383X</t>
  </si>
  <si>
    <t>1536-4046</t>
  </si>
  <si>
    <t>FULLER NANOTUB CAR N</t>
  </si>
  <si>
    <t>Fuller. Nanotub. Carbon Nanostruct.</t>
  </si>
  <si>
    <t>10.1080/1536383X.2023.2259515</t>
  </si>
  <si>
    <t>Chemistry, Physical; Nanoscience &amp; Nanotechnology; Materials Science, Multidisciplinary; Physics, Atomic, Molecular &amp; Chemical</t>
  </si>
  <si>
    <t>Chemistry; Science &amp; Technology - Other Topics; Materials Science; Physics</t>
  </si>
  <si>
    <t>S0YE7</t>
  </si>
  <si>
    <t>WOS:001068504100001</t>
  </si>
  <si>
    <t>Zumofen, R; Mabillard, V</t>
  </si>
  <si>
    <t>Zumofen, Raphael; Mabillard, Vincent</t>
  </si>
  <si>
    <t>Debate: Improving communication effectiveness or wasting taxpayers' money? The use of social media influencers in public organizations</t>
  </si>
  <si>
    <t>PUBLIC MONEY &amp; MANAGEMENT</t>
  </si>
  <si>
    <t>[Zumofen, Raphael] Univ Lausanne, Swiss Grad Sch Publ Adm IDHEAP, Lausanne, Switzerland; [Zumofen, Raphael] HES SO Valais Wallis, Sch Hlth Sci, Sion, Switzerland; [Mabillard, Vincent] Univ Libre Bruxelles, Solvay Brussels Sch Econ &amp; Management, Brussels, Belgium</t>
  </si>
  <si>
    <t>University of Lausanne; University of Applied Sciences &amp; Arts Western Switzerland; Solvay SA; Universite Libre de Bruxelles</t>
  </si>
  <si>
    <t>Zumofen, R (corresponding author), Univ Lausanne, Swiss Grad Sch Publ Adm IDHEAP, Lausanne, Switzerland.;Zumofen, R (corresponding author), HES SO Valais Wallis, Sch Hlth Sci, Sion, Switzerland.</t>
  </si>
  <si>
    <t>0954-0962</t>
  </si>
  <si>
    <t>1467-9302</t>
  </si>
  <si>
    <t>PUBLIC MONEY MANAGE</t>
  </si>
  <si>
    <t>Public Money Manage.</t>
  </si>
  <si>
    <t>10.1080/09540962.2023.2257453</t>
  </si>
  <si>
    <t>Public Administration</t>
  </si>
  <si>
    <t>S4RR4</t>
  </si>
  <si>
    <t>WOS:001071060700001</t>
  </si>
  <si>
    <t>Benitez, R; Broadie, S</t>
  </si>
  <si>
    <t>Benitez, Rick; Broadie, Sarah</t>
  </si>
  <si>
    <t>Plato's Sun-Like Good: Dialectic in the Republic</t>
  </si>
  <si>
    <t>AUSTRALASIAN JOURNAL OF PHILOSOPHY</t>
  </si>
  <si>
    <t>[Benitez, Rick] Univ Sydney, Sydney, Australia</t>
  </si>
  <si>
    <t>University of Sydney</t>
  </si>
  <si>
    <t>Benitez, R (corresponding author), Univ Sydney, Sydney, Australia.</t>
  </si>
  <si>
    <t>0004-8402</t>
  </si>
  <si>
    <t>1471-6828</t>
  </si>
  <si>
    <t>AUSTRALAS J PHILOS</t>
  </si>
  <si>
    <t>Australas. J. Philos.</t>
  </si>
  <si>
    <t>2023 SEP 13</t>
  </si>
  <si>
    <t>10.1080/00048402.2023.2256768</t>
  </si>
  <si>
    <t>R8NB2</t>
  </si>
  <si>
    <t>WOS:001066857600001</t>
  </si>
  <si>
    <t>Peng, XH; Jin, X; Zhen, Y; Yang, B; Li, XB; Wei, C; Deng, ZG; Li, MT; Fan, G</t>
  </si>
  <si>
    <t>Peng, Xiaohua; Jin, Xin; Zhen, Yong; Yang, Bo; Li, Xingbin; Wei, Chang; Deng, Zhigan; Li, Minting; Fan, Gang</t>
  </si>
  <si>
    <t>Hydrothermal crystallization of jarosite and natrojarosite from acid leaching solution of zinc oxide dust</t>
  </si>
  <si>
    <t>CANADIAN METALLURGICAL QUARTERLY</t>
  </si>
  <si>
    <t>Zinc recovery; jarosite; natrojarosite; crystallization; hydrometallurgy</t>
  </si>
  <si>
    <t>SPENT CATALYST; HYDROMETALLURGICAL RECOVERY; METALS DISSOLUTION; GOETHITE PROCESS; IRON OXIDATION; KINETICS; BEHAVIOR; PRECIPITATION; SULFATE; MO</t>
  </si>
  <si>
    <t>The separation of Zn and Fe, K, and Na ions remains a challenge in the recovery process of Zn-containing secondary resources. A hydrothermal process without adding neutralizer was developed to remove Fe, K, and Na ions from the leaching solution of zinc oxide dust. Results showed that Fe and K ions were synchronously eliminated, yielding low-contaminant jarosite products with excellent crystallinity and rosette-like morphology under the following conditions: gas pressure = 1.6 x 106 Pa, agitation speed = 600 rpm, reaction time = 3 h, and temperature ranges at 368.15 K-423.15 K. The removal efficiency of Fe and K ions reached 99.8% and 97.7%, respectively. The obtained low-contaminant jarosite contained Fe 31.09%-31.98%, Zn 1.05%-1.24%, S 12.33%-12.71%, K 6.12%-6.46%, and Na 0.44%-0.87%. Additionally, the Na ions in the leaching solution precipitated can also along with Fe ions, forming low-contaminant natrojarosite products containing Fe 31.36%-35.66%, Zn 1.60%-1.88%, S 10.66%-12.56%, Na 2.85%-3.26% and K 0.74%-0.85%. The optimal hydrothermal temperature for the removal of Fe, K, and Na ions while minimising energy consumption was determined to be 393.15 K. The low-contaminant jarosite and natrojarosite products possess potential applications in the field of yellow pigments, building materials, iron and arsenic removal, adsorption materials, catalytic materials, etc. La recuperation des ressources secondaires contenant du Zn a attire un interet important, mais la separation des ions Zn et Fe, K et Na demeure encore un defi dans le procede de purification de la solution de lixiviation du zinc. Dans cette etude, on a developpe un procede hydrothermal dans un autoclave sans l'ajout d'un neutralisant, pour eliminer les ions Fe, K et Na de la solution de lixiviation de poussiere d'oxyde de zinc. Les resultats ont montre que les ions Fe et K etaient elimines de maniere synchrone, donnant des produits de jarosite a faible teneur en contaminants avec une excellente cristallinite et une morphologie en forme de rosette dans les conditions suivantes: pression du gaz = 1.6 x 106 Pa, vitesse d'agitation = 600 tr/min, temps de reaction = 3 h et plages de temperature de 368.15 K a 423.15 K. L'efficacite d'elimination des ions Fe et K a atteint respectivement 99.8% et 97.7%. La jarosite obtenue a faible teneur en contaminants contenait 31.09% a 31.98% de Fe, 1.05% a 1.24% de Zn, 12.33% a 12.71% de S, 6.12% a 6.46% de K et 0.44% a 0.87% de Na. De plus, les ions Na presents dans la solution de lixiviation peuvent egalement precipiter avec les ions Fe, formant des produits de natrojarosite a faible teneur en contaminants contenant 31.36% a 35.66% de Fe, 1.60% a 1.88% de Zn, 10.66% a 12.56% de S, 2.85% a 3.26% de Na et 0.74% a 0.85% de K. On a determine que la temperature hydrothermale optimale pour l'elimination des ions Fe, K et Na tout en minimisant la consommation d'energie etait de 393.15 K. Les produits de jarosite et de natrojarosite a faible teneur en contaminants possedent des applications potentielles dans le domaine des pigments jaunes, des materiaux de construction, de l'elimination du fer et de l'arsenic, des materiaux d'absorption, des materiaux catalytiques et plus encore. Par consequent, la precipitation hydrothermale presente un procede prometteur, et la jarosite et la natrojarosite servent d'epurateurs efficaces des ions Fe, K et Na dans la solution de lixiviation de zinc des ressources secondaires contenant du Zn.</t>
  </si>
  <si>
    <t>[Peng, Xiaohua; Jin, Xin; Zhen, Yong; Yang, Bo; Li, Xingbin; Wei, Chang; Deng, Zhigan; Li, Minting; Fan, Gang] Kunming Univ Sci &amp; Technol, Fac Met &amp; Energy Engn, 68 Wenchang Rd, 121 St, Kunming 650093, Yunnan, Peoples R China; [Peng, Xiaohua; Yang, Bo; Li, Xingbin; Wei, Chang; Deng, Zhigan; Li, Minting; Fan, Gang] Kunming Univ Sci &amp; Technol, State Key Lab Complex Nonferrous Met Resources Cle, Kunming 650093, Yunnan, Peoples R China; [Jin, Xin; Zhen, Yong] Shengtun Energy Met Chem Guizhou Co Ltd, Fuquan, Peoples R China</t>
  </si>
  <si>
    <t>Kunming University of Science &amp; Technology; Kunming University of Science &amp; Technology</t>
  </si>
  <si>
    <t>Li, XB; Wei, C (corresponding author), Kunming Univ Sci &amp; Technol, Fac Met &amp; Energy Engn, 68 Wenchang Rd, 121 St, Kunming 650093, Yunnan, Peoples R China.;Li, XB; Wei, C (corresponding author), Kunming Univ Sci &amp; Technol, State Key Lab Complex Nonferrous Met Resources Cle, Kunming 650093, Yunnan, Peoples R China.</t>
  </si>
  <si>
    <t>lixingbin2018@163.com; weichang502@sina.cn</t>
  </si>
  <si>
    <t>National Natural Science Foundation of China [51964029, 52164039]; Applied Basic Research Key Project of Yunnan Province [202001AT070079, 202101AT070091, 202202AG050025]</t>
  </si>
  <si>
    <t>National Natural Science Foundation of China(National Natural Science Foundation of China (NSFC)); Applied Basic Research Key Project of Yunnan Province</t>
  </si>
  <si>
    <t>This research was financially supported by the National Natural Science Foundation of China (Grant Nos. 51964029, 52164039) and Applied Basic Research Key Project of Yunnan Province (Grant Nos. 202001AT070079, 202101AT070091, 202202AG050025), for which the authors are sincerely grateful, and we gratefully acknowledge many helpful comments and suggestions from anonymous reviews.</t>
  </si>
  <si>
    <t>0008-4433</t>
  </si>
  <si>
    <t>1879-1395</t>
  </si>
  <si>
    <t>CAN METALL QUART</t>
  </si>
  <si>
    <t>Can. Metall. Q.</t>
  </si>
  <si>
    <t>10.1080/00084433.2023.2257569</t>
  </si>
  <si>
    <t>R7CF3</t>
  </si>
  <si>
    <t>WOS:001065888400001</t>
  </si>
  <si>
    <t>Prado, IMS</t>
  </si>
  <si>
    <t>Prado, Ignacio M. Sanchez</t>
  </si>
  <si>
    <t>Endless Proliferations of Signifiers: Mexican Cultural Studies in the Future Tense</t>
  </si>
  <si>
    <t>BULLETIN OF SPANISH STUDIES</t>
  </si>
  <si>
    <t>This piece argues that Mexican literary and cultural studies are on the verge of a series of paradigm changes. The essay begins with an imagined walk through Mexico City to illustrate the ways in which scholarship can 'think' a space. The essay later proceeds to with engage three questions in the field of cultural studies in Mexico: questions of method and transdisciplinarity, subjectivities following new ways of thinking race and gender and temporalities through the idea of the future. The discussion will engage as examples leading Mexican theorists such as Irmgard Emmelhainz, Cristina Rivera Garza and Bruno Bosteels among others.</t>
  </si>
  <si>
    <t>[Prado, Ignacio M. Sanchez] Washington Univ, St Louis, MO 63130 USA</t>
  </si>
  <si>
    <t>Washington University (WUSTL)</t>
  </si>
  <si>
    <t>Prado, IMS (corresponding author), Washington Univ, St Louis, MO 63130 USA.</t>
  </si>
  <si>
    <t>1475-3820</t>
  </si>
  <si>
    <t>1478-3428</t>
  </si>
  <si>
    <t>B SPAN STUD</t>
  </si>
  <si>
    <t>Bull. Span. Stud.</t>
  </si>
  <si>
    <t>10.1080/14753820.2023.2247708</t>
  </si>
  <si>
    <t>Literature, Romance</t>
  </si>
  <si>
    <t>S0WY4</t>
  </si>
  <si>
    <t>WOS:001068470600001</t>
  </si>
  <si>
    <t>Taylor, LA</t>
  </si>
  <si>
    <t>Taylor, Laura A.</t>
  </si>
  <si>
    <t>They're not a project. They're people. A study of Black educators critiquing the (mis)uses of social justice discourses</t>
  </si>
  <si>
    <t>INTERNATIONAL JOURNAL OF QUALITATIVE STUDIES IN EDUCATION</t>
  </si>
  <si>
    <t>Social justice; teacher identity; urban education; discourse analysis; qualitative</t>
  </si>
  <si>
    <t>TEACHER; RACE</t>
  </si>
  <si>
    <t>Discourses of social justice are becoming increasingly prevalent in educational spaces, with rising numbers of teachers and teacher education programs expressing their aims to teach towards social justice. Yet, recent scholarship has documented the contested meanings of social justice in contemporary educational contexts. This qualitative case study aims to build upon existing literature by examining how two equity-oriented Black educators in an urban elementary school conceptualized and critiqued the discourses of social justice circulating in their school. Through thematic and discourse analysis of data generated through teacher inquiry group meetings and interviews, it examines their experiences with the language of social justice becoming associated with dehumanization and white saviorism, and it documents the equity-oriented pedagogical positions constructed by these teachers in opposition to such discourses. This analysis draws attention to contemporary (mis)uses of social justice discourses and proposes implications for justice- and equity-oriented teacher education.</t>
  </si>
  <si>
    <t>[Taylor, Laura A.] Rhodes Coll, Educ Studies Program, 2000 North Pkwy, Memphis, TN 38112 USA</t>
  </si>
  <si>
    <t>Taylor, LA (corresponding author), Rhodes Coll, Educ Studies Program, 2000 North Pkwy, Memphis, TN 38112 USA.</t>
  </si>
  <si>
    <t>taylorl@rhodes.edu</t>
  </si>
  <si>
    <t>0951-8398</t>
  </si>
  <si>
    <t>1366-5898</t>
  </si>
  <si>
    <t>INT J QUAL STUD EDUC</t>
  </si>
  <si>
    <t>Int. J. Qual. Stud. Educ.</t>
  </si>
  <si>
    <t>10.1080/09518398.2023.2258094</t>
  </si>
  <si>
    <t>R7DH2</t>
  </si>
  <si>
    <t>WOS:001065916300001</t>
  </si>
  <si>
    <t>Zazouli, MA; Ala, A; Asghari, S; Babanezhad, E</t>
  </si>
  <si>
    <t>Zazouli, Mohammad Ali; Ala, Alireza; Asghari, Somayeh; Babanezhad, Esmaeil</t>
  </si>
  <si>
    <t>Evaluation of Azolla filiculoides potential in pyrene and phenanthrene accumulation and phytoremediation in contaminated waters</t>
  </si>
  <si>
    <t>INTERNATIONAL JOURNAL OF PHYTOREMEDIATION</t>
  </si>
  <si>
    <t>Aromatic hydrocarbons; Azolla filiculoides; Bioaccumulation; Biosorption; PAHs; Phytoremediation</t>
  </si>
  <si>
    <t>POLYCYCLIC AROMATIC-HYDROCARBONS; DRINKING-WATER; POLLUTION; GROWTH; PLANT; PAHS; BIODEGRADATION; RESPONSES; FATE</t>
  </si>
  <si>
    <t>Polycyclic aromatic hydrocarbons (PAHs) are a serious threat to the health of the environment. This study investigated the potential of Azolla filiculoides for the uptake, accumulation, and biodegradation of phenanthrene and pyrene. A- filiculoides plants were treated with 10 and 30 mg L-1 concentrations of phenanthrene and pyrene for the experimental duration of ten days. Phenanthrene and pyrene concentrations were measured using the high-performance liquid chromatography (HPLC) technique. Identification of the intermediate by-products resulting from the biological degradation of PAHs was performed by gas chromatography-mass spectrometry (GC/MS). The quantities of phenanthrene and pyrene in the ten-day treatments with 10 and 30 mg L-1 were 0.007 and 0.011 mg g(-1) FW, and 0.048 and 0.079 mg g(-1) FW, respectively. The growth parameters in the plants such as fresh weight, dry weight and RFN as well as the content of photosynthetic pigment of the plant decreased significantly compared to the control sample (p &lt; 0.05). Ten compounds were identified from the plant tissue during the decomposition of pyrene and phenanthrene, and none of the PAHs were identified in the aquatic environment. Therefore, the use of A-filiculoides for phytoremediation of water resources contaminated with PAHs is an effective and promising method.</t>
  </si>
  <si>
    <t>[Zazouli, Mohammad Ali; Babanezhad, Esmaeil] Mazandaran Univ Med Sci, Fac Publ Hlth, Hlth Sci Res Ctr, Dept Environm Hlth Engn, Sari, Iran; [Ala, Alireza; Asghari, Somayeh] Mazandaran Univ Med Sci, Student Res Comm, Hlth Sci Res Ctr, Dept Environm Hlth Engn, Sari, Iran; [Ala, Alireza] Mazandaran Univ Med Sci, Student Res Comm, Hlth Sci Res Ctr, Dept Environm Hlth Engn, Sari, Iran</t>
  </si>
  <si>
    <t>Mazandaran University Medical Sciences; Mazandaran University Medical Sciences; Mazandaran University Medical Sciences</t>
  </si>
  <si>
    <t>Ala, A (corresponding author), Mazandaran Univ Med Sci, Student Res Comm, Hlth Sci Res Ctr, Dept Environm Hlth Engn, Sari, Iran.</t>
  </si>
  <si>
    <t>Ala_Alireza@yahoo.com</t>
  </si>
  <si>
    <t>Zazouli, Mohammad Ali/E-4163-2017; Ala, Alireza/V-9115-2019</t>
  </si>
  <si>
    <t>Zazouli, Mohammad Ali/0000-0003-2314-3859; Ala, Alireza/0000-0001-9319-2192</t>
  </si>
  <si>
    <t>This research with Ethics Code IR.NIMAD.REC.1398.309 was supported by Elite Researcher Grant Committee from the National Institute for Medical Research Development (NIMAD), Tehran, Iran. The authors thank the cooperation of the Department of Environmental; Elite Researcher Grant Committee from the National Institute for Medical Research Development (NIMAD), Tehran, Iran; Department of Environmental Health Engineering, Faculty of Health, Health Sciences Research Center; Student Research Committee of the Research Deputy of Mazandaran University of Medical Sciences, Sari, Iran</t>
  </si>
  <si>
    <t>This research with Ethics Code IR.NIMAD.REC.1398.309 was supported by Elite Researcher Grant Committee from the National Institute for Medical Research Development (NIMAD), Tehran, Iran. The authors thank the cooperation of the Department of Environmental Health Engineering, Faculty of Health, Health Sciences Research Center, and the Student Research Committee of the Research Deputy of Mazandaran University of Medical Sciences, Sari, Iran. Also, would like to thank the guidance by Dr. Abbas Gholipour, Associated professor of Biology.</t>
  </si>
  <si>
    <t>1522-6514</t>
  </si>
  <si>
    <t>1549-7879</t>
  </si>
  <si>
    <t>INT J PHYTOREMEDIAT</t>
  </si>
  <si>
    <t>Int. J. Phytoremediat.</t>
  </si>
  <si>
    <t>10.1080/15226514.2023.2257314</t>
  </si>
  <si>
    <t>Environmental Sciences</t>
  </si>
  <si>
    <t>Environmental Sciences &amp; Ecology</t>
  </si>
  <si>
    <t>R7YB4</t>
  </si>
  <si>
    <t>WOS:001066464400001</t>
  </si>
  <si>
    <t>Essanhaji, Z</t>
  </si>
  <si>
    <t>Essanhaji, Zakia</t>
  </si>
  <si>
    <t>The (im)possibility of complaint: on efforts of inverting and (en)countering the university</t>
  </si>
  <si>
    <t>Academia; complaint; diversity; infrastructural inversion; whiteness</t>
  </si>
  <si>
    <t>Over the past decades, research has documented how endemic racism, sexism, and ableism are in academia. Universities have complaint procedures to address these issues. Much research focuses on individual experiences of making a complaint and the institutional uptake of complaints and demonstrates how such 'isms' are located in the individual rather than in the institution. This paper instead scrutinizes how complaint procedures mask and reproduce the structures with which complaints are concerned resulting in the complaints' limited transformative abilities. I demonstrate how complaint procedures only allow for treating complaints as isolated, singular and unusual events that require temporary solutions, which ensures that complaints and complaint work are peripheralized while the white patriarchal ableist core of universities remains intact. Complaints as efforts of inverting the white patriarchal university are too limited as they are quickly reverted. Hence, what is needed is more than a mere procedure but a total inversion of the institution to make difference fit which requires work that goes in and beyond one's institution.</t>
  </si>
  <si>
    <t>[Essanhaji, Zakia] Vrije Univ Amsterdam, Dept Sociol, Amsterdam, Netherlands; [Essanhaji, Zakia] Vrije Univ Amsterdam, Dept Sociol, De Boelelaan 1105, NL-1081 HV Amsterdam, Netherlands</t>
  </si>
  <si>
    <t>Vrije Universiteit Amsterdam; Vrije Universiteit Amsterdam</t>
  </si>
  <si>
    <t>Essanhaji, Z (corresponding author), Vrije Univ Amsterdam, Dept Sociol, De Boelelaan 1105, NL-1081 HV Amsterdam, Netherlands.</t>
  </si>
  <si>
    <t>Z.essanhaji@vu.nl</t>
  </si>
  <si>
    <t>Sofokles</t>
  </si>
  <si>
    <t>This work was supported by Sofokles.</t>
  </si>
  <si>
    <t>2023 SEP 12</t>
  </si>
  <si>
    <t>10.1080/09540253.2023.2256755</t>
  </si>
  <si>
    <t>R8GZ5</t>
  </si>
  <si>
    <t>WOS:001066699200001</t>
  </si>
  <si>
    <t>Miranda-Neto, CB; Souza, TS</t>
  </si>
  <si>
    <t>Miranda-Neto, Cleto B.; Souza, Thyago S.</t>
  </si>
  <si>
    <t>On reduced G-perfection and horizontal linkage</t>
  </si>
  <si>
    <t>Auslander transpose; Gorenstein dimension; horizontal linkage; reduced G-perfect module; semidualizing module</t>
  </si>
  <si>
    <t>FINITE GORENSTEIN DIMENSION; MODULES; RESPECT; RINGS</t>
  </si>
  <si>
    <t>In this paper, we contribute to the theory of reduced G-perfection and horizontal linkage of modules over a commutative, Noetherian (typically, local) ring R, in the general setting where properties and operations are considered relatively to a semidualizing module C. We investigate when reduced GC-perfection is preserved by relative Auslander transpose, and how to numerically characterize horizontally linked modules. Moreover, we show how to produce reduced GC-perfect modules that are also C-k-torsionless (k &amp; GE;0 is an integer) but fail to be GC-perfect, and we illustrate that, unlike the usual grade, the relative reduced grade depends on the choice of C.</t>
  </si>
  <si>
    <t>[Miranda-Neto, Cleto B.] Univ Fed Paraiba, Dept Matemat, Joao Pessoa, PB, Brazil; [Souza, Thyago S.] Univ Fed Campina Grande, Unidade Academ Matemat, Campina Grande, PB, Brazil; [Miranda-Neto, Cleto B.] Univ Federalda Paraiba, Dept Matemat, BR-58051900 Joao Pessoa, PB, Brazil</t>
  </si>
  <si>
    <t>Universidade Federal da Paraiba; Universidade Federal de Campina Grande</t>
  </si>
  <si>
    <t>Miranda-Neto, CB (corresponding author), Univ Federalda Paraiba, Dept Matemat, BR-58051900 Joao Pessoa, PB, Brazil.</t>
  </si>
  <si>
    <t>cleto@mat.ufpb.br</t>
  </si>
  <si>
    <t>The authors also wish to thank the anonymous referee for helpful comments and suggestions, particularly for correcting an inaccuracy in the proof of Corollary 3.14.</t>
  </si>
  <si>
    <t>10.1080/00927872.2023.2255283</t>
  </si>
  <si>
    <t>R5UL2</t>
  </si>
  <si>
    <t>WOS:001065000800001</t>
  </si>
  <si>
    <t>Schervish, M; Donahue, NM; Shiraiwa, M</t>
  </si>
  <si>
    <t>Schervish, Meredith; Donahue, Neil M.; Shiraiwa, Manabu</t>
  </si>
  <si>
    <t>Effects of volatility, viscosity, and non-ideality on particle-particle mixing timescales of secondary organic aerosols</t>
  </si>
  <si>
    <t>AEROSOL SCIENCE AND TECHNOLOGY</t>
  </si>
  <si>
    <t>Cari Dutcher</t>
  </si>
  <si>
    <t>HUMIDITY-DEPENDENT VISCOSITY; ISOPRENE-DERIVED EPOXYDIOLS; PHASE STATE; ACTIVITY-COEFFICIENTS; MULTIPHASE CHEMISTRY; THERMODYNAMIC MODEL; INORGANIC SALTS; REACTIVE UPTAKE; ICE NUCLEATION; PHYSICAL STATE</t>
  </si>
  <si>
    <t>Different populations of aerosol are constantly mixed throughout the atmosphere. Large-scale models often assume no particle-particle mixing or fast mixing among aerosol populations, so that they stay externally mixed or instantaneously form internal mixtures. We apply the kinetic multilayer model of gas-particle interactions (KM-GAP) to simulate the evaporation of semi-volatile species from one particle population and partitioning into another population with various phase states and nonideal mixing conditions. We find that the particle-particle mixing timescale (&amp; tau;mix) is prolonged when the semi-volatile species transport to a population in which it is miscible, as more mass must be transported. Extremes of volatility prolong the &amp; tau;mix, as low-volatility species evaporate slowly, while high-volatility species condense slowly. When the bulk diffusivities of the two populations are greater than 10-15 cm2 s-1, semi-volatile species mix rapidly; otherwise, the &amp; tau;mix can be prolonged beyond 1 h. We apply KM-GAP to particle-particle mixing experiments of H-toluene SOA into D-toluene SOA and limonene SOA, showing that &amp; tau;mix is prolonged when toluene SOA is highly viscous, while initial partitioning of gas phase semi-volatile species from toluene SOA into limonene SOA is rapid because of the low viscosity of limonene SOA. Simulations of mixing toluene SOA and &amp; beta;-caryophyllene SOA indicate that the apparent discrepancy of limited mixing under conditions where both are predicted to have low viscosity are explained by limited miscibility of the semi-volatile components. Our study demonstrates that particle-particle mixing timescales are affected by a complex interplay among volatility, diffusion limitations, and non-ideal miscibility.</t>
  </si>
  <si>
    <t>[Schervish, Meredith; Shiraiwa, Manabu] Univ Calif Irvine, Dept Chem, 1102 Natl Sci 2, Irvine, CA 92697 USA; [Donahue, Neil M.] Carnegie Mellon Univ, Ctr Atmospher Particle Studies, Pittsburgh, PA USA</t>
  </si>
  <si>
    <t>University of California System; University of California Irvine; Carnegie Mellon University</t>
  </si>
  <si>
    <t>Shiraiwa, M (corresponding author), Univ Calif Irvine, Dept Chem, 1102 Natl Sci 2, Irvine, CA 92697 USA.</t>
  </si>
  <si>
    <t>m.shiraiwa@uci.edu</t>
  </si>
  <si>
    <t>Donahue, Neil McPherson/A-2329-2008</t>
  </si>
  <si>
    <t>Donahue, Neil McPherson/0000-0003-3054-2364</t>
  </si>
  <si>
    <t>The authors would like to acknowledge Dr. Qing Ye for helpful discussions and comments on the manuscript.</t>
  </si>
  <si>
    <t>0278-6826</t>
  </si>
  <si>
    <t>1521-7388</t>
  </si>
  <si>
    <t>AEROSOL SCI TECH</t>
  </si>
  <si>
    <t>Aerosol Sci. Technol.</t>
  </si>
  <si>
    <t>10.1080/02786826.2023.2256827</t>
  </si>
  <si>
    <t>Engineering, Chemical; Engineering, Mechanical; Environmental Sciences; Meteorology &amp; Atmospheric Sciences</t>
  </si>
  <si>
    <t>Engineering; Environmental Sciences &amp; Ecology; Meteorology &amp; Atmospheric Sciences</t>
  </si>
  <si>
    <t>S4ER2</t>
  </si>
  <si>
    <t>WOS:001070720900001</t>
  </si>
  <si>
    <t>Arularasan, G; Balaharish, V; Babu, DS</t>
  </si>
  <si>
    <t>Arularasan, G.; Balaharish, V; Babu, D. Senthil</t>
  </si>
  <si>
    <t>Salt Workers in Contemporary South India: Change and Continuity</t>
  </si>
  <si>
    <t>SOUTH ASIA-JOURNAL OF SOUTH ASIAN STUDIES</t>
  </si>
  <si>
    <t>Labour history; Madras salt; salt history; salt monopoly; salt work; salt workers</t>
  </si>
  <si>
    <t>Monopolies of different kinds have remained a constant factor in the history of the salt industry in India. The available literature focuses on the economic aspects of the industry and not on labour. In this essay, we study the labour process to understand the influence of monopoly, caste hegemony, land tenure and the idea of production inefficiency. We show how colonial and post-colonial state policies have remained indifferent to the lives of salt workers. This article reconstructs salt history in India from the perspective of salt workers, restoring dignity to their labour and lives.</t>
  </si>
  <si>
    <t>[Arularasan, G.; Balaharish, V] Res Org Social Act, Pondicherry, India; [Balaharish, V; Babu, D. Senthil] Inst Francais Pondichery, Pondicherry, India</t>
  </si>
  <si>
    <t>Arularasan, G (corresponding author), Res Org Social Act, Pondicherry, India.</t>
  </si>
  <si>
    <t>arularasa@gmail.com</t>
  </si>
  <si>
    <t>We thank the salt workers of Marakkanam, Vedaranyam and Thoothukudi, who agreed to speak to us despite their pressing concerns and tedious work day. We would like to acknowledge the contribution of friends of our collective who supported the work behind th; Department of Social Sciences</t>
  </si>
  <si>
    <t>We thank the salt workers of Marakkanam, Vedaranyam and Thoothukudi, who agreed to speak to us despite their pressing concerns and tedious work day. We would like to acknowledge the contribution of friends of our collective who supported the work behind this essay. We also thank the Department of Social Sciences, French Institute of Pondicherry, for supporting our fieldwork interaction with the salt workers.</t>
  </si>
  <si>
    <t>0085-6401</t>
  </si>
  <si>
    <t>1479-0270</t>
  </si>
  <si>
    <t>S ASIA</t>
  </si>
  <si>
    <t>S. Asia</t>
  </si>
  <si>
    <t>2023 SEP 11</t>
  </si>
  <si>
    <t>10.1080/00856401.2023.2244331</t>
  </si>
  <si>
    <t>Area Studies; History; Asian Studies</t>
  </si>
  <si>
    <t>Social Science Citation Index (SSCI); Arts &amp; Humanities Citation Index (A&amp;HCI)</t>
  </si>
  <si>
    <t>R6TY5</t>
  </si>
  <si>
    <t>WOS:001065673000001</t>
  </si>
  <si>
    <t>Dadashi, H; Rahimzadegan, M</t>
  </si>
  <si>
    <t>Dadashi, Hamidreza; Rahimzadegan, Majid</t>
  </si>
  <si>
    <t>A new approach to improve precipitable water vapour estimations of Sentinel-3A satellite data using LST, elevation and NDVI over Iran</t>
  </si>
  <si>
    <t>HYDROLOGICAL SCIENCES JOURNAL</t>
  </si>
  <si>
    <t>environmental parameters; total precipitable water (TPW); artificial neural network (ANN); radiosonde measurements</t>
  </si>
  <si>
    <t>LAND; TEMPERATURE; RETRIEVAL; ALGORITHM; DECOMPOSITION</t>
  </si>
  <si>
    <t>The total precipitable water vapour (TPW) extraction algorithm using the Sentinel-3A Ocean and Land Colour Instrument (OLCI) has the potential to be improved on a regional scale. The aim of this study was to improve the TPW extraction algorithm of OLCI for the first time using environmental variables, including the Normalized Difference Vegetation Index (NDVI), land surface temperature (LST), and elevation from mean sea level, on a regional scale over Iran. A previously developed TPW recovery algorithm was applied to the OLCI data during cloud-free days throughout a one-year period (1 January-29 December 2020). The artificial neural network (ANN) methodology was utilized in eight models. The evaluation results revealed the effectiveness of the models varied based on the topography and climate of each station. The assessment findings demonstrated that model 2, which integrated LST, elevation, and NDVI data in the ANN framework, outperformed other models across the study area.</t>
  </si>
  <si>
    <t>[Dadashi, Hamidreza; Rahimzadegan, Majid] KN Toosi Univ Technol, Fac Civil Engn, Water Resources Engn &amp; Management Dept, Tehran, Iran</t>
  </si>
  <si>
    <t>K. N. Toosi University of Technology</t>
  </si>
  <si>
    <t>Rahimzadegan, M (corresponding author), KN Toosi Univ Technol, Fac Civil Engn, Water Resources Engn &amp; Management Dept, Tehran, Iran.</t>
  </si>
  <si>
    <t>rahimzadegan@kntu.ac.ir</t>
  </si>
  <si>
    <t>0262-6667</t>
  </si>
  <si>
    <t>2150-3435</t>
  </si>
  <si>
    <t>HYDROLOG SCI J</t>
  </si>
  <si>
    <t>Hydrol. Sci. J.</t>
  </si>
  <si>
    <t>10.1080/02626667.2023.2251468</t>
  </si>
  <si>
    <t>Water Resources</t>
  </si>
  <si>
    <t>R6AW5</t>
  </si>
  <si>
    <t>WOS:001065169800001</t>
  </si>
  <si>
    <t>Kopelman, H; Kontzias, C; Alihosseni, C; Feldman, SR</t>
  </si>
  <si>
    <t>Kopelman, Hannah; Kontzias, Christina; Alihosseni, Christopher; Feldman, Steven R.</t>
  </si>
  <si>
    <t>JAK1 inhibitors for the treatment of atopic dermatitis: a focus on pharmacokinetic considerations</t>
  </si>
  <si>
    <t>EXPERT OPINION ON DRUG METABOLISM &amp; TOXICOLOGY</t>
  </si>
  <si>
    <t>Atopic; dermatitis; JAK; pharmacodynamics; pharmacokinetics; safety; efficacy</t>
  </si>
  <si>
    <t>DOUBLE-BLIND; EFFICACY; SAFETY</t>
  </si>
  <si>
    <t>IntroductionAtopic dermatitis (AD) is associated with reduced quality of life, depression, and anxiety, making efficacious and safe treatments a priority. We will focus on the safety, efficacy, and pharmacokinetics of JAK1 inhibitors used in the treatment of AD.Areas CoveredIn this review, the pharmacodynamics, pharmacokinetics, safety, and efficacy of JAK1 inhibitors for the treatment of atopic dermatitis are discussed. The data was obtained by searching ClinicalTrials.gov, PubMed, and Google Scholar. Articles between January 2012 and March 2023 were considered for inclusion.Expert OpinionGiven the rare, but serious black box warnings with JAK inhibitors, patients and providers may be weary of initiating treatment. In these instances, clinicians may weigh the risks and benefits of treatment with this class. Risk is relative, and while there are risks to treating AD with JAK inhibitors, there are also risks to untreated or undertreated AD, including infection and impairments in mental, physical, and psychosocial function. While JAK1 inhibitors appear to be safe, they were only recently approved for AD in January 2022, and more long-term safety data is needed. We expect to see additional FDA approval of these drugs, new formulations, and more safety and efficacy data in the future.</t>
  </si>
  <si>
    <t>[Kopelman, Hannah; Kontzias, Christina; Alihosseni, Christopher; Feldman, Steven R.] Wake Forest Univ, Ctr Dermatol Res, Dept Dermatol, Sch Med, Winston Salem, NC 27104 USA; [Feldman, Steven R.] Wake Forest Univ, Dept Pathol, Sch Med, Winston Salem, NC 27104 USA; [Feldman, Steven R.] Wake Forest Univ, Dept Social Sci &amp; Hlth Policy, Sch Med, Winston Salem, NC 27104 USA; [Kontzias, Christina] Wake Forest Univ, Dept Dermatol, Sch Med, 4618 Country Club Rd, Winston Salem, NC 27104 USA</t>
  </si>
  <si>
    <t>Wake Forest University; Wake Forest University; Wake Forest University; Wake Forest University</t>
  </si>
  <si>
    <t>Kontzias, C (corresponding author), Wake Forest Univ, Dept Dermatol, Sch Med, 4618 Country Club Rd, Winston Salem, NC 27104 USA.</t>
  </si>
  <si>
    <t>kontziasc@vcu.edu</t>
  </si>
  <si>
    <t>1742-5255</t>
  </si>
  <si>
    <t>1744-7607</t>
  </si>
  <si>
    <t>EXPERT OPIN DRUG MET</t>
  </si>
  <si>
    <t>Expert Opin. Drug Metab. Toxicol.</t>
  </si>
  <si>
    <t>AUG 3</t>
  </si>
  <si>
    <t>10.1080/17425255.2023.2256227</t>
  </si>
  <si>
    <t>Biochemistry &amp; Molecular Biology; Pharmacology &amp; Pharmacy; Toxicology</t>
  </si>
  <si>
    <t>S1NR5</t>
  </si>
  <si>
    <t>WOS:001063322100001</t>
  </si>
  <si>
    <t>Mikhailova, A; Zviagintsev, R; Pinskaya, M; Anderson, L</t>
  </si>
  <si>
    <t>Mikhailova, Aleksandra; Zviagintsev, Roman; Pinskaya, Marina; Anderson, Lorin</t>
  </si>
  <si>
    <t>Differences in school effectiveness between resilient and struggling Russian schools</t>
  </si>
  <si>
    <t>INTERNATIONAL JOURNAL OF LEADERSHIP IN EDUCATION</t>
  </si>
  <si>
    <t>ACADEMIC RESILIENCE; TEACHERS; DISADVANTAGE; PERFORMANCE; RESOURCES; CONTEXTS; STUDENTS; CHILDREN; EQUITY</t>
  </si>
  <si>
    <t>Our research is dedicated to identifying what allows schools operating in difficult social conditions to show good academic results. We answer this question through the conjugation of two theoretical frameworks: academic resilience and school effectiveness. We analyze several models of school effectiveness and compare resilient and struggling schools through them. The study uses a quantitative and qualitative mixed-methods design. Our main arguments are based on an analysis of interviews conducted with students, parents, teachers, and principals in different schools-3 resilient and 3 struggling. We conclude that the schools differ in the strategies they implement; the main problem facing struggling schools is not the lack of effective elements, but the presence of negative ones; in further studies of school effectiveness, it would be worth using an integrative model that combines both poles.</t>
  </si>
  <si>
    <t>[Mikhailova, Aleksandra] Natl Res Univ Higher Sch Econ, Inst Educ, Moscow, Russia; [Zviagintsev, Roman] Univ Vienna, Ctr Teacher Educ, Vienna, Austria; [Pinskaya, Marina] Moscow State Inst Int Relat MGIMO, Interfac Dept Educ Syst &amp; Pedag Technol, Moscow, Russia; [Anderson, Lorin] Univ South Carolina, Coll Educ, Columbia, SC USA; [Mikhailova, Aleksandra] Natl Res Univ Higher Sch Econ, Inst Educ, 16 Potapovskiy Pereulok,Bldg 10, Moscow 101000, Russia</t>
  </si>
  <si>
    <t>HSE University (National Research University Higher School of Economics); University of Vienna; MGIMO University; University of South Carolina System; University of South Carolina Columbia; HSE University (National Research University Higher School of Economics)</t>
  </si>
  <si>
    <t>Mikhailova, A (corresponding author), Natl Res Univ Higher Sch Econ, Inst Educ, 16 Potapovskiy Pereulok,Bldg 10, Moscow 101000, Russia.</t>
  </si>
  <si>
    <t>a.mikhailova@hse.ru</t>
  </si>
  <si>
    <t>This article is an output of a research project implemented as part of the Basic Research Program at theNational Research University Higher School of Economics (HSE University).</t>
  </si>
  <si>
    <t>1360-3124</t>
  </si>
  <si>
    <t>1464-5092</t>
  </si>
  <si>
    <t>INT J LEADERSH EDUC</t>
  </si>
  <si>
    <t>Int. J. Leadersh. Educ.</t>
  </si>
  <si>
    <t>10.1080/13603124.2023.2254736</t>
  </si>
  <si>
    <t>R2ZQ9</t>
  </si>
  <si>
    <t>WOS:001063088200001</t>
  </si>
  <si>
    <t>Pak, R; Alilou, MM; Bayrami, M; Roudsari, ABP</t>
  </si>
  <si>
    <t>Pak, Razieh; Alilou, Majid Mahmoud; Bayrami, Mansur; Roudsari, Abass Bakhshi Pour</t>
  </si>
  <si>
    <t>A comparison of schema modes and self-beliefs related to social anxiety in individuals with subclinical social anxiety disorder and without social anxiety disorder: a preliminary finding</t>
  </si>
  <si>
    <t>COUNSELLING PSYCHOLOGY QUARTERLY</t>
  </si>
  <si>
    <t>Schema modes; self-beliefs related to social anxiety; social anxiety; subclinical social anxiety disorder; university students</t>
  </si>
  <si>
    <t>EARLY MALADAPTIVE SCHEMAS; COGNITIVE THERAPY; PHOBIA; PREVALENCE; IMPAIRMENT; DEPRESSION; VICTIMIZATION; CRITICISM; EFFICACY; SAMPLE</t>
  </si>
  <si>
    <t>Social anxiety disorder (SAD) is the most common anxiety disorder and has serious negative effects on multiple areas of life. The possibility of comorbidity with other disorders and malfunction in different domains of life exists in both full-blown and subclinical social anxiety. This study aimed to compare the schema modes and self-beliefs related to social anxiety in individuals with subclinical social anxiety disorder and without social anxiety disorder. Multistage cluster random and purposive sampling methods were used to select 100 students, 50 with and 50 without symptoms of social anxiety disorder. Participants were evaluated in regard to schema modes, self-beliefs related to social anxiety, social anxiety, depression, and generalized anxiety disorder. They were then evaluated clinically through Structured Clinical Interview for DSM-5 (SCID-5). Data analysis was performed by Multivariate Analysis of Variance (MANOVA) which showed that there was a significant difference between the groups of individuals with and without symptoms of social anxiety in schema modes and self-beliefs related to social anxiety (p &lt; 0.001). The obtained results can contribute to a deeper understanding of the dimensions of vulnerability underlying subclinical social anxiety disorder in the relationship between symptoms of subclinical social anxiety disorder and schema modes.</t>
  </si>
  <si>
    <t>[Pak, Razieh] Univ Tabriz, Fac Educ &amp; Psychol, Tabriz, Iran; [Alilou, Majid Mahmoud; Bayrami, Mansur; Roudsari, Abass Bakhshi Pour] Univ Tabriz, Fac Psychol &amp; Educ Sci, Dept Psychol, Tabriz, Iran</t>
  </si>
  <si>
    <t>University of Tabriz; University of Tabriz</t>
  </si>
  <si>
    <t>Alilou, MM (corresponding author), Univ Tabriz, Fac Psychol &amp; Educ Sci, Dept Psychol, Tabriz, Iran.</t>
  </si>
  <si>
    <t>m-alilou@tabrizu.ac.ir</t>
  </si>
  <si>
    <t>0951-5070</t>
  </si>
  <si>
    <t>1469-3674</t>
  </si>
  <si>
    <t>COUNS PSYCHOL Q</t>
  </si>
  <si>
    <t>Couns. Psychol. Q.</t>
  </si>
  <si>
    <t>10.1080/09515070.2023.2255989</t>
  </si>
  <si>
    <t>Psychology, Applied</t>
  </si>
  <si>
    <t>R8MX3</t>
  </si>
  <si>
    <t>WOS:001066853700001</t>
  </si>
  <si>
    <t>Burgos, AL; Barrera-Perales, OT</t>
  </si>
  <si>
    <t>Burgos, Ana L.; Barrera-Perales, Octavio T.</t>
  </si>
  <si>
    <t>Attitude toward innovation and its implications for rural community development in Mexican peasant organizations</t>
  </si>
  <si>
    <t>COMMUNITY DEVELOPMENT</t>
  </si>
  <si>
    <t>Rural community development; attitude to innovation; rural innovation; community environment; transdisciplinary research</t>
  </si>
  <si>
    <t>SOCIAL INNOVATION; ENVIRONMENT; FARMERS; RISK; TECHNOLOGY; EMOTIONS; ADOPTION</t>
  </si>
  <si>
    <t>Resistance to change and a negative attitude toward innovation (ATI) are attributes often associated to rural communities. Studies on rural ATI focus on technological adoption, but sociopsychological aspects are little explored. This article identifies the factors influencing the ATI in Mexican peasant organizations, using a systemic model with an individual sphere (affective and cognitive components), a social sphere (social capital, information, cultural values) and a territorial sphere. A semi-structured questionnaire was applied to 123 members of six peasants organizations in a tropical region. In the individual sphere, results showed a balance between affective and cognitive components. In the social sphere, high social capital and good information access promote a positive ATI, while cultural values do not appear as relevant barriers. Practical implications include the stigmatization eradication of rural communities as non-innovative, and their recognition as sensitive subjects building their ATI facing risks in adverse territorial contexts.</t>
  </si>
  <si>
    <t>[Burgos, Ana L.; Barrera-Perales, Octavio T.] Univ Nacl Autonoma Mexico, Ctr Invest Geog Ambiental, Morelia, Mexico; [Burgos, Ana L.] Univ Nacl Autonoma Mexico, Ctr Invest Geog Ambiental, Antigua Carretera Patzcuaro Nro 8701, Morelia 58190, Mexico</t>
  </si>
  <si>
    <t>Universidad Nacional Autonoma de Mexico; Universidad Nacional Autonoma de Mexico</t>
  </si>
  <si>
    <t>Burgos, AL (corresponding author), Univ Nacl Autonoma Mexico, Ctr Invest Geog Ambiental, Antigua Carretera Patzcuaro Nro 8701, Morelia 58190, Mexico.</t>
  </si>
  <si>
    <t>aburgos@ciga.unam.mx</t>
  </si>
  <si>
    <t>National Council of Science and Technology of Mexico (CONACYT) [PN2017/5435]; General Directorate of Academic Personnel (DGAPA) of the National Autonomous University of Mexico (UNAM)</t>
  </si>
  <si>
    <t>National Council of Science and Technology of Mexico (CONACYT)(Consejo Nacional de Ciencia y Tecnologia (CONACyT)); General Directorate of Academic Personnel (DGAPA) of the National Autonomous University of Mexico (UNAM)</t>
  </si>
  <si>
    <t>The work was supported by the National Council of Science and Technology of Mexico (CONACYT) [PN2017/5435]; General Directorate of Academic Personnel (DGAPA) of the National Autonomous University of Mexico (UNAM) [Sabbatical and postdoctoral scholarships].</t>
  </si>
  <si>
    <t>1557-5330</t>
  </si>
  <si>
    <t>1944-7485</t>
  </si>
  <si>
    <t>COMMUNITY DEV</t>
  </si>
  <si>
    <t>Community Dev.</t>
  </si>
  <si>
    <t>2023 SEP 10</t>
  </si>
  <si>
    <t>10.1080/15575330.2023.2255997</t>
  </si>
  <si>
    <t>Development Studies</t>
  </si>
  <si>
    <t>R0OI6</t>
  </si>
  <si>
    <t>WOS:001061417700001</t>
  </si>
  <si>
    <t>Ferreira, WS</t>
  </si>
  <si>
    <t>Ferreira, W. S.</t>
  </si>
  <si>
    <t>Optoelectronic properties of rare earth materials from first principles calculations: EuMnO3 versus GdMnO3</t>
  </si>
  <si>
    <t>FERROELECTRICS</t>
  </si>
  <si>
    <t>Nanostructures; electronic structure; optical properties; &gt;</t>
  </si>
  <si>
    <t>MAGNETIC-PROPERTIES</t>
  </si>
  <si>
    <t>The electronic band structure, density of states, complex dielectric function, and optical absorption of orthorhombic ReMnO3 were investigated using the density functional theory formalism, considering the local density approximation. In the range between 200 and 230 nm, approximately, optical absorption decreases. However, starting from 230 nm to larger wavelengths, the optical absorption increases more quickly due to the appearance of transitions involving mainly O-2p states, toward Eu-4f and Gd-4f states. Finally, the complex dielectric function and the optical absorption of ReMnO3 were shown to be sensitive to the plane of polarization of the incident light.</t>
  </si>
  <si>
    <t>[Ferreira, W. S.] Univ Estadual Maranhao, Grp Magnetoeletricidade, GRUMA Dept Fis, Sao Luis, MA, Brazil</t>
  </si>
  <si>
    <t>Universidade Estadual do Maranhao</t>
  </si>
  <si>
    <t>Ferreira, WS (corresponding author), Univ Estadual Maranhao, Grp Magnetoeletricidade, GRUMA Dept Fis, Sao Luis, MA, Brazil.</t>
  </si>
  <si>
    <t>welberthsf@gmail.com</t>
  </si>
  <si>
    <t>Ferreira, Welberth/0000-0001-7141-9501</t>
  </si>
  <si>
    <t>FAPEMA</t>
  </si>
  <si>
    <t>FAPEMA(Fundacao de Amparo a Pesquisa e Desenvolvimento Cientifico do Maranhao (FAPEMA))</t>
  </si>
  <si>
    <t>The authors would like to acknowledge the financial support provided by FAPEMA during the development of the work.</t>
  </si>
  <si>
    <t>0015-0193</t>
  </si>
  <si>
    <t>1563-5112</t>
  </si>
  <si>
    <t>Ferroelectrics</t>
  </si>
  <si>
    <t>SEP 10</t>
  </si>
  <si>
    <t>10.1080/00150193.2023.2215521</t>
  </si>
  <si>
    <t>Materials Science, Multidisciplinary; Physics, Condensed Matter</t>
  </si>
  <si>
    <t>Materials Science; Physics</t>
  </si>
  <si>
    <t>N9IE7</t>
  </si>
  <si>
    <t>WOS:001040057200006</t>
  </si>
  <si>
    <t>Ham, S</t>
  </si>
  <si>
    <t>Ham, Sejung</t>
  </si>
  <si>
    <t>Understandings of race and racism in globalizing higher education: when east Asian international student perspectives resonate with color-blindness</t>
  </si>
  <si>
    <t>RACE ETHNICITY AND EDUCATION</t>
  </si>
  <si>
    <t>Race; racism; color-blindness; international student; global higher education</t>
  </si>
  <si>
    <t>MULTICULTURAL EDUCATION; SOUTH-KOREA; SELF; PERCEPTIONS; CHILDREN; POLICY</t>
  </si>
  <si>
    <t>This article examines how class, race, and neoliberal cultural logics are intertwined with the understanding of race and racism among Chinese and Korean international undergraduate students, drawing on data from an 18-month ethnography. The data suggests that the discourse of color-blind racial ideology and the positionality of the 'strategic cosmopolitan' interactively fabricate the perspective of East Asian international students. Specifically, their motivation for acquiring globally competitive cultural capital is connected to the pursuit of White capital. Despite aspiring to be cosmopolitan, students find themselves socially isolated on campus, which is attributed to cultural differences and individual responsibility rather than racial dynamics. Students tend to deny the existence of racial discrimination or avoid discussing racism, distancing themselves from ostensible racial subordinates while emphasizing individual responsibility and meritocracy. By investigating these dynamics, the article adds complexity to the understanding of racism and diversity in global higher education.</t>
  </si>
  <si>
    <t>[Ham, Sejung] Duksung Womens Univ, Dept Cultural Anthropol, Seoul, South Korea</t>
  </si>
  <si>
    <t>Duksung Women's University</t>
  </si>
  <si>
    <t>Ham, S (corresponding author), Duksung Womens Univ, Dept Cultural Anthropol, Seoul, South Korea.</t>
  </si>
  <si>
    <t>hamsejung10@duksung.ac.kr</t>
  </si>
  <si>
    <t>1361-3324</t>
  </si>
  <si>
    <t>1470-109X</t>
  </si>
  <si>
    <t>RACE ETHNIC EDUC-UK</t>
  </si>
  <si>
    <t>Race Ethn. Educ.</t>
  </si>
  <si>
    <t>10.1080/13613324.2023.2257138</t>
  </si>
  <si>
    <t>Education &amp; Educational Research; Ethnic Studies</t>
  </si>
  <si>
    <t>R0OA3</t>
  </si>
  <si>
    <t>WOS:001061409300001</t>
  </si>
  <si>
    <t>Panchal, R; Jani, M; Vyas, SM; Pavagadhi, H</t>
  </si>
  <si>
    <t>Panchal, Reena; Jani, Maunik; Vyas, S. M.; Pavagadhi, Himanshu</t>
  </si>
  <si>
    <t>Surface study and characteristics of Bi2Sb2.9Te0.1 pellet</t>
  </si>
  <si>
    <t>Bismuth antimony; XRD; FT-IR; SEM; EDAX; &gt;</t>
  </si>
  <si>
    <t>ELECTRICAL-PROPERTIES; TRANSPORT-PROPERTIES; BI; MAGNETOREFLECTION</t>
  </si>
  <si>
    <t>The V-VI group of semiconductor materials have a narrow bandgap which is widely used for fabrication of optoelectronic devices. Bi2Sb2.9Te0.1 pellet (Bulk) was prepared using a compression method. Here, the structural property, optical property and surface topology of the material have been studied and the results and conclusion of these properties were discussed and reported in this article.</t>
  </si>
  <si>
    <t>[Panchal, Reena] Shri Govind Guru Univ, Godhra, Gujarat, India; [Jani, Maunik] Shri Govind Guru Univ, Sigma Inst Sci, Godhra, Gujarat, India; [Vyas, S. M.; Pavagadhi, Himanshu] Gujarat Univ, Sch Sci, Dept Phys, Ahmadabad, Gujarat, India</t>
  </si>
  <si>
    <t>Gujarat University</t>
  </si>
  <si>
    <t>Panchal, R (corresponding author), Shri Govind Guru Univ, Godhra, Gujarat, India.</t>
  </si>
  <si>
    <t>reena.jp05@gmail.com</t>
  </si>
  <si>
    <t>PAVAGADHI, HIMANSHU/0009-0001-4287-7615</t>
  </si>
  <si>
    <t>10.1080/00150193.2023.2215505</t>
  </si>
  <si>
    <t>WOS:001040057200014</t>
  </si>
  <si>
    <t>Santori, D; Holloway, J</t>
  </si>
  <si>
    <t>Santori, Diego; Holloway, Jessica</t>
  </si>
  <si>
    <t>Knowledge-based resistance: the role of professional organisations in the struggle against statutory assessments in England</t>
  </si>
  <si>
    <t>PEDAGOGY CULTURE AND SOCIETY</t>
  </si>
  <si>
    <t>High-stakes testing; school accountability; resistance; network ethnography; More Than a Score campaign</t>
  </si>
  <si>
    <t>POLICY; ACCOUNTABILITY; GOVERNANCE</t>
  </si>
  <si>
    <t>This paper aims to map and understand tactics and practices of resistance to standardised testing in England by focusing on the More Than a Score (MTAS) campaign. More specifically, this paper examines the role of professional organisations affiliated to the MTAS campaign in the production and mobilisation of expert knowledge as a tool for resistance. In particular, by examining their transactions and exchanges, we identify three main tactics of resistance: i) a diffused policy approach, ii) expert reports, and iii) a deep understanding of network boundaries. The development and use of these tactics allowed MTAS to move beyond traditional forms of resistance, towards more complex and granular modes of refusal and contestation. We conclude with a discussion about how this work can extend our understanding of resistance and the tensions and compromise that multi-stakeholder resistance involve.</t>
  </si>
  <si>
    <t>[Santori, Diego] Kings Coll London, Sch Educ Commun &amp; Soc, London, England; [Holloway, Jessica] Australian Catholic Univ, Inst Learning Sci &amp; Teacher Educ, Melbourne, Australia</t>
  </si>
  <si>
    <t>University of London; King's College London; Australian Catholic University</t>
  </si>
  <si>
    <t>Santori, D (corresponding author), Kings Coll London, Sch Educ Commun &amp; Soc, London, England.</t>
  </si>
  <si>
    <t>diego.santori@kcl.ac.uk</t>
  </si>
  <si>
    <t>Holloway, Jessica/0000-0001-9267-3197</t>
  </si>
  <si>
    <t>We are grateful to Daniel Gellai for his help with the design of the network diagram.</t>
  </si>
  <si>
    <t>1468-1366</t>
  </si>
  <si>
    <t>1747-5104</t>
  </si>
  <si>
    <t>PEDAGOG CULT SOC</t>
  </si>
  <si>
    <t>Pedagog. Cult. Soc.</t>
  </si>
  <si>
    <t>10.1080/14681366.2023.2254782</t>
  </si>
  <si>
    <t>R2ZM4</t>
  </si>
  <si>
    <t>WOS:001063083200001</t>
  </si>
  <si>
    <t>Wargh, N; Piltti, J; Hedberg, P</t>
  </si>
  <si>
    <t>Wargh, Niklas; Piltti, Juha; Hedberg, Pirjo</t>
  </si>
  <si>
    <t>The performance of saliva test strips for determining ethanol levels, as compared to gas chromatography and breathalyser methods</t>
  </si>
  <si>
    <t>SCANDINAVIAN JOURNAL OF CLINICAL &amp; LABORATORY INVESTIGATION</t>
  </si>
  <si>
    <t>Alcohol (ethanol); saliva test; enzymatic assay; gas chromatography; breathalyser</t>
  </si>
  <si>
    <t>BLOOD-ALCOHOL CONCENTRATION; SERUM</t>
  </si>
  <si>
    <t>We set out to determine the performance of the Testi Technologies enzymatic assay saliva ethanol test strips of three different detection levels: 0 g/L, 0.2 g/L and 0.5 g/L, using as the reference method a gas chromatography analyser (GC). Alcohol levels were measured in 104 volunteers at up to three points in time, using up to three test strips per measurement, while gathering blood samples and breathalyser readings in parallel. The plasma alcohol concentrations (PAC) were determined from the plasma samples using GC. The qualitative results of the test strips were compared to the quantitative results from the reference method, as well as the breathalyser readings, and the amount of true and false positive and true and false negative results were classified using predetermined cut-off levels. The best performing test strips were the 0 g/L and the 0.2 g/L strips. The 0 g/L strips had a sensitivity and specificity of 1.00, as false negatives and false positives were not detected. The 0.2 g/L strips had a sensitivity and specificity [95% confidence interval (CI)] of 0.98 (0.96 - 1.00) and 0.83 (0.62 - 1.00) respectively, an accuracy of 0.97 (0.95 - 0.99), and a diagnostic odds ratio of 205.00 (35.33 - 1189.66). The test strips perform their intended purpose of screening for alcohol consumption well, with their great sensitivity as a defining property compared to other testing methods. For them to be able to be implemented in a clinical setting however, further refinement of the tests' characteristics would be required.</t>
  </si>
  <si>
    <t>[Wargh, Niklas; Piltti, Juha; Hedberg, Pirjo] Oulu Univ Hosp, NordLab Wellbeing Serv, Oulu 90220, Finland</t>
  </si>
  <si>
    <t>University of Oulu</t>
  </si>
  <si>
    <t>Hedberg, P (corresponding author), Oulu Univ Hosp, NordLab Wellbeing Serv, Oulu 90220, Finland.</t>
  </si>
  <si>
    <t>pirjo.hedberg@nordlab.fi</t>
  </si>
  <si>
    <t>0036-5513</t>
  </si>
  <si>
    <t>1502-7686</t>
  </si>
  <si>
    <t>SCAND J CLIN LAB INV</t>
  </si>
  <si>
    <t>Scand. J. Clin. Lab. Invest.</t>
  </si>
  <si>
    <t>10.1080/00365513.2023.2255970</t>
  </si>
  <si>
    <t>Medicine, Research &amp; Experimental</t>
  </si>
  <si>
    <t>Research &amp; Experimental Medicine</t>
  </si>
  <si>
    <t>R3JI9</t>
  </si>
  <si>
    <t>WOS:001063344700001</t>
  </si>
  <si>
    <t>Chang, CT; Gorby, TA; Shaw, BR; Solin, J; Robinson, P; Tiles, K; Cook, C</t>
  </si>
  <si>
    <t>Chang, Chen-Ting; Gorby, Tricia A.; Shaw, Bret R.; Solin, Jeremy; Robinson, Patrick; Tiles, Kris; Cook, Chad</t>
  </si>
  <si>
    <t>Influence of learner characteristics on optimal knowledge acquisition among Wisconsin maple syrup producers</t>
  </si>
  <si>
    <t>JOURNAL OF AGRICULTURAL EDUCATION &amp; EXTENSION</t>
  </si>
  <si>
    <t>Maple syrup production; adult learning theory; information sources; learning motivations; opinion leadership; early adopters of technology</t>
  </si>
  <si>
    <t>ADVISORY SERVICES; OPINION LEADERS; NETWORKS; FORESTRY; ADOPTION; MOTIVATION; EDUCATION; DYNAMICS; BUSINESS; EXCHANGE</t>
  </si>
  <si>
    <t>PurposeUsing the framework of Adult Learning Theory, this study worked to uncover the composition of rural landowners' information sources and learner characteristics that impact information-seeking behavior among maple syrup producers in Wisconsin.DesignRegression models were used to analyze data from a survey targeted at Wisconsin maple syrup producers (N = 677).FindingsMaple syrup producers mostly learn through interactions with peers and underutilize expert resources, but opinion leaders and early adopters of new technologies are more likely to seek information through both formal and informal knowledge networks than maple producers who are not influencers in their community. Extrinsic motivation was associated with maple producers' tendency to engage in optimal knowledge acquisition, whereas intrinsic motivation was not.Practical implicationsProfessionals can optimize resources to design outreach programs and develop marketing strategies by targeting landowners based on their learner characteristics.Theoretical implicationsOur research contributes to the adult learning literature and advances the theoretical understanding of micro-Agricultural Knowledge and Innovation Systems by investigating the influence of different types of learning motivations on optimal knowledge acquisition.Originality/ValueThis study identified landowner characteristics related to optimal knowledge acquisition and is the first to highlight the roles of family legacy and social norms as motivators that drive maple producers to acquire new skills and knowledge.</t>
  </si>
  <si>
    <t>[Chang, Chen-Ting] Univ Wisconsin Madison, Dept Commun Arts, Madison, WI 53706 USA; [Gorby, Tricia A.; Shaw, Bret R.; Solin, Jeremy; Robinson, Patrick; Tiles, Kris] Univ Wisconsin Madison, Div Extens, Madison, WI USA; [Shaw, Bret R.; Cook, Chad] Univ Wisconsin Madison, Dept Life Sci Commun, Madison, WI USA; [Gorby, Tricia A.] Univ Wisconsin Madison, Div Extens, 432 N Lake St,Room 635,821 Univ Ave, Madison, WI 53706 USA</t>
  </si>
  <si>
    <t>University of Wisconsin System; University of Wisconsin Madison; University of Wisconsin System; University of Wisconsin Madison; University of Wisconsin System; University of Wisconsin Madison; University of Wisconsin System; University of Wisconsin Madison</t>
  </si>
  <si>
    <t>Chang, CT (corresponding author), Univ Wisconsin Madison, Dept Commun Arts, Madison, WI 53706 USA.;Gorby, TA (corresponding author), Univ Wisconsin Madison, Div Extens, Madison, WI USA.;Gorby, TA (corresponding author), Univ Wisconsin Madison, Div Extens, 432 N Lake St,Room 635,821 Univ Ave, Madison, WI 53706 USA.</t>
  </si>
  <si>
    <t>cchang226@wisc.edu; tricia.gorby@wisc.edu</t>
  </si>
  <si>
    <t>This article's contents are solely the responsibility of the authors and do not necessarily reflect the official views of the USDA. This study complies with US law and is approved by the Institutional Review Board for the Protection of Human Subjects in Re; Wisconsin Maple Syrup Producers Association, Wisconsin Woodland Owners Association; Wisconsin Farmers Union; Wisconsin Tribal Conservation Advisory Council; Forest Data Network</t>
  </si>
  <si>
    <t>This article's contents are solely the responsibility of the authors and do not necessarily reflect the official views of the USDA. This study complies with US law and is approved by the Institutional Review Board for the Protection of Human Subjects in Research at the University of Wisconsin-Madison. We thank the advisor board and participants of the pilot test for providing valuable insight and expertise that greatly assisted the research. We appreciate the partnership with the Wisconsin Maple Syrup Producers Association, Wisconsin Woodland Owners Association, Wisconsin Farmers Union, Wisconsin Tribal Conservation Advisory Council, Forest Data Network, Great Lakes Indian Fish and Wildlife Commission, UW-Stevens Point Forestry Center, Roth Sugarbush, Maple Hollow, The Maple Dude, and Smokey Lake in helping us distribute the survey. We sincerely appreciate the support of colleagues who contributed to important elements of the overall project, including conceptualization, budget management, and partner development. We greatly appreciate the involvement and dedication of the following individuals (listed in alphabetical order based on last name): Brian Gauthier, Evelyn Hammond, Tony Johnson, Darrin Kimbler, William Klase, Brian Kline, John Kriva, Amy Nosal, Samuel Pratsch, Scott Sanford, and Cathy Techtmann.</t>
  </si>
  <si>
    <t>1389-224X</t>
  </si>
  <si>
    <t>1750-8622</t>
  </si>
  <si>
    <t>J AGRIC EDUC EXT</t>
  </si>
  <si>
    <t>J. Agric. Educ. Ext.</t>
  </si>
  <si>
    <t>2023 SEP 9</t>
  </si>
  <si>
    <t>10.1080/1389224X.2023.2254286</t>
  </si>
  <si>
    <t>Education &amp; Educational Research; Environmental Studies</t>
  </si>
  <si>
    <t>Education &amp; Educational Research; Environmental Sciences &amp; Ecology</t>
  </si>
  <si>
    <t>R2ZT3</t>
  </si>
  <si>
    <t>WOS:001063090600001</t>
  </si>
  <si>
    <t>Gong, B; Lin, SQ; Wang, P</t>
  </si>
  <si>
    <t>Gong, Bo; Lin, Shuqin; Wang, Ping</t>
  </si>
  <si>
    <t>School education from the perspective of phenomenological pedagogy</t>
  </si>
  <si>
    <t>ASIA-PACIFIC JOURNAL OF TEACHER EDUCATION</t>
  </si>
  <si>
    <t>[Gong, Bo] Hubei Normal Univ, Huangshi, Peoples R China; [Lin, Shuqin] Minnan Normal Univ, Zhangzhou, Peoples R China</t>
  </si>
  <si>
    <t>Hubei Normal University; MinNan Normal University</t>
  </si>
  <si>
    <t>Lin, SQ (corresponding author), Minnan Normal Univ, Zhangzhou, Peoples R China.</t>
  </si>
  <si>
    <t>cindy_2022@126.com</t>
  </si>
  <si>
    <t>1359-866X</t>
  </si>
  <si>
    <t>1469-2945</t>
  </si>
  <si>
    <t>ASIA-PAC J TEACH EDU</t>
  </si>
  <si>
    <t>Asia-Pac. J. Teach. Educ.</t>
  </si>
  <si>
    <t>10.1080/1359866X.2023.2253541</t>
  </si>
  <si>
    <t>R8MX7</t>
  </si>
  <si>
    <t>WOS:001066854100001</t>
  </si>
  <si>
    <t>Henshaw, K; Mandjes, M; Constantinescu, C</t>
  </si>
  <si>
    <t>Henshaw, Kira; Mandjes, Michel; Constantinescu, Corina</t>
  </si>
  <si>
    <t>A stochastic model of group wealth responses to insurance mechanisms in low-income communities</t>
  </si>
  <si>
    <t>SCANDINAVIAN ACTUARIAL JOURNAL</t>
  </si>
  <si>
    <t>Risk-sharing; inclusive insurance; microinsurance; stochastic dissemination model; wealth distribution; Markov modulation; subsidies</t>
  </si>
  <si>
    <t>RISK-SHARING NETWORKS; INDEX INSURANCE; P2P INSURANCE; PROTECTION</t>
  </si>
  <si>
    <t>This study addresses the group-based nature of financial vulnerability in the low-income environment. Adopting a highly flexible stochastic dissemination model, we assess the impact of insurance on the resilience of a low-income group to wealth shocks. For this purpose, the transient wealth of a group of interacting uninsured and insured agents is considered. The model is extended to capture four types of transaction events: external arrivals, internal redistributions, wealth losses and premium payments. Risk-sharing mechanisms, mitigating the impact of financial losses that are otherwise uninsured, are widespread in low-income communities. Our modelling of redistribution events captures the wealth transactions associated with these mechanisms, alongside the purchase of commodities and services from within the group. Through this set-up, we present a method for incorporating the high level of wealth interaction characteristic of the low-income setting in the assessment of the effectiveness of insurance. The model is underlined by an exogenously evolving Markov background process that represents the state of the economy. To analyse the distribution of wealth jointly with the state of the background process, a system of coupled differential equations for the joint transient distribution of agent wealth is derived, and is reduced to a linear system of differential equations through consideration of the moments of agent wealth. Sensitivity analysis is performed to establish the impact of the system's structure and stochastic dynamics on the wealth of the group. The probability of falling below the poverty line is then determined through application of a normal approximation and the impact of insurance in reducing this probability considered under varying levels of subsidisation.</t>
  </si>
  <si>
    <t>[Henshaw, Kira; Constantinescu, Corina] Univ Liverpool, Inst Financial &amp; Actuarial Math, Dept Math Sci, Liverpool, England; [Mandjes, Michel] Univ Amsterdam, Korteweg de Vries Inst Math, Amsterdam, Netherlands; [Mandjes, Michel] Univ Amsterdam, Fac Econ &amp; Business, Amsterdam Business Sch, NL-1018 TV Amsterdam, Netherlands; [Mandjes, Michel] Eurandom Eindhoven Univ Technol, Eindhoven, Netherlands</t>
  </si>
  <si>
    <t>University of Liverpool; University of Amsterdam; University of Amsterdam</t>
  </si>
  <si>
    <t>Henshaw, K (corresponding author), Univ Liverpool, Inst Financial &amp; Actuarial Math, Dept Math Sci, Liverpool, England.</t>
  </si>
  <si>
    <t>k.henshaw@liverpool.ac.uk</t>
  </si>
  <si>
    <t>Henshaw, Kira/0000-0002-9018-7993</t>
  </si>
  <si>
    <t>Engineering and Physical Sciences Research Council (EPSRC) [EP/W522399/1]; EPSRC and ESRC Centre for Doctoral Training on Quantification and Management of Risk Uncertainty in Complex Systems Environments [EP/L015927/1]; NWO Gravitation project Networks [024.002.003]</t>
  </si>
  <si>
    <t>Engineering and Physical Sciences Research Council (EPSRC)(UK Research &amp; Innovation (UKRI)Engineering &amp; Physical Sciences Research Council (EPSRC)); EPSRC and ESRC Centre for Doctoral Training on Quantification and Management of Risk Uncertainty in Complex Systems Environments; NWO Gravitation project Networks</t>
  </si>
  <si>
    <t>The work of K.H and C.C was supported by Engineering and Physical Sciences Research Council (EPSRC) under Grant No. EP/W522399/1 and the EPSRC and ESRC Centre for Doctoral Training on Quantification and Management of Risk Uncertainty in Complex Systems Environments under Grant No. EP/L015927/1. The work of M.M was supported by the NWO Gravitation project Networks under Grant No. 024.002.003.</t>
  </si>
  <si>
    <t>0346-1238</t>
  </si>
  <si>
    <t>1651-2030</t>
  </si>
  <si>
    <t>SCAND ACTUAR J</t>
  </si>
  <si>
    <t>Scand. Actuar. J.</t>
  </si>
  <si>
    <t>10.1080/03461238.2023.2251197</t>
  </si>
  <si>
    <t>Mathematics, Interdisciplinary Applications; Social Sciences, Mathematical Methods; Statistics &amp; Probability</t>
  </si>
  <si>
    <t>Mathematics; Mathematical Methods In Social Sciences</t>
  </si>
  <si>
    <t>R5IS0</t>
  </si>
  <si>
    <t>WOS:001064692100001</t>
  </si>
  <si>
    <t>Jin, WX; Ping, CS; Jun, W; Peng, Z; Feng, B; Da Jun, F; Nan, LY; Fei, NX; Junhui, Z</t>
  </si>
  <si>
    <t>Jin, Wang Xian; Ping, Chen Shu; Jun, Wen; Peng, Zhang; Feng, Bai; Da Jun, Fan; Nan, Li Ya; Fei, Niu Xiao; Junhui, Zhang</t>
  </si>
  <si>
    <t>Cryogenic distribution system design for cryomodules and cavities test in HIAF project</t>
  </si>
  <si>
    <t>JOURNAL OF NUCLEAR SCIENCE AND TECHNOLOGY</t>
  </si>
  <si>
    <t>HIAF; cryogenic distribution system; superfluid helium; cavity test; cryomodule test; thermoacoustic oscillations</t>
  </si>
  <si>
    <t>ACOUSTIC-OSCILLATIONS; PERFORMANCE; OPERATION</t>
  </si>
  <si>
    <t>High-intensity heavy-ion accelerator facility (HIAF) is an accelerator-driven high-current heavy ion facility, currently under construction in Guangdong, China. The proton linear accelerator of HIAF linac has 96 superconducting cavities and 17 cryomodules cooled by 2 K saturated superfluid helium. Cryogenic tests should be carried out in a test cryogenic system prior to the online operation of each cavity and cryomodule. The cryogenic distribution system (CDS) is the main part of the test cryogenic system, which is used for transporting cryogenic fluid between helium refrigerator and test terminals. A specific CDS is developed due to the long cryogenic test time. Each test terminal can be independently cooled and heated up, saving quite a bit of time without impacting the others. This article provides comprehensive explanations for the process design, process analysis, and special structure design which enhance the system's maintainability. Furthermore, particular technical designs, such as measuring system, helium guard, and elimination of thermoacoustic oscillations, are described in detail.</t>
  </si>
  <si>
    <t>[Jin, Wang Xian; Ping, Chen Shu] Lanzhou Univ Technol, Coll Petrochem Engn, Lanzhou, Peoples R China; [Jin, Wang Xian; Jun, Wen; Peng, Zhang; Feng, Bai; Da Jun, Fan; Nan, Li Ya; Fei, Niu Xiao; Junhui, Zhang] Chinese Acad Sci, Inst Modern Phys, Lanzhou, Peoples R China; [Fei, Niu Xiao] Chinese Acad Sci, Inst Modern Phys, Lanzhou 730000, Peoples R China</t>
  </si>
  <si>
    <t>Lanzhou University of Technology; Chinese Academy of Sciences; Institute of Modern Physics, CAS; Chinese Academy of Sciences; Institute of Modern Physics, CAS</t>
  </si>
  <si>
    <t>Fei, NX (corresponding author), Chinese Acad Sci, Inst Modern Phys, Lanzhou 730000, Peoples R China.</t>
  </si>
  <si>
    <t>niuxiaofei@impcas.ac.cn</t>
  </si>
  <si>
    <t>0022-3131</t>
  </si>
  <si>
    <t>1881-1248</t>
  </si>
  <si>
    <t>J NUCL SCI TECHNOL</t>
  </si>
  <si>
    <t>J. Nucl. Sci. Technol.</t>
  </si>
  <si>
    <t>10.1080/00223131.2023.2253812</t>
  </si>
  <si>
    <t>Nuclear Science &amp; Technology</t>
  </si>
  <si>
    <t>R0OS3</t>
  </si>
  <si>
    <t>WOS:001061427800001</t>
  </si>
  <si>
    <t>Miller, G</t>
  </si>
  <si>
    <t>Miller, Gemma</t>
  </si>
  <si>
    <t>The Comedy of Errors</t>
  </si>
  <si>
    <t>SHAKESPEARE</t>
  </si>
  <si>
    <t>[Miller, Gemma] London Ctr, Ithaca Coll, London, England</t>
  </si>
  <si>
    <t>Miller, G (corresponding author), London Ctr, Ithaca Coll, London, England.</t>
  </si>
  <si>
    <t>millergemma@hotmail.com</t>
  </si>
  <si>
    <t>1745-0918</t>
  </si>
  <si>
    <t>1745-0926</t>
  </si>
  <si>
    <t>Shakespeare</t>
  </si>
  <si>
    <t>10.1080/17450918.2023.2255570</t>
  </si>
  <si>
    <t>Literature, British Isles; Theater</t>
  </si>
  <si>
    <t>Literature; Theater</t>
  </si>
  <si>
    <t>S1DR3</t>
  </si>
  <si>
    <t>WOS:001068647200001</t>
  </si>
  <si>
    <t>Hickson, J</t>
  </si>
  <si>
    <t>Hickson, James</t>
  </si>
  <si>
    <t>Freedom, domination and the gig economy</t>
  </si>
  <si>
    <t>NEW POLITICAL ECONOMY</t>
  </si>
  <si>
    <t>Freedom; domination; labour rights; gig economy</t>
  </si>
  <si>
    <t>WORK</t>
  </si>
  <si>
    <t>Employment practices in the gig economy have routinely been defended through the language of individual freedom. Indeed, this particular model of on-demand employment is often presented as removing constraints on the freedom to choose when, where and how to sell one's labour, enabling individuals to exercise greater self-authorship over their working lives. In this article, however, I show how the particular conception of freedom that underpins this pro-gig work discourse functions to obscure significant threats to the liberty of gig workers. An alternative perspective, inspired by the republican tradition of political thought, reveals instead how the structural vulnerability of gig workers exposes them to extraordinary forms of domination, compromising their freedom. Relative to typical employees in advanced capitalist labour markets, the precarious legal and economic status of gig workers leaves them less free, with fewer institutionalised resources to disarm the multiple forms of dominating, arbitrary power to which they are vulnerable. To maximise freedom within existing capitalist labour markets, on this republican view, we should seek to (re)build the rights and protections available to workers, rather than promote the further normalisation of under-regulated and precarious gig work.</t>
  </si>
  <si>
    <t>[Hickson, James] Univ Liverpool, Heseltine Inst Publ Policy Practice &amp; Pl, 1-7 Abercromby Sq, Liverpool L69 7WY, England</t>
  </si>
  <si>
    <t>University of Liverpool</t>
  </si>
  <si>
    <t>Hickson, J (corresponding author), Univ Liverpool, Heseltine Inst Publ Policy Practice &amp; Pl, 1-7 Abercromby Sq, Liverpool L69 7WY, England.</t>
  </si>
  <si>
    <t>james.hickson@liverpool.ac.uk</t>
  </si>
  <si>
    <t>Hickson, James/HRD-7945-2023</t>
  </si>
  <si>
    <t>Hickson, James/0000-0002-9933-0442</t>
  </si>
  <si>
    <t>Thanks to all those who have provided invaluable feedback and guidance on earlier iterations of this work, including: Tom Arnold, Claes Belfrage, Keith Breen, Catherine Durose, Matthew Festenstein, Adam Fusco, Alasia Nuti, Martin O'Neill, and Tom O'Shea, a</t>
  </si>
  <si>
    <t>Thanks to all those who have provided invaluable feedback and guidance on earlier iterations of this work, including: Tom Arnold, Claes Belfrage, Keith Breen, Catherine Durose, Matthew Festenstein, Adam Fusco, Alasia Nuti, Martin O'Neill, and Tom O'Shea, as well as two anonymous reviewers.</t>
  </si>
  <si>
    <t>1356-3467</t>
  </si>
  <si>
    <t>1469-9923</t>
  </si>
  <si>
    <t>NEW POLIT ECON</t>
  </si>
  <si>
    <t>New Polit. Econ.</t>
  </si>
  <si>
    <t>2023 SEP 8</t>
  </si>
  <si>
    <t>10.1080/13563467.2023.2254712</t>
  </si>
  <si>
    <t>Economics; International Relations; Political Science</t>
  </si>
  <si>
    <t>Business &amp; Economics; International Relations; Government &amp; Law</t>
  </si>
  <si>
    <t>Q8XP2</t>
  </si>
  <si>
    <t>WOS:001060297100001</t>
  </si>
  <si>
    <t>Rosenthal, SR; Gately, KA; Archibald, N; Baker, AB; Dawes, MP; Swanberg, JE</t>
  </si>
  <si>
    <t>Rosenthal, Samantha R.; Gately, Kelsey A.; Archibald, Natalya; Baker, Allyson B.; Dawes, Monique P.; Swanberg, Jennifer E.</t>
  </si>
  <si>
    <t>Substance Misuse among Sexual and Gender Minorities: The Role of Everyday Discrimination and Identity</t>
  </si>
  <si>
    <t>SUBSTANCE USE &amp; MISUSE</t>
  </si>
  <si>
    <t>Substance use; sexual orientation; gender identity; sexual and gender minorities; discrimination</t>
  </si>
  <si>
    <t>DISORDERS IDENTIFICATION TEST; MENTAL-HEALTH; ALCOHOL-USE; STRESS; FEMALE; DRINKING; AUDIT</t>
  </si>
  <si>
    <t>BackgroundSexual and gender minorities (SGMs) often deal with discrimination which can result in maladaptive coping like substance misuse, yet few studies have examined the association between everyday discrimination and various types of substance misuse among SGMs or whether there is heterogeneity in substance misuse or this relationship by SGM identity.MethodsData from 1316 adult SGMs in the United States were recruited from Reddit between February and March 2022. SGM identities (sexual minorities assigned male at birth (AMAB), sexual minorities assigned female at birth (AFAB), gender minorities AMAB, gender minorities AFAB), everyday discrimination, depressive symptoms, marijuana and alcohol misuse, over-the-counter drug misuse, prescription drug misuse, and heroin use were measured, along with demographics. Multivariable logistic regressions examined relationships between everyday discrimination and each substance misuse outcome, adjusting for SGM identity, race/ethnicity, age, income, and depressive symptoms. Interaction terms between everyday discrimination and SGM identities were added to each model to test for moderation.ResultsIn fully adjusted models, with each additional unit of everyday discrimination score, there were significantly increased odds of substance misuse for all outcomes. SGM by everyday discrimination interactions was significant for alcohol misuse, over-the-counter drug misuse, and heroin use, with the association between everyday discrimination and substance misuse stronger among gender minorities.ConclusionsSubstance misuse varied by SGM identity. Everyday discrimination was associated with substance misuse, but there was heterogeneity in this relationship between SGM identity and substance. Substance use disorder treatment and prevention among SGMs should consider heterogeneity by SGM identity and substance.</t>
  </si>
  <si>
    <t>[Rosenthal, Samantha R.; Archibald, Natalya; Swanberg, Jennifer E.] Johnson &amp; Wales Univ, Coll Hlth &amp; Wellness, Dept Hlth Sci, Providence, RI USA; [Rosenthal, Samantha R.] Brown Univ, Brown Sch Publ Hlth, Dept Epidemiol, Providence, RI 02912 USA; [Gately, Kelsey A.; Baker, Allyson B.; Dawes, Monique P.] Johnson &amp; Wales Univ, Coll Hlth &amp; Wellness, Dept Occupat Therapy, Providence, RI USA; [Rosenthal, Samantha R.] Johnson &amp; Wales Univ, Dept Hlth Sci, 8 Abbott Pk Pl, Providence, RI 02903 USA</t>
  </si>
  <si>
    <t>Brown University</t>
  </si>
  <si>
    <t>Rosenthal, SR (corresponding author), Brown Univ, Brown Sch Publ Hlth, Dept Epidemiol, Providence, RI 02912 USA.;Rosenthal, SR (corresponding author), Johnson &amp; Wales Univ, Dept Hlth Sci, 8 Abbott Pk Pl, Providence, RI 02903 USA.</t>
  </si>
  <si>
    <t>Srosenthal@jwu.edu</t>
  </si>
  <si>
    <t>Gately, Kelsey A/JAX-9816-2023</t>
  </si>
  <si>
    <t>Gately, Kelsey A/0000-0002-3440-1959</t>
  </si>
  <si>
    <t>This study was supported by an internal Johnson amp;amp; Wales University Provost Innovation Fund Award. We would like to thank Samantha Philippe, Carla Ibarra, Deanna Biddy, and Brian Harrington, without whom this study could not have been accomplished.; Johnson amp;amp; Wales University Provost Innovation Fund Award</t>
  </si>
  <si>
    <t>This study was supported by an internal Johnson &amp; Wales University Provost Innovation Fund Award. We would like to thank Samantha Philippe, Carla Ibarra, Deanna Biddy, and Brian Harrington, without whom this study could not have been accomplished.</t>
  </si>
  <si>
    <t>1082-6084</t>
  </si>
  <si>
    <t>1532-2491</t>
  </si>
  <si>
    <t>SUBST USE MISUSE</t>
  </si>
  <si>
    <t>Subst. Use Misuse</t>
  </si>
  <si>
    <t>10.1080/10826084.2023.2257309</t>
  </si>
  <si>
    <t>Substance Abuse; Psychiatry; Psychology</t>
  </si>
  <si>
    <t>R6NY1</t>
  </si>
  <si>
    <t>WOS:001065515600001</t>
  </si>
  <si>
    <t>Terao, T</t>
  </si>
  <si>
    <t>Terao, Takamichi</t>
  </si>
  <si>
    <t>Anomaly detection for structural formation analysis by autoencoders: application to soft matters</t>
  </si>
  <si>
    <t>PHILOSOPHICAL MAGAZINE</t>
  </si>
  <si>
    <t>Molecular dynamic simulations; structure analysis; crystallization</t>
  </si>
  <si>
    <t>IDENTIFICATION</t>
  </si>
  <si>
    <t>Machine-learning-based computational methods for structural analysis have been proposed to study colloidal systems. However, most of these methods are based on supervised learning, which suffers from the fundamental difficulty that neural networks cannot correctly discriminate a system that has not been learned in advance. To solve this problem, an anomaly detection method that uses an autoencoder (AE) to distinguish systems with unknown structures was developed. The performance of an AE and a convolutional AE was evaluated, and the properties exhibited by the trained and untrained images in the latent space of the AE with dimensionality reduction were clarified.</t>
  </si>
  <si>
    <t>[Terao, Takamichi] Gifu Univ, Dept Elect Elect &amp; Comp Engn, Gifu, Japan; [Terao, Takamichi] Gifu Univ, Dept Elect Elect &amp; Comp Engn, Yanagido 1-1, Gifu 5011193, Japan</t>
  </si>
  <si>
    <t>Gifu University; Gifu University</t>
  </si>
  <si>
    <t>Terao, T (corresponding author), Gifu Univ, Dept Elect Elect &amp; Comp Engn, Yanagido 1-1, Gifu 5011193, Japan.</t>
  </si>
  <si>
    <t>terao.takamichi.x0@f.gifu-u.ac.jp</t>
  </si>
  <si>
    <t>JSPS KAKENHI [20K11848]</t>
  </si>
  <si>
    <t>JSPS KAKENHI(Ministry of Education, Culture, Sports, Science and Technology, Japan (MEXT)Japan Society for the Promotion of ScienceGrants-in-Aid for Scientific Research (KAKENHI))</t>
  </si>
  <si>
    <t>The author acknowledges the Supercomputer Center at the University of Tokyo for the use of their facilities. This work was supported by JSPS KAKENHI (Grant Number 20K11848).</t>
  </si>
  <si>
    <t>1478-6435</t>
  </si>
  <si>
    <t>1478-6443</t>
  </si>
  <si>
    <t>PHILOS MAG</t>
  </si>
  <si>
    <t>Philos. Mag.</t>
  </si>
  <si>
    <t>10.1080/14786435.2023.2251408</t>
  </si>
  <si>
    <t>Q8YX9</t>
  </si>
  <si>
    <t>WOS:001060331800001</t>
  </si>
  <si>
    <t>Weksler, A</t>
  </si>
  <si>
    <t>Weksler, Assaf</t>
  </si>
  <si>
    <t>Perception and Disjunctive Belief: A New Problem for Ambitious Predictive Processing</t>
  </si>
  <si>
    <t>predictive coding; predictive processing; Bayesian brain; the content of perception; the perception-cognition interface</t>
  </si>
  <si>
    <t>Perception can't have disjunctive content. Whereas you can think that a box is blue or red, you can't see a box as being blue or red. Based on this fact, I develop a new problem for the ambitious predictive processing theory, on which the brain is a machine for minimizing prediction error, which approximately implements Bayesian inference. I describe a simple case of updating a disjunctive belief given perceptual experience of one of the disjuncts, in which Bayesian inference and predictive coding pull in opposite directions, with the former implying that one's confidence in the belief should increase, and the latter implying that it should decrease. Thus, predictive coding fails to approximately implement Bayesian inference across the interface between belief and perception.</t>
  </si>
  <si>
    <t>[Weksler, Assaf] Univ Haifa, Haifa, Israel; [Weksler, Assaf] Open Univ Israel, Raanana, Israel</t>
  </si>
  <si>
    <t>University of Haifa; Open University Israel</t>
  </si>
  <si>
    <t>Weksler, A (corresponding author), Univ Haifa, Haifa, Israel.;Weksler, A (corresponding author), Open Univ Israel, Raanana, Israel.</t>
  </si>
  <si>
    <t>I would also like to thank Yochai Ataria, Dan Baras, Jonathan Berg, Adam Bradley, Peter Brouml;ssel, Baruch Eitam, David Enoch, Hagit Hel-Or, Uri Hertz, Aviv Keren, Assaf Kron, Jason Leddington, Arnon Levy, Oded Na'aman, Bence Nanay, Ittay Nissan-Rozen, H</t>
  </si>
  <si>
    <t>This research was supported by an ISF grant no. 715/20 and also by a grant from the John Templeton Foundation (Prime Award no. 48365) as part of the Summer Seminars in Neuroscience and Philosophy (SSNAP, subcontract no. 283-2608).r I have presented earlier versions of this paper at the Centre for Philosophical Psychology at The University of Antwerp, at the Department of Cognitive Science at the University of Haifa, at the 10th meeting of the European Society for Analytic Philosophy (Utrecht), at the Department of Philosophy at the Hebrew University of Jerusalem, and at the Philosophy Colloquium of Tel-Hai Academic College.r I would also like to thank Yochai Ataria, Dan Baras, Jonathan Berg, Adam Bradley, Peter Brossel, Baruch Eitam, David Enoch, Hagit Hel-Or, Uri Hertz, Aviv Keren, Assaf Kron, Jason Leddington, Arnon Levy, Oded Na'aman, Bence Nanay, Ittay Nissan-Rozen, Hadas Okon-Singer, Eli Pitcovski, Gal Richter-Levin, Eva Schmidt, Oron Shagrir, Jerry Viera, Preston Werner, and Yaffa Yeshurun for helpful comments.</t>
  </si>
  <si>
    <t>10.1080/00048402.2023.2251035</t>
  </si>
  <si>
    <t>Q9RF3</t>
  </si>
  <si>
    <t>WOS:001060809100001</t>
  </si>
  <si>
    <t>Zhang, LH; Ding, TH; Fu, YC</t>
  </si>
  <si>
    <t>Zhang, Lihan; Ding, Tianhuan; Fu, Yongcheng</t>
  </si>
  <si>
    <t>Do measurement methods matter? A meta-analysis of antecedents and outcomes of contractual governance in interorganisational relationships</t>
  </si>
  <si>
    <t>PRODUCTION PLANNING &amp; CONTROL</t>
  </si>
  <si>
    <t>Contractual governance; relational governance; exchange hazards; performance; measurement; meta-analysis</t>
  </si>
  <si>
    <t>BUYER-SUPPLIER RELATIONSHIPS; POST TRANSACTION COSTS; CONSTRUCTION PROJECTS; FORMAL CONTRACTS; EXCHANGE HAZARDS; EX-ANTE; TRUST; PERFORMANCE; MECHANISMS; DESIGN</t>
  </si>
  <si>
    <t>Existing literature uses multiple measurement methods for contractual governance; however, it is unclear whether such differences impact the effect sizes of the relationships between contractual governance and its antecedents and outcomes in interorganisational relationships. This study revisits commonly explored relationships by examining the moderating impacts of the measurement factors. We meta-analysed 141 articles involving 32,763 interorganisational relationships. The results indicate that subjective and objective measurements cannot be interchangeable in certain relationships. Contractual governance, measured by multiple dimensions and multiple items per dimension, exhibits a stronger relationship with other constructs. Furthermore, mixing contract provisions and contract applications when using reflective indicators to measure contractual governance is not a serious issue. These findings advance our understanding of the boundary conditions of the relationships between contractual governance and other constructs. An implication for managers is that they should pay attention to both contracts per se and how contracts are subjectively perceived.</t>
  </si>
  <si>
    <t>[Zhang, Lihan; Ding, Tianhuan] Hebei Univ Technol, Sch Econ &amp; Management, Tianjin, Peoples R China; [Fu, Yongcheng] Tianjin Univ, Coll Management &amp; Econ, Tianjin, Peoples R China</t>
  </si>
  <si>
    <t>Hebei University of Technology; Tianjin University</t>
  </si>
  <si>
    <t>Fu, YC (corresponding author), Tianjin Univ, Coll Management &amp; Econ, Tianjin, Peoples R China.</t>
  </si>
  <si>
    <t>yongcheng_fu@126.com</t>
  </si>
  <si>
    <t>National Natural Science Foundation of China (NSFC) [72101175, 72001067, 72031008]</t>
  </si>
  <si>
    <t>National Natural Science Foundation of China (NSFC)(National Natural Science Foundation of China (NSFC))</t>
  </si>
  <si>
    <t>This work was supported by the National Natural Science Foundation of China (NSFC) under Grand Number 72101175, 72001067, and 72031008.</t>
  </si>
  <si>
    <t>0953-7287</t>
  </si>
  <si>
    <t>1366-5871</t>
  </si>
  <si>
    <t>PROD PLAN CONTROL</t>
  </si>
  <si>
    <t>Prod. Plan. Control</t>
  </si>
  <si>
    <t>10.1080/09537287.2023.2255869</t>
  </si>
  <si>
    <t>Engineering, Industrial; Engineering, Manufacturing; Operations Research &amp; Management Science</t>
  </si>
  <si>
    <t>R3IP1</t>
  </si>
  <si>
    <t>WOS:001063324900001</t>
  </si>
  <si>
    <t>Asadi, I; Cheraghi, M; Lorestani, B; Merrikhpour, H; Ardakani, SS</t>
  </si>
  <si>
    <t>Asadi, Iraj; Cheraghi, Mehrdad; Lorestani, Bahareh; Merrikhpour, Hajar; Ardakani, Soheil Sobhan</t>
  </si>
  <si>
    <t>Ecological risk assessment of potentially toxic elements (PTEs) in agricultural soils of western Iran using geochemical data and statistical analysis</t>
  </si>
  <si>
    <t>INTERNATIONAL JOURNAL OF ENVIRONMENTAL ANALYTICAL CHEMISTRY</t>
  </si>
  <si>
    <t>Heavy metals; environmental pollution; geochemical data; potential ecological risk assessment</t>
  </si>
  <si>
    <t>HEAVY-METALS CONCENTRATION; SOURCE IDENTIFICATION; POLLUTION; HEALTH; AREA; ZN; PB; ENVIRONMENT; PLANTS; LEAD</t>
  </si>
  <si>
    <t>Environmental pollution is a serious problem in many parts of the world, especially in developing countries such as Iran. This study was conducted to investigate chemical pollution by selected heavy metals in the southern cities of Hamadan province, west of Iran including Malayer, Toyserkan, and Nahavand. A total of 90 soil samples were collected from a depth of 0 to 30 cm of agricultural lands. The state of soil pollution was analyzed using geochemical indicators, pollution coefficient, pollution level, and potential ecological risk indices. The highest concentration of arsenic and cadmium in the soil of city of Toyserkan with an average of 19.46 and 0.25 mg kg-1 respectively, and the highest concentration of iron, cobalt, chromium, and antimony in the soil of city of Malayer with an average of 4.36, 20.8, 114.67 and 4.62 mg kg-1 respectively, and the highest concentrations of manganese, copper, and nickel in the soil of city of Nahavand were 268.95, 38.58, and 81.83 mg kg-1, respectively. The results showed that there was a significant difference between the average concentrations of the measured metals in the three cities. In all the studied cities, Mueller's geochemical index was in the non-polluted category, the pollution coefficient was in the low to medium pollution category, the pollution index was in the very low to high pollution category, and the environmental risk index for metals was in the low to very high environmental risk category. Investigation of pollution indicators showed that the soils of the studied areas are about to be polluted with heavy metals. Therefore, it is necessary to consider environmental aspects to reduce and prevent irreparable damage to the soil and the environmental cycle in the long run.</t>
  </si>
  <si>
    <t>[Asadi, Iraj; Cheraghi, Mehrdad; Lorestani, Bahareh; Ardakani, Soheil Sobhan] Islamic Azad Univ, Coll Basic Sci, Dept Environm, Hamedan Branch, Hamadan, Iran; [Merrikhpour, Hajar] Sayyed Jamaleddin Asadabadi Univ, Dept Agr, Asadabad, Iran; [Merrikhpour, Hajar] Shahid Beheshti Univ, Civil Water &amp; Environm Engn Fac, Tehran, Iran</t>
  </si>
  <si>
    <t>Islamic Azad University; Shahid Beheshti University</t>
  </si>
  <si>
    <t>Cheraghi, M (corresponding author), Islamic Azad Univ, Coll Basic Sci, Dept Environm, Hamedan Branch, Hamadan, Iran.</t>
  </si>
  <si>
    <t>cheraghi@iauh.ac.ir</t>
  </si>
  <si>
    <t>Sobhanardakani, Soheil/ISU-9319-2023</t>
  </si>
  <si>
    <t>0306-7319</t>
  </si>
  <si>
    <t>1029-0397</t>
  </si>
  <si>
    <t>INT J ENVIRON AN CH</t>
  </si>
  <si>
    <t>Int. J. Environ. Anal. Chem.</t>
  </si>
  <si>
    <t>2023 SEP 7</t>
  </si>
  <si>
    <t>10.1080/03067319.2023.2248582</t>
  </si>
  <si>
    <t>Chemistry, Analytical; Environmental Sciences</t>
  </si>
  <si>
    <t>Chemistry; Environmental Sciences &amp; Ecology</t>
  </si>
  <si>
    <t>Q7VF3</t>
  </si>
  <si>
    <t>WOS:001059557600001</t>
  </si>
  <si>
    <t>Cucu, AS; Kenny, B</t>
  </si>
  <si>
    <t>Cucu, Alina-Sandra; Kenny, Bridget</t>
  </si>
  <si>
    <t>The ordinary lives of crisis: transformations in the realm of work in South Africa and Romania</t>
  </si>
  <si>
    <t>HISTORY AND TECHNOLOGY</t>
  </si>
  <si>
    <t>2020; labour; non-eventful history; Romania; South Africa</t>
  </si>
  <si>
    <t>COMPARABILITY</t>
  </si>
  <si>
    <t>2020 emerged as a 'crisis in the world of work'. Reflections upon how the pandemic would accelerate pervasive joblessness and changes in the workplace abounded, while academics and technocrats alike have translated its predicaments as a catalyst for a rapidly coming postwork future. Using illustrative vignettes from our own work on labour in South Africa and Romania, we discuss how the current labour/technology crisis has moved along structural axes of inequality and disempowerment in the world of work. We suggest that, as historians documenting the shifting nature of work and its relationship with technology, we should go against the grain when chronicling the current pandemic as a series of dramatic shifts and spectacular snapshots, and affirm non-eventful ways of writing history.</t>
  </si>
  <si>
    <t>[Cucu, Alina-Sandra] ICI Berlin Inst Cultural Inquiry, Berlin, Germany; [Kenny, Bridget] Univ Witwatersrand, Sociol Dept, Johannesburg, South Africa</t>
  </si>
  <si>
    <t>University of Witwatersrand</t>
  </si>
  <si>
    <t>Cucu, AS (corresponding author), ICI Berlin Inst Cultural Inquiry, Berlin, Germany.</t>
  </si>
  <si>
    <t>cucualinasandra@gmail.com</t>
  </si>
  <si>
    <t>European Commission [Marie Curie]; International Labour Organization</t>
  </si>
  <si>
    <t>European Commission [Marie Curie](European Union (EU)European Commission Joint Research Centre); International Labour Organization</t>
  </si>
  <si>
    <t>&amp; nbsp;The work was supported by the European Commission [Marie Curie]; International Labour Organization.</t>
  </si>
  <si>
    <t>0734-1512</t>
  </si>
  <si>
    <t>1477-2620</t>
  </si>
  <si>
    <t>HIST TECHNOL</t>
  </si>
  <si>
    <t>Hist. Technol.</t>
  </si>
  <si>
    <t>10.1080/07341512.2023.2251209</t>
  </si>
  <si>
    <t>R4IC1</t>
  </si>
  <si>
    <t>WOS:001063988800001</t>
  </si>
  <si>
    <t>Dias, AD</t>
  </si>
  <si>
    <t>Dias, Antonio de Sousa</t>
  </si>
  <si>
    <t>'Ce desert est faux': Thoughts on Restaging Constanca Capdeville's Scenic Works</t>
  </si>
  <si>
    <t>CONTEMPORARY MUSIC REVIEW</t>
  </si>
  <si>
    <t>Constanca Capdeville; music theatre; musicology; performance art documentation; restaging</t>
  </si>
  <si>
    <t>The oeuvre of Constanca Capdeville (1937-1992) includes a significant body of music theatre works that represent a challenge for restaging. The lack of systematic information makes it necessary for those who have worked with her to bequeath a living testimony of her work, whose conceptual approach represents an enrichment of the Portuguese musical panorama. 'Ce desert est faux'-Constanca Capdeville in memoriam (2012) is a music theatre performance based entirely on Capdeville's music theatre works, proposing a stage production enacted in her spirit. In fact, from the choice of works and excerpts to be included in the performance to their distribution and staging, the main objective guiding this project aims to establish a context that would allow for Capdeville's music theatre works to be experienced just as they were conceived. The strategies respecting Capdeville's typical procedures are also discussed in this study.</t>
  </si>
  <si>
    <t>[Dias, Antonio de Sousa] Univ Lisbon, Fac Fine Arts, Lisbon, Portugal</t>
  </si>
  <si>
    <t>Universidade de Lisboa</t>
  </si>
  <si>
    <t>Dias, AD (corresponding author), Univ Lisbon, Fac Fine Arts, Lisbon, Portugal.</t>
  </si>
  <si>
    <t>a.sousadias@belasartes.ulisboa.pt</t>
  </si>
  <si>
    <t>0749-4467</t>
  </si>
  <si>
    <t>1477-2256</t>
  </si>
  <si>
    <t>CONTEMP MUSIC REV</t>
  </si>
  <si>
    <t>Contemp. Music Rev.</t>
  </si>
  <si>
    <t>10.1080/07494467.2023.2251312</t>
  </si>
  <si>
    <t>Music</t>
  </si>
  <si>
    <t>R2ZV8</t>
  </si>
  <si>
    <t>WOS:001063093100001</t>
  </si>
  <si>
    <t>Hassan, FU; Deng, TX; Rehman, MSU; Rehman, ZU; Sarfraz, S; Mushahid, M; Rehman, SU</t>
  </si>
  <si>
    <t>Hassan, Faiz-ul; Deng, Tingxian; Rehman, Muhammad Saif-ur; Rehman, Zia-ur; Sarfraz, Saad; Mushahid, Muhammad; Rehman, Saif ur</t>
  </si>
  <si>
    <t>Genome-wide identification and evolutionary analysis of the FGF gene family in buffalo</t>
  </si>
  <si>
    <t>JOURNAL OF BIOMOLECULAR STRUCTURE &amp; DYNAMICS</t>
  </si>
  <si>
    <t>FGF gene family; buffalo; enomic characterization; mutations; gene duplications</t>
  </si>
  <si>
    <t>FIBROBLAST-GROWTH-FACTOR; EXPRESSION PATTERNS; PRIMITIVE ENDODERM; PROTEIN-STRUCTURE; SEQUENCE; BOVINE; SEGREGATION; MECHANISMS; EMBRYOS; ROLES</t>
  </si>
  <si>
    <t>Fibroblast growth factors (FGFs) are important polypeptide growth factors that play a critical role in many developmental processes, including differentiation, cell proliferation, and migration in mammals. This study employs in silico analyses to characterize the FGF gene family in buffalo, investigating their genome-wide identification, physicochemical properties, and evolutionary patterns. For this purpose, genomic and proteomic sequences of buffalo, cattle, goat, and sheep were retrieved from NCBI database. We identified a total of 22 FGF genes in buffalo. Physicochemical properties observed through ProtParam tool showed notable features of these proteins including in-vitro instability, thermostability, hydrophilicity, and basic nature. Phylogenetic analysis grouped 22 identified genes into nine sub-families based on evolutionary relationships. Additionally, analysis of gene structure, motif patterns, and conserved domains using TBtools revealed the remarkable conservation of this gene family across selected species throughout the course of evolution. Comparative amino acid analysis performed through ClustalW demonstrated significant conservation between buffalo and cattle FGF proteins. Mutational analysis showed three non-synonymous mutations at positions R103 &gt; G, P7 &gt; L, and E98 &gt; Q in FGF4, FGF6, and FGF19, respectively in buffalo. Duplication events revealed only one segmental duplication (FGF10/FGF22) in buffalo and two in cattle (FGF10/FGF22 and FGF13/FGF13-like) with Ka/Ks values &lt;1 indicating purifying selection pressure for these duplications. Comparison of protein structures of buffalo, goat, and sheep exhibited more similarities in respective structures. In conclusion, our study highlights the conservation of the FGF gene family in buffalo during evolution. Furthermore, the identified non-synonymous mutations may have implications for the selection of animals with better performance.</t>
  </si>
  <si>
    <t>[Hassan, Faiz-ul; Rehman, Muhammad Saif-ur; Mushahid, Muhammad] Univ Agr Faisalabad, Inst Anim &amp; Dairy Sci, Fac Anim Husb, Faisalabad 38040, Pakistan; [Deng, Tingxian] Chinese Acad Agr Sci, Key Lab Buffalo Genet Breeding &amp; Reprod Technol, Minist Agr, Nanning, Peoples R China; [Deng, Tingxian] Chinese Acad Agr Sci, Guangxi Buffalo Res Inst, Nanning, Peoples R China; [Rehman, Zia-ur] Univ Agr Faisalabad, Faisalabad Sub Campus Toba Tek Sing, Faisalabad, Pakistan; [Sarfraz, Saad] Univ Agr Faisalabad, Ctr Agr Biochem &amp; Biotechnol CABB, Faisalabad, Pakistan; [Rehman, Saif ur] Guangdong Acad Med Sci, Guangdong Prov Peoples Hosp, Dept Reprod Med, Guangzhou 510080, Peoples R China</t>
  </si>
  <si>
    <t>University of Agriculture Faisalabad; Ministry of Agriculture &amp; Rural Affairs; Chinese Academy of Agricultural Sciences; Chinese Academy of Agricultural Sciences; University of Agriculture Faisalabad; University of Agriculture Faisalabad; Guangdong Academy of Medical Sciences &amp; Guangdong General Hospital; Southern Medical University - China</t>
  </si>
  <si>
    <t>Rehman, MSU (corresponding author), Univ Agr Faisalabad, Inst Anim &amp; Dairy Sci, Fac Anim Husb, Faisalabad 38040, Pakistan.;Rehman, SU (corresponding author), Guangdong Acad Med Sci, Guangdong Prov Peoples Hosp, Dept Reprod Med, Guangzhou 510080, Peoples R China.</t>
  </si>
  <si>
    <t>shsaifurehman@yahoo.com; saif_ali28@yahoo.com</t>
  </si>
  <si>
    <t>National Center for Livestock Breeding, Genetics and Genomics (NCLBGamp;G), Sub-Center UAF, Pakistan</t>
  </si>
  <si>
    <t>This study was funded by the National Center for Livestock Breeding, Genetics and Genomics (NCLBG &amp; amp;G), Sub-Center UAF, Pakistan.</t>
  </si>
  <si>
    <t>0739-1102</t>
  </si>
  <si>
    <t>1538-0254</t>
  </si>
  <si>
    <t>J BIOMOL STRUCT DYN</t>
  </si>
  <si>
    <t>J. Biomol. Struct. Dyn.</t>
  </si>
  <si>
    <t>10.1080/07391102.2023.2256861</t>
  </si>
  <si>
    <t>Biochemistry &amp; Molecular Biology; Biophysics</t>
  </si>
  <si>
    <t>R8ND4</t>
  </si>
  <si>
    <t>WOS:001066859800001</t>
  </si>
  <si>
    <t>Heumann, M; Morgan, KJ; Krumbholz, K; Militaru, A; Cassak, L</t>
  </si>
  <si>
    <t>Heumann, Milton; Morgan, Kyle J.; Krumbholz, Katie; Militaru, Alice; Cassak, Lance</t>
  </si>
  <si>
    <t>Strange, Unusual, and Creative Sentences: Analyzing Outside the Box Criminal Sentencing</t>
  </si>
  <si>
    <t>VICTIMS &amp; OFFENDERS</t>
  </si>
  <si>
    <t>Sentencing; criminal justice reform; incarceration; punishment; mass incarceration</t>
  </si>
  <si>
    <t>SHAMING PUNISHMENTS; ALTERNATIVE SANCTIONS; JUSTICE; QUESTIONS; OUTCOMES; WORKS</t>
  </si>
  <si>
    <t>This is an exploratory study of non-traditional criminal punishments, particularly focusing on the attitudes toward these sentences among prosecutors, defense attorneys, and judges. Through interviews with practitioners, this study explores among other things, if they had used, or advocated for, these types of sentences and why or why not. There was a broad openness to doing something different from the status quo of fine or jail, however it was tempered by concerns of bias and fairness. With considerations of mass incarceration dominating the reform conversation, we find that openness to individualizing sentences, albeit with guardrails, is reentering the reform conversation.</t>
  </si>
  <si>
    <t>[Heumann, Milton; Krumbholz, Katie; Militaru, Alice] Rutgers State Univ, Dept Polit Sci, New Brunswick, NJ USA; [Morgan, Kyle J.] Francis Marion Univ, Dept Polit Sci &amp; Geog, Florence, SC USA; [Heumann, Milton] Rutgers State Univ, Dept Polit Sci, 89 George St, New Brunswick, NJ 08901 USA</t>
  </si>
  <si>
    <t>Rutgers State University New Brunswick; Rutgers State University New Brunswick</t>
  </si>
  <si>
    <t>Heumann, M (corresponding author), Rutgers State Univ, Dept Polit Sci, 89 George St, New Brunswick, NJ 08901 USA.</t>
  </si>
  <si>
    <t>heumann@polisci.rutgers.edu</t>
  </si>
  <si>
    <t>1556-4886</t>
  </si>
  <si>
    <t>1556-4991</t>
  </si>
  <si>
    <t>VICTIMS OFFENDERS</t>
  </si>
  <si>
    <t>Victims Offenders</t>
  </si>
  <si>
    <t>10.1080/15564886.2023.2249877</t>
  </si>
  <si>
    <t>Criminology &amp; Penology</t>
  </si>
  <si>
    <t>Q6VE8</t>
  </si>
  <si>
    <t>WOS:001058874200001</t>
  </si>
  <si>
    <t>Lennartz, B</t>
  </si>
  <si>
    <t>Lennartz, Benedikt</t>
  </si>
  <si>
    <t>Business Actors' Interest in Harder and Softer Regulation of Human Rights Due Diligence</t>
  </si>
  <si>
    <t>NORDIC JOURNAL OF HUMAN RIGHTS</t>
  </si>
  <si>
    <t>hard law; soft law; business interests; human rights</t>
  </si>
  <si>
    <t>LAW; MANAGEMENT; STATE; RISK</t>
  </si>
  <si>
    <t>Scholars of global governance have long attended to the role of non-state actors in formulating and interpreting regulatory instruments, analysing these actors' engagement with processes, their influence, and their preferences in terms of the content and, to a limited degree, form of regulation. Among the non-state actors involved in governance settings, business actors are an interesting subject given the resources at their disposal to exert material, structural, and ideational power and due to the global nature of large corporations. They are especially relevant in human rights regulation, as the global nature of business activity through supply chains, subsidiaries, and finance is contrasted with a state-centred human rights regime. Several regulatory instruments have been passed in this space, both nationally and internationally, and regulatory initiatives are increasingly common. This article focuses on business actors' potential interest in the form of regulation, how different forms of regulation may affect different business actors, and how the interest of business actors can be traced back to notions of public and private.</t>
  </si>
  <si>
    <t>[Lennartz, Benedikt] Westfal Wilhelms Univ Munster, Inst furPolitikwissensch, Chair IR &amp; Sustainable Dev, Munster, Germany; [Lennartz, Benedikt] Westfal Wilhelms Univ Munster, Inst Politikwissensch, Chair IR &amp; Sustainable Dev, Scharnhorststr 100, D-48151 Munster, Germany</t>
  </si>
  <si>
    <t>University of Munster; University of Munster</t>
  </si>
  <si>
    <t>Lennartz, B (corresponding author), Westfal Wilhelms Univ Munster, Inst Politikwissensch, Chair IR &amp; Sustainable Dev, Scharnhorststr 100, D-48151 Munster, Germany.</t>
  </si>
  <si>
    <t>benedikt.lennartz@uni-muenster.de</t>
  </si>
  <si>
    <t>1891-8131</t>
  </si>
  <si>
    <t>1891-814X</t>
  </si>
  <si>
    <t>NORD J HUMAN RIGHTS</t>
  </si>
  <si>
    <t>Nord. J. Human Rights</t>
  </si>
  <si>
    <t>10.1080/18918131.2023.2250629</t>
  </si>
  <si>
    <t>S3EI1</t>
  </si>
  <si>
    <t>WOS:001070030500001</t>
  </si>
  <si>
    <t>Quinton, J; Rich, K</t>
  </si>
  <si>
    <t>Quinton, Jake; Rich, Kyle</t>
  </si>
  <si>
    <t>Gay men, well-being, and sport participation: A phenomenological analysis</t>
  </si>
  <si>
    <t>QUALITATIVE RESEARCH IN SPORT EXERCISE AND HEALTH</t>
  </si>
  <si>
    <t>gay men; sports participation; well-being; interpretative phenomenological analysis; social environments</t>
  </si>
  <si>
    <t>LESBIANS</t>
  </si>
  <si>
    <t>There is a growing interest among scholars and practitioners in LGBTQ+ experiences in sport and leisure. To add to that growing body of literature, the purpose of this study was to explore how gay men navigate potentially stressful environments and derive experiences of well-being, and to gather phenomenological accounts of how gay men derive and experience well-being through sports participation. Using interpretative phenomenological analysis, data were collected through semi-structured interviews over Microsoft Teams with nine gay men between the ages of 32 and 43. The participants were all living in Canada and the United States and are currently involved in team sports. Superordinate themes that capture the overall phenomenon were constructed. These were Sports and Living Authentically, and Sports as an Escape. The data demonstrated the complexity of gay men's experiences of well-being. The findings highlight how gay men derive experiences of well-being from sports participation and the roles stressors play in these processes. This study provides a deeper theoretical understanding of the experiences of gay men participating in sports, as well as highlighting how gay men derive positive outcomes from these experiences.</t>
  </si>
  <si>
    <t>[Quinton, Jake; Rich, Kyle] Brock Univ, Dept Recreat &amp; Leisure Studies, St Catharines, ON, Canada; [Quinton, Jake] 999 E Pleasant St, Amherst, MA 01002 USA</t>
  </si>
  <si>
    <t>Brock University</t>
  </si>
  <si>
    <t>Quinton, J (corresponding author), 999 E Pleasant St, Amherst, MA 01002 USA.</t>
  </si>
  <si>
    <t>jquinton@umass.edu</t>
  </si>
  <si>
    <t>2159-676X</t>
  </si>
  <si>
    <t>2159-6778</t>
  </si>
  <si>
    <t>QUAL RES SPORT EXERC</t>
  </si>
  <si>
    <t>Qual. Res. Sport Exerc. Health</t>
  </si>
  <si>
    <t>10.1080/2159676X.2023.2255202</t>
  </si>
  <si>
    <t>Hospitality, Leisure, Sport &amp; Tourism; Psychology, Applied; Sport Sciences</t>
  </si>
  <si>
    <t>Social Sciences - Other Topics; Psychology; Sport Sciences</t>
  </si>
  <si>
    <t>Q6UH7</t>
  </si>
  <si>
    <t>WOS:001058851000001</t>
  </si>
  <si>
    <t>Sassan, C; Mahat, P; Aronczyk, M; Brulle, RJ</t>
  </si>
  <si>
    <t>Sassan, Caroline; Mahat, Priyanka; Aronczyk, Melissa; Brulle, Robert J.</t>
  </si>
  <si>
    <t>Energy Citizens Just Like You? Public Relations Campaigning by the Climate Change Counter-movement</t>
  </si>
  <si>
    <t>ENVIRONMENTAL COMMUNICATION-A JOURNAL OF NATURE AND CULTURE</t>
  </si>
  <si>
    <t>Climate change; public relations; promotional public sphere; climate delay discourses; Waxman-Markey</t>
  </si>
  <si>
    <t>ADVOCACY</t>
  </si>
  <si>
    <t>The climate change counter-movement (CCCM) was created in 1989 immediately following the formation of the Intergovernmental Panel on Climate Change (Brulle, R. J. (2014). Institutionalizing delay: Foundation funding and the creation of US climate change counter-movement organizations. Climatic Change, 122(4), 681-694.) and has only deepened its public influence efforts since the Paris Agreement (Besley, T., &amp; Peters, M. A. (2020). Life and death in the Anthropocene: Educating for survival amid climate and ecosystem changes and potential civilisation collapse. Educational Philosophy and Theory, 52(13), 1347-1357). Striving to spread alternative climate change narratives, the CCCM deploys what we characterize as Information and Influence Campaigns (IICs), multimedia campaigns executed by public relations (PR) contractors designed to influence public discourse toward specific conclusions - often by using certain value-laden rhetorical frames. In this paper, we identify the dominant objectives, activities, and rhetorical messaging frames constituting four major IICS surrounding the Waxman-Markey bill debates: one representing each of the three major fossil fuel industries along with the one significant green campaign of the era. By tracing the implementation of rhetorical frames across a diverse array of campaign activities to achieve discrete objectives, we demonstrate these fossil actors' clear intentions to steer public opinion toward anti-environmental viewpoints through the use of strategic PR. When considered together with the significant resource advantage held by those that propagate these discourses, the stakes are enormous for both climate policy outcomes and the integrity of the public sphere.</t>
  </si>
  <si>
    <t>[Sassan, Caroline; Mahat, Priyanka; Brulle, Robert J.] Brown Univ, Inst Brown Environm &amp; Soc, Providence, RI 02912 USA; [Aronczyk, Melissa] Rutgers State Univ, Sch Commun &amp;Informat, New Brunswick, NJ USA</t>
  </si>
  <si>
    <t>Brown University; Rutgers State University New Brunswick</t>
  </si>
  <si>
    <t>Sassan, C (corresponding author), Brown Univ, Inst Brown Environm &amp; Soc, Providence, RI 02912 USA.</t>
  </si>
  <si>
    <t>caroline_sassan@brown.edu</t>
  </si>
  <si>
    <t>Institute at Brown for Environment and Society, Brown University</t>
  </si>
  <si>
    <t>This work was supported by Institute at Brown for Environment and Society, Brown University.</t>
  </si>
  <si>
    <t>1752-4032</t>
  </si>
  <si>
    <t>1752-4040</t>
  </si>
  <si>
    <t>ENVIRON COMMUN</t>
  </si>
  <si>
    <t>Environ. Commun.</t>
  </si>
  <si>
    <t>10.1080/17524032.2023.2255388</t>
  </si>
  <si>
    <t>Communication; Environmental Studies</t>
  </si>
  <si>
    <t>Communication; Environmental Sciences &amp; Ecology</t>
  </si>
  <si>
    <t>R9JG3</t>
  </si>
  <si>
    <t>WOS:001067436200001</t>
  </si>
  <si>
    <t>Singh, Y; Kumar, N; Kulkarni, S; Singh, S; Thareja, S</t>
  </si>
  <si>
    <t>Singh, Yogesh; Kumar, Niraj; Kulkarni, Swanand; Singh, Satwinder; Thareja, Suresh</t>
  </si>
  <si>
    <t>Pharmacophore derived 3D-QSAR, molecular docking, and simulation studies of quinoxaline derivatives as ALR2 inhibitors</t>
  </si>
  <si>
    <t>Aldose reductase 2 inhibitors; 3D-QSAR; molecular docking; molecular dynamics simulations; pharmacophore mapping; quinoxalinone</t>
  </si>
  <si>
    <t>ALDOSE REDUCTASE INHIBITORS; 3D QSAR; OXIDATIVE STRESS; FIELD ANALYSIS; PROTEIN; POTENT; MANAGEMENT; DESIGN; MODEL</t>
  </si>
  <si>
    <t>Aldose Reductase 2 (ALR2), a key enzyme of the polyol pathway, plays a crucial role in the pathogenesis of diabetic complications. Quinoxaline scaffold-based compounds have been identified as potential ALR2 inhibitors for the management of diabetic complications. In the present work, molecular dynamic simulation studies in conjugation with pharmacophore mapping and atom-based 3D-QSAR were performed on a dataset of 99 molecules in comparison with Epalrestat (reference) to mark the desirable structural features of quinoxaline analogs to generate a probable template for designing novel and effective ALR2 inhibitors. The most potent compound 81 was subjected to MD simulation studies and found to be stable, with better interactions with the binding pocket as compared to Epalrestat. The MM-GBSA and MM-PBSA calculations showed that compound 81 possessed binding free energies of -35.96 and -4.92 kcal/mol, respectively. Atom-based 3D-QSAR yielded various pharmacophoric features with excellent statistical measures, such as correlation coefficient (R2 value), F-value (Fischer ratio), Q2 value (cross-validated correlation coefficient), and Pearson's R-value for training and test sets. Furthermore, the pharmacophore mapping provided a five-point hypothesis (AADRR) and docking analysis revealed the active ligand-binding orientations on the active site's amino acid residues TYR 48, HIE 110, TRP 111, and TRP 219. The results of this study will help in designing potent inhibitors of ALR2 for the management of diabetic complications.Communicated by Ramaswamy H. Sarma</t>
  </si>
  <si>
    <t>[Singh, Yogesh; Kumar, Niraj; Kulkarni, Swanand; Thareja, Suresh] Cent Univ Punjab, Sch Hlth Sci, Dept Pharmaceut Sci &amp; Nat Prod, Bathinda, Punjab, India; [Singh, Satwinder] Cent Univ Punjab, Dept Comp Sci &amp; Technol, Bathinda, India; [Thareja, Suresh] Cent Univ Punjab, Sch Pharmaceut Sci, Dept Pharmaceut Sci &amp; Nat Prod, Bathinda 151401, Punjab, India</t>
  </si>
  <si>
    <t>Central University of Punjab; Central University of Punjab; Central University of Punjab</t>
  </si>
  <si>
    <t>Thareja, S (corresponding author), Cent Univ Punjab, Sch Pharmaceut Sci, Dept Pharmaceut Sci &amp; Nat Prod, Bathinda 151401, Punjab, India.</t>
  </si>
  <si>
    <t>sureshthareja@gmail.com</t>
  </si>
  <si>
    <t>Singh, Yogesh/0000-0001-5626-1486; Kulkarni, Swanand/0000-0002-0237-3826; Singh, Satwinder/0000-0001-8689-9878</t>
  </si>
  <si>
    <t>Department of Science and Technology (DST)-SERB [SRG/2022/000006]; All-India Council for Technical Education (AICTE); Department of Science and Technology (DST) [SR/FST/LSI-656/2016]</t>
  </si>
  <si>
    <t>Department of Science and Technology (DST)-SERB(Department of Science &amp; Technology (DOST), Philippines); All-India Council for Technical Education (AICTE)(All India Council for Technical Education (AICTE)); Department of Science and Technology (DST)(Department of Science &amp; Technology (India))</t>
  </si>
  <si>
    <t>S.T. and Y.S. acknowledge the Department of Science and Technology (DST)-SERB for Startup Research Grant (SRG) (SRG/2022/000006). N.K. is grateful to the All-India Council for Technical Education (AICTE) for providing GPAT fellowship. The authors acknowledge the Department of Science and Technology (DST) for providing the Departmental DST-FIST grant (SR/FST/LSI-656/2016) to the Department of Pharmaceutical Sciences and Natural Products, Central University of Punjab, India.</t>
  </si>
  <si>
    <t>10.1080/07391102.2023.2256885</t>
  </si>
  <si>
    <t>R5BW8</t>
  </si>
  <si>
    <t>WOS:001064512200001</t>
  </si>
  <si>
    <t>Adeoti, AO; Pitan, OR</t>
  </si>
  <si>
    <t>Adeoti, Adewale Opeyemi; Pitan, Olufemi Richard</t>
  </si>
  <si>
    <t>Influence of time of introduction and proportion on the efficacy of grain amaranth trap crop against Aulacophora foveicollis and Epilachna chrysomelina on cucumber (Cucumis sativus L.)</t>
  </si>
  <si>
    <t>ARCHIVES OF PHYTOPATHOLOGY AND PLANT PROTECTION</t>
  </si>
  <si>
    <t>Amaranth; cucumber; Aulacophora foveicollis; Epilachna chrysomelina; trap crop</t>
  </si>
  <si>
    <t>INTERCROPPING CUCUMBER; DENSITY</t>
  </si>
  <si>
    <t>A field experiment was conducted in the early and late planting seasons, 2019 to evaluate the effectiveness of grain amaranth (Amaranthus cruentus L.) planted at different timing and proportion as a trap crop for reducing insect pest densities on cucumber. Amaranth was established into cucumber plots two weeks before cucumber (2WBC), same day (SD) with cucumber or two weeks after cucumber (2WAC) in 100:0, 100:25, 100:50, 100:75 and 100:100 cucumber-amaranth proportions. Amaranth planted 2WBC or SD trapped significantly higher numbers of Aulacophora foveicollis and Epilachna chrysomelina compared to 2WAC, corresponding to lower infestations and damage on cucumber, with the highest fruit yield at SD cucumber. While leaf damage was reduced by 68-74% at 100:100, yield increase of 66-69% was obtained at 100:50 relative to sole cucumber plots. Hence, planting grain amaranth SD with cucumber at 100:50 cucumber-amaranth proportion has a great prospect against insect pests of cucumber in a trap-cropping strategy.</t>
  </si>
  <si>
    <t>[Adeoti, Adewale Opeyemi] IITA, Africa Rice Ctr, Ibadan, Nigeria; [Pitan, Olufemi Richard] Fed Univ Agr, Dept Crop Protect, Abeokuta, Nigeria</t>
  </si>
  <si>
    <t>CGIAR; International Institute of Tropical Agriculture (IITA); Africa Rice Center; University of Agriculture, Abeokuta</t>
  </si>
  <si>
    <t>Adeoti, AO (corresponding author), IITA, Africa Rice Ctr, Ibadan, Nigeria.</t>
  </si>
  <si>
    <t>adeotiadewale1@gmail.com</t>
  </si>
  <si>
    <t>0323-5408</t>
  </si>
  <si>
    <t>1477-2906</t>
  </si>
  <si>
    <t>ARCH PHYTOPATH PLANT</t>
  </si>
  <si>
    <t>Arch. Phytopathol. Plant Protect.</t>
  </si>
  <si>
    <t>2023 SEP 6</t>
  </si>
  <si>
    <t>10.1080/03235408.2023.2256648</t>
  </si>
  <si>
    <t>Plant Sciences</t>
  </si>
  <si>
    <t>R7RG8</t>
  </si>
  <si>
    <t>WOS:001066285400001</t>
  </si>
  <si>
    <t>Ahmad, I</t>
  </si>
  <si>
    <t>Ahmad, Irfan</t>
  </si>
  <si>
    <t>Nationalism and knowledge: Othering and the disciplin(e)ing of anthropology in India</t>
  </si>
  <si>
    <t>HISTORY AND ANTHROPOLOGY</t>
  </si>
  <si>
    <t>Methodological nationalism; Hinduism; Islam; Ghurye; Geddes; violence</t>
  </si>
  <si>
    <t>SOCIOLOGY; CULTURE; ISLAM</t>
  </si>
  <si>
    <t>This essay is about how Indian anthropology-sociology has historically theorized Islam and Muslims. In it, I demonstrate how anthropologists' discourse on Islam and the majoritarian Hindu discourse on nation - Muslims being its constitutive other - dovetail into each other. Three main catalogues through which anthropology has dealt with Muslims are: silence, alienness and erasure. Against anthropology's self-perception as the most reflexive discipline, I argue how Indian anthropology has been intertwined with nation-state as both an ideology and a set of practices. I also identify connections between symbolic violence of anthropology-sociology manifest in the othering of Islam and anti-Muslim political violence in postcolonial India. Discussing influential texts, schools of thoughts, departments, individuals, institutions, professional association in a framework that comparatively alludes to the 'anomaly' of Jews vis-a-vis German anthropology, this essay also charts out a different genealogy of anthropology in India, one that remains hushed in the regnant accounts. In so doing, it maps the discipline's trajectory from its moment of formation to the present. One key aim of the essay is to unveil the theory behind methodological nationalism to discuss the (im)possibility of writing an alternative anthropology-sociology of India.</t>
  </si>
  <si>
    <t>[Ahmad, Irfan] Ibn Haldun Univ, Dept Sociol, Istanbul, Turkiye; [Ahmad, Irfan] Ibn Haldun Univ, Dept Sociol, Basak Mah Ordu Cad F-05 Blok 3 PK, TR-34480 Istanbul, Turkiye</t>
  </si>
  <si>
    <t>Ibn Haldun University; Ibn Haldun University</t>
  </si>
  <si>
    <t>Ahmad, I (corresponding author), Ibn Haldun Univ, Dept Sociol, Basak Mah Ordu Cad F-05 Blok 3 PK, TR-34480 Istanbul, Turkiye.</t>
  </si>
  <si>
    <t>writetoirfanahmad@gmail.com</t>
  </si>
  <si>
    <t>0275-7206</t>
  </si>
  <si>
    <t>1477-2612</t>
  </si>
  <si>
    <t>HIST ANTHROPOL</t>
  </si>
  <si>
    <t>Hist. Anthropol.</t>
  </si>
  <si>
    <t>10.1080/02757206.2023.2237064</t>
  </si>
  <si>
    <t>Anthropology; History</t>
  </si>
  <si>
    <t>Q8YM4</t>
  </si>
  <si>
    <t>WOS:001060320300001</t>
  </si>
  <si>
    <t>Al Balushi, R; Carciofo, R</t>
  </si>
  <si>
    <t>Al Balushi, Rola; Carciofo, Richard</t>
  </si>
  <si>
    <t>Chronotype, binge-eating, and depression: the mediating effect of skipping breakfast</t>
  </si>
  <si>
    <t>BIOLOGICAL RHYTHM RESEARCH</t>
  </si>
  <si>
    <t>Chronotype; morningness-eveningness; binge-eating; depression; meal skipping</t>
  </si>
  <si>
    <t>MORNINGNESS-EVENINGNESS; SOCIAL JETLAG; CIRCADIAN-RHYTHM; SYMPTOMS; CONSUMPTION; PREFERENCE; ASSOCIATIONS; INDIVIDUALS; SEASONALITY; PATTERNS</t>
  </si>
  <si>
    <t>Evening chronotype is associated with more frequent binge-eating, depression, and less frequent breakfast consumption. The current study investigated whether skipping breakfast mediates the relationships between chronotype and binge-eating, and chronotype and depression. 272 participants completed an online survey with questionnaire measures of chronotype/morningness-eveningness, binge-eating, depression, and meal skipping. Significant positive correlations were found between eveningness and skipping breakfast, eveningness and depression, skipping breakfast and depression, and skipping breakfast and binge-eating. Eveningness was also correlated with binge-eating, and although this was not statistically significant, mediation analysis revealed a significant indirect effect of eveningness on binge-eating through skipping breakfast. The indirect effect of eveningness on depression through skipping breakfast was not significant, but the indirect effect sequentially through breakfast skipping and binge-eating was significant. The current findings indicate potential mechanisms for the inter-relationships between eveningness, breakfast skipping, binge-eating, and depression, which may be more fully investigated in research utilising longitudinal designs.</t>
  </si>
  <si>
    <t>[Al Balushi, Rola; Carciofo, Richard] Univ Reading, Sch Psychol &amp; Clin Language Sci, Reading RG6 6AH, England</t>
  </si>
  <si>
    <t>University of Reading</t>
  </si>
  <si>
    <t>Carciofo, R (corresponding author), Univ Reading, Sch Psychol &amp; Clin Language Sci, Reading RG6 6AH, England.</t>
  </si>
  <si>
    <t>r.g.carciofo@reading.ac.uk</t>
  </si>
  <si>
    <t>0929-1016</t>
  </si>
  <si>
    <t>1744-4179</t>
  </si>
  <si>
    <t>BIOL RHYTHM RES</t>
  </si>
  <si>
    <t>Biol. Rhythm Res.</t>
  </si>
  <si>
    <t>10.1080/09291016.2023.2254205</t>
  </si>
  <si>
    <t>Biology; Physiology</t>
  </si>
  <si>
    <t>Life Sciences &amp; Biomedicine - Other Topics; Physiology</t>
  </si>
  <si>
    <t>R1DU4</t>
  </si>
  <si>
    <t>WOS:001061823500001</t>
  </si>
  <si>
    <t>Ballmer, T; Gantschnig, B</t>
  </si>
  <si>
    <t>Ballmer, Thomas; Gantschnig, Brigitte</t>
  </si>
  <si>
    <t>Maintaining autonomy: How older persons with chronic conditions and their significant others interpret, navigate, and overcome everyday difficulties</t>
  </si>
  <si>
    <t>SCANDINAVIAN JOURNAL OF OCCUPATIONAL THERAPY</t>
  </si>
  <si>
    <t>Autonomy; chronic illness; identity; occupational therapy; elderly</t>
  </si>
  <si>
    <t>LATE-LIFE; HOME; FRAILTY; AGENCY; OCCUPATIONS; FOOTSTEPS; WILCOCK</t>
  </si>
  <si>
    <t>BackgroundThe vast majority of older adults live in their own homes. Many of them live with chronic conditions that lead to activity limitations and participation restrictions. To support them adequately, we need to better understand how they cope with everyday difficulties.AimTo identify and examine difficulties in everyday life older people with chronic conditions who live in private homes face and how they and their significant others interpret, navigate, and overcome these difficulties.Material and MethodsWe conducted a focus group interview with 10 participants including eight older adults with chronic conditions and two of their significant others. We then transcribed the interviews verbatim and thematically analysed them.ResultsWe generated the three closely interrelated themes struggling not to lose control, a shifting balance between resources and environmental challenges, and negotiating independence and interdependence. Participants interpreted the difficulties they faced as multicausal. Their main goal was maintaining autonomy, agency, and a positive identity. They employed individual, creative strategies to achieve these goals.ConclusionsOlder persons with chronic conditions prioritise autonomy and agency in order to maintain a positive identity.SignificanceInterventions to support older persons with chronic conditions should centre their priorities and build on their creativity.</t>
  </si>
  <si>
    <t>[Ballmer, Thomas; Gantschnig, Brigitte] ZHAW Zurich Univ Appl Sci, Inst Occupat Therapy, Sch Hlth Sci, Katharina Sulzer Pl 9, CH-8400 Winterthur, Switzerland; [Gantschnig, Brigitte] Univ Hosp, Inselspital, Dept Rheumatol &amp; Immunol, Bern, Switzerland; [Gantschnig, Brigitte] Univ Bern, Bern, Switzerland</t>
  </si>
  <si>
    <t>Zurich University of Applied Sciences; University of Bern; University Hospital of Bern; University of Bern</t>
  </si>
  <si>
    <t>Ballmer, T (corresponding author), ZHAW Zurich Univ Appl Sci, Inst Occupat Therapy, Sch Hlth Sci, Katharina Sulzer Pl 9, CH-8400 Winterthur, Switzerland.</t>
  </si>
  <si>
    <t>thomasmichael.ballmer@zhaw.ch</t>
  </si>
  <si>
    <t>Gantschnig, Brigitte Elisabeth/P-3442-2015</t>
  </si>
  <si>
    <t>Gantschnig, Brigitte Elisabeth/0000-0002-3069-6585</t>
  </si>
  <si>
    <t>The authors thank Myrtha Mali for her work transcribing the focus group and Dr. Verena Klamroth for her support during the project. Lastly, the authors thank the participants of our focus group for their openness in sharing their experiences.</t>
  </si>
  <si>
    <t>1103-8128</t>
  </si>
  <si>
    <t>1651-2014</t>
  </si>
  <si>
    <t>SCAND J OCCUP THER</t>
  </si>
  <si>
    <t>Scand. J. Occup. Ther.</t>
  </si>
  <si>
    <t>10.1080/11038128.2023.2249959</t>
  </si>
  <si>
    <t>Rehabilitation</t>
  </si>
  <si>
    <t>Q8YP8</t>
  </si>
  <si>
    <t>WOS:001060323700001</t>
  </si>
  <si>
    <t>Bao, Y</t>
  </si>
  <si>
    <t>Bao, Yang</t>
  </si>
  <si>
    <t>Modeling of Eddy Current NDT Simulations by Kriging Surrogate Model</t>
  </si>
  <si>
    <t>RESEARCH IN NONDESTRUCTIVE EVALUATION</t>
  </si>
  <si>
    <t>Kriging surrogate model; Eddy current nondestructive testing (NDT); boundary element method (BEM); model-assisted probability of detection (MAPoD)</t>
  </si>
  <si>
    <t>APPROXIMATION; PROBABILITY; SIGNAL; BEM</t>
  </si>
  <si>
    <t>In this article, the Kriging surrogate model is proposed to accelerate the model-assisted probability of detection (MAPoD) analysis for eddy current nondestructive testing (NDT). The Kriging surrogate model is the key for enabling the efficient MAPoD analysis, considering huge number of uncertainties propagate in the eddy current NDT system, by replacing the time-consuming physical model. To generate the model responses of NDT system, a precise physical model based on the adaptive cross approximation algorithm accelerated boundary element method (BEM) is applied. In the numerical case, the MAPoD study of eddy current for detecting surface flaws in the conducting plate is analyzed. By comparing the PoD metrics achieved by the pure physical model and by the Kriging surrogate model, the accuracy and efficiency of the proposed surrogate model are demonstrated.</t>
  </si>
  <si>
    <t>[Bao, Yang] Nanjing Univ Posts &amp; Telecommun, Coll Elect &amp; Opt Engn, Nanjing, Jiangsu, Peoples R China; [Bao, Yang] Univ Macau, Dept Elect &amp; Comp Engn, Macau, Peoples R China</t>
  </si>
  <si>
    <t>Nanjing University of Posts &amp; Telecommunications; University of Macau</t>
  </si>
  <si>
    <t>Bao, Y (corresponding author), Nanjing Univ Posts &amp; Telecommun, Coll Elect &amp; Opt Engn, Nanjing, Jiangsu, Peoples R China.</t>
  </si>
  <si>
    <t>brianbao@njupt.edu.cn</t>
  </si>
  <si>
    <t>This work was supported in part by the NUPTSF under Grant NY220074, by the National Nature Science Foundation of China for Youth under Grant 62001245, by the Natural Science Foundation of Jiangsu Province for Youth under Grant BK20200757. The authors are t [62001245]; NUPTSF [BK20200757]; National Nature Science Foundation of China for Youth; Natural Science Foundation of Jiangsu Province for Youth; [NY220074]</t>
  </si>
  <si>
    <t>This work was supported in part by the NUPTSF under Grant NY220074, by the National Nature Science Foundation of China for Youth under Grant 62001245, by the Natural Science Foundation of Jiangsu Province for Youth under Grant BK20200757. The authors are t; NUPTSF; National Nature Science Foundation of China for Youth; Natural Science Foundation of Jiangsu Province for Youth(Natural Science Foundation of Jiangsu Province);</t>
  </si>
  <si>
    <t>This work was supported in part by the NUPTSF under Grant NY220074, by the National Nature Science Foundation of China for Youth under Grant 62001245, by the Natural Science Foundation of Jiangsu Province for Youth under Grant BK20200757. The authors are thankful to Dr X. Du for the beneficial discussions and the anonymous reviewers for their useful suggestions.</t>
  </si>
  <si>
    <t>0934-9847</t>
  </si>
  <si>
    <t>1432-2110</t>
  </si>
  <si>
    <t>RES NONDESTRUCT EVAL</t>
  </si>
  <si>
    <t>Res. Nondestruct. Eval.</t>
  </si>
  <si>
    <t>JUL 4</t>
  </si>
  <si>
    <t>3-4</t>
  </si>
  <si>
    <t>10.1080/09349847.2023.2250281</t>
  </si>
  <si>
    <t>S9DV7</t>
  </si>
  <si>
    <t>WOS:001058857800001</t>
  </si>
  <si>
    <t>Di Zhang, E; Liu, CH; Yu, SL</t>
  </si>
  <si>
    <t>Di Zhang, Emily; Liu, Chunhong; Yu, Shulin</t>
  </si>
  <si>
    <t>The impact of a feedback intervention on university students' second language writing feedback literacy</t>
  </si>
  <si>
    <t>INNOVATIONS IN EDUCATION AND TEACHING INTERNATIONAL</t>
  </si>
  <si>
    <t>Feedback activities; feedback literacy; second language writing; second language proficiency; writing assessment</t>
  </si>
  <si>
    <t>FORMATIVE ASSESSMENT; TEACHER; PROFICIENCY; ENGAGEMENT</t>
  </si>
  <si>
    <t>This study evaluated the effect of a combined feedback activity (peer feedback, computer-generated feedback and teacher feedback) on students' second language (L2) writing feedback literacy. One hundred and eighty-two Chinese university students participated in this research. Findings revealed that the intervention significantly improved students' literacy in Appreciating Feedback, Acknowledging Different Feedback Sources and Managing Affect, but not Making Judgements and Taking Action. L2 proficiency levels affected the literacy development. Low-proficiency students' feedback literacy did not change significantly. Middle-proficiency students improved significantly in Appreciating Feedback, Acknowledging Different Feedback Sources, Managing Affect, and Taking Action. High-proficiency students only improved significantly in Appreciating Feedback. Findings further reveal different degrees of difficulty for students to improve feedback literacy along its five dimensions. This study bears implications for developing students' feedback literacy in L2 writing and in other disciplinary areas, particularly regarding how teachers could use multiple feedback sources and address students' varied proficiency levels.</t>
  </si>
  <si>
    <t>[Di Zhang, Emily] Shanghai Jiao Tong Univ, Sch Foreign Languages, Shanghai, Peoples R China; [Liu, Chunhong] Simon Fraser Univ, Fac Educ, Burnaby, BC, Canada; [Yu, Shulin] Univ Macau, Fac Educ, Taipa, Macau, Peoples R China</t>
  </si>
  <si>
    <t>Shanghai Jiao Tong University; Simon Fraser University; University of Macau</t>
  </si>
  <si>
    <t>Liu, CH (corresponding author), Simon Fraser Univ, Fac Educ, Burnaby, BC, Canada.</t>
  </si>
  <si>
    <t>chunhong_liu@sfu.ca</t>
  </si>
  <si>
    <t>Yu, Shulin/ABB-1611-2020; Liu, Chunhong/GPG-6874-2022</t>
  </si>
  <si>
    <t>University of Macau [MYRG2022-00273-FED]</t>
  </si>
  <si>
    <t>University of Macau</t>
  </si>
  <si>
    <t>This work was supported by the University of Macau [MYRG2022-00273-FED].</t>
  </si>
  <si>
    <t>1470-3297</t>
  </si>
  <si>
    <t>1470-3300</t>
  </si>
  <si>
    <t>INNOV EDUC TEACH INT</t>
  </si>
  <si>
    <t>Innov. Educ. Teach. Int.</t>
  </si>
  <si>
    <t>10.1080/14703297.2023.2254275</t>
  </si>
  <si>
    <t>Q5WA4</t>
  </si>
  <si>
    <t>WOS:001058212800001</t>
  </si>
  <si>
    <t>Erdem, H; Kinay, A; Karakoc, E</t>
  </si>
  <si>
    <t>Erdem, Halil; Kinay, Ahmet; Karakoc, Erdem</t>
  </si>
  <si>
    <t>Effects of Cadmium Toxicity on Chemical Contents and Leaf Yield of Three Sun-Cured Tobacco Varieties</t>
  </si>
  <si>
    <t>COMMUNICATIONS IN SOIL SCIENCE AND PLANT ANALYSIS</t>
  </si>
  <si>
    <t>Cadmium; heavy metals; nicotine; tobacco; yield</t>
  </si>
  <si>
    <t>OXIDATIVE STRESS; NICOTINE CONCENTRATION; HEAVY-METALS; GROWTH; ACCUMULATION; ZINC; RESPONSES; BRASSICA; PLANTS; ACIDS</t>
  </si>
  <si>
    <t>Tobacco plants grown in cadmium (Cd)-contaminated soils accumulate high concentration of Cd in leaves and the Cd in leaves can readily be transferred to the human body through smoking of cigarettes. This study was conducted to investigate the effects of four soil Cd concentrations (0, 5, 10, and 20 mg kg(-1)) on leaf Cd, zinc (Zn), and nitrogen (N) concentrations and nicotine, reducing sugar and phenolic compounds of sun-cured Canik 190/5, Xanthi 81, and Birlik 124 varieties grown in a semi-arid condition of Turkey. Increasing doses of Cd did not significantly decrease leaf yield of tobacco cultivars, while significant (p &lt; .05) increase and decrease were recorded in leaf Cd and Zn concentrations, respectively. The highest leaf Cd concentration was accumulated in Birlik 124 (60.5 mg kg(-1)), and the lowest in Canik 190/5 (55.35 mg kg(-1)) variety. Nicotine concentration of Xanthi 81 and Birlik 124 cultivars in the highest Cd dose (Cd20) increased compared to the nicotine in control application, while nicotine concentration of Canik 190/5 cultivars decreased in Cd20 dose. The results revealed that all three tobacco varieties were able to accumulate Cd in their leaves under high soil Cd levels. The effects of Cd on N uptake and nicotine, reducing sugar and phenolic compounds were different among the tobacco varieties. The result may be associated with differences in responses of tobacco cultivars to soil Cd concentration.</t>
  </si>
  <si>
    <t>[Erdem, Halil] Tokat Gaziosmanpasa Univ, Dept Soil Sci &amp; Plant Nutr, Tokat, Turkiye; [Kinay, Ahmet; Karakoc, Erdem] Tokat Gaziosmanpasa Univ, Dept Field Crops, Tokat, Turkiye</t>
  </si>
  <si>
    <t>Gaziosmanpasa University; Gaziosmanpasa University</t>
  </si>
  <si>
    <t>Erdem, H (corresponding author), Tokat Gaziosmanpasa Univ, Dept Soil Sci &amp; Plant Nutr, Tokat, Turkiye.</t>
  </si>
  <si>
    <t>erdemh@hotmail.com</t>
  </si>
  <si>
    <t>KINAY, Ahmet/ADO-0637-2022</t>
  </si>
  <si>
    <t>KINAY, Ahmet/0000-0003-4554-2148</t>
  </si>
  <si>
    <t>0010-3624</t>
  </si>
  <si>
    <t>1532-2416</t>
  </si>
  <si>
    <t>COMMUN SOIL SCI PLAN</t>
  </si>
  <si>
    <t>Commun. Soil Sci. Plant Anal.</t>
  </si>
  <si>
    <t>10.1080/00103624.2023.2254835</t>
  </si>
  <si>
    <t>Agronomy; Plant Sciences; Chemistry, Analytical; Soil Science</t>
  </si>
  <si>
    <t>Agriculture; Plant Sciences; Chemistry</t>
  </si>
  <si>
    <t>R2GI2</t>
  </si>
  <si>
    <t>WOS:001062575900001</t>
  </si>
  <si>
    <t>Fialkoff, Y; Pinchevski, A</t>
  </si>
  <si>
    <t>Fialkoff, Yonatan; Pinchevski, Amit</t>
  </si>
  <si>
    <t>Skilling communication: The discourse and metadiscourse of communication in self-help books</t>
  </si>
  <si>
    <t>COMMUNICATION REVIEW</t>
  </si>
  <si>
    <t>communication culture; communication skills; communication theory; metacommunication; self-help</t>
  </si>
  <si>
    <t>POSITIVE THINKING</t>
  </si>
  <si>
    <t>In the past few decades, self-help books on communication have ranked among the top titles on bestseller lists. Offering advice about improving communication skills in a variety of contexts, they both reflect and promote a widespread discourse about the importance of good communication in everyday life, in what is in fact a paradoxical endeavor - solving flawed communication with more communication. Based on an analysis of 18 bestselling self-help books, the paper examines the meaning of three recurring themes - listening, awareness and practice - and analyzes the paradoxical relationship between what the books say about communication and how they say it. The findings serve to illuminate the relationship between communication and metacommunication more broadly, which, in turn, helps to explain the conditions by which authors express their ideas - their selection of textuality, despite, and precisely because of, its difference from oral talk.</t>
  </si>
  <si>
    <t>[Fialkoff, Yonatan; Pinchevski, Amit] Hebrew Univ Jerusalem, Dept Journalism &amp; Commun, Jerusalem, Israel</t>
  </si>
  <si>
    <t>Hebrew University of Jerusalem</t>
  </si>
  <si>
    <t>Fialkoff, Y (corresponding author), Hebrew Univ Jerusalem, Dept Journalism &amp; Commun, Jerusalem, Israel.</t>
  </si>
  <si>
    <t>yonatan.fialkoff@mail.huji.ac.il</t>
  </si>
  <si>
    <t>The authors wish to thank Hadar Levy-Landsberg for crucial help.</t>
  </si>
  <si>
    <t>1071-4421</t>
  </si>
  <si>
    <t>1547-7487</t>
  </si>
  <si>
    <t>COMMUN REV</t>
  </si>
  <si>
    <t>Commun. Rev.</t>
  </si>
  <si>
    <t>10.1080/10714421.2023.2254173</t>
  </si>
  <si>
    <t>Communication</t>
  </si>
  <si>
    <t>Q5UC6</t>
  </si>
  <si>
    <t>WOS:001058163000001</t>
  </si>
  <si>
    <t>Holt, M; Alsoswa, AA; Brehony, N</t>
  </si>
  <si>
    <t>Holt, Maria; Alsoswa, Amat Al Alim; Brehony, Noel</t>
  </si>
  <si>
    <t>Building a New Yemen: Recovery, Transition and the International Community</t>
  </si>
  <si>
    <t>ASIAN AFFAIRS</t>
  </si>
  <si>
    <t>[Holt, Maria] Univ Westminster, London, England</t>
  </si>
  <si>
    <t>University of Westminster</t>
  </si>
  <si>
    <t>Holt, M (corresponding author), Univ Westminster, London, England.</t>
  </si>
  <si>
    <t>0306-8374</t>
  </si>
  <si>
    <t>1477-1500</t>
  </si>
  <si>
    <t>ASIAN AFF</t>
  </si>
  <si>
    <t>Asian AFF</t>
  </si>
  <si>
    <t>10.1080/03068374.2023.2244273</t>
  </si>
  <si>
    <t>R1DJ2</t>
  </si>
  <si>
    <t>WOS:001061812200001</t>
  </si>
  <si>
    <t>Manchikanti, J</t>
  </si>
  <si>
    <t>Manchikanti, Jaya</t>
  </si>
  <si>
    <t>Letter to the editor</t>
  </si>
  <si>
    <t>jmanchikanti1@gmail.com</t>
  </si>
  <si>
    <t>10.1080/15575330.2023.2252636</t>
  </si>
  <si>
    <t>R3DJ2</t>
  </si>
  <si>
    <t>WOS:001063185300001</t>
  </si>
  <si>
    <t>Wei, BC; Zhang, RH; Zeng, HT; Wu, LQ; He, RX; Zheng, JY; Xue, H; Liu, JL; Liang, FC; Zhu, B</t>
  </si>
  <si>
    <t>Wei, Bincai; Zhang, Ruhao; Zeng, Huatang; Wu, Liqun; He, Rongxin; Zheng, Junyao; Xue, Hao; Liu, Jinlin; Liang, Fengchao; Zhu, Bin</t>
  </si>
  <si>
    <t>Impact of some antiviral drugs on health care utilization for patients with COVID-19: a systematic review and meta-analysis</t>
  </si>
  <si>
    <t>Antiviral drug; coronavirus disease 2019; health care utilization; meta-analysis; systematic review</t>
  </si>
  <si>
    <t>MOLNUPIRAVIR; EFFICACY; SAFETY</t>
  </si>
  <si>
    <t>BackgroundWe aimed to assess the impact of antiviral drugs (fluvoxamine,remdesivir, lopinavir/ritonavir (LPV/r), molnupiravir, andnirmatrelvir/ritonavir (NRV/r)) on health care utilization (HCU) inCOVID-19 patients. We summarized findings from randomized controlledtrials (RCTs) and observational studies.MethodsWe systematically searched four medical databases (PubMed, Web of Science, Embase, Cochrane Library) for COVID-19 studies up to February 15, 2023. A comprehensive review, meta-analysis, sensitivity analysis, and subgroup analysis were conducted. Pooled effects with 95% confidence intervals (CIs) were calculated for antiviral drugs' impact on hospitalization, mechanical ventilation (MV), and intensive care unit (ICU) outcomes.ResultsOur analysis included 34 studies (584,978 patients). Meta-analysisindicated potential benefits: remdesivir and molnupiravir potentiallyreduced MV risk, and NRV/r correlated with lower hospitalizationrates. However, LPV/r did not notably curb HCU. Remdesivir waspreferable for high-risk COVID-19 patients, while molnupiravir andNRV/r were recommended for those aged 60 and above.ConclusionRemdesivir, molnupiravir, and NRV/r may reduce HCU during the COVID-19 pandemic. However, due to limited study details and significant heterogeneity in effect estimates, further precise evidence is crucial, especially concerning emerging variants.</t>
  </si>
  <si>
    <t>[Wei, Bincai; Zhang, Ruhao; Liang, Fengchao; Zhu, Bin] Southern Univ Sci &amp; Technol, Sch Publ Hlth &amp; Emergency Management, Shenzhen, Peoples R China; [Zeng, Huatang; Wu, Liqun] Shenzhen Hlth Dev Res &amp; Data Management Ctr, Shenzhen, Peoples R China; [He, Rongxin] Tsinghua Univ, Vanke Sch Publ Hlth, Beijing, Peoples R China; [Zheng, Junyao] Shanghai Jiao Tong Univ, China Inst Urban Governance, Shanghai, Peoples R China; [Zheng, Junyao] Shanghai Jiao Tong Univ, Sch Int &amp; Publ Affairs, Shanghai, Peoples R China; [Xue, Hao] Stanford Univ, Stanford Ctr Chinas Econ &amp; Inst, Stanford, CA USA; [Liu, Jinlin] Northwestern Polytech Univ, Sch Publ Policy &amp; Adm, Xian, Peoples R China; [Zhu, Bin] Southern Univ Sci &amp; Technol, Sch Publ Hlth &amp; Emergency Management, 1088 Xueyuan Ave, Shenzhen 518055, Peoples R China</t>
  </si>
  <si>
    <t>Southern University of Science &amp; Technology; Tsinghua University; Shanghai Jiao Tong University; Shanghai Jiao Tong University; Stanford University; Northwestern Polytechnical University; Southern University of Science &amp; Technology</t>
  </si>
  <si>
    <t>Zhu, B (corresponding author), Southern Univ Sci &amp; Technol, Sch Publ Hlth &amp; Emergency Management, 1088 Xueyuan Ave, Shenzhen 518055, Peoples R China.</t>
  </si>
  <si>
    <t>zhub6@sustech.edu.cn</t>
  </si>
  <si>
    <t>We thank all the authors of the included papers.</t>
  </si>
  <si>
    <t>SEP 2</t>
  </si>
  <si>
    <t>10.1080/14787210.2023.2254491</t>
  </si>
  <si>
    <t>R4VP4</t>
  </si>
  <si>
    <t>WOS:001058849400001</t>
  </si>
  <si>
    <t>Buehler, B; Marston, S</t>
  </si>
  <si>
    <t>Buehler, Branden; Marston, Steve</t>
  </si>
  <si>
    <t>Injury videos and the affective potentials of User-Generated sports highlights</t>
  </si>
  <si>
    <t>SPORT IN SOCIETY</t>
  </si>
  <si>
    <t>MEDIA</t>
  </si>
  <si>
    <t>In recent years, one of the historic foundations of sports media, the 'highlight', has been refigured as sports fans and other users have created and circulated videos outside of traditional media-institutional spaces. Indicative of this refiguration is the emergence of a new sub-genre of sports highlights: the gruesome injury video. Social networks offer videos that feature catastrophic events (visible bone breaks, etc.) and, in the process, venture into affective realms normally eschewed by mainstream sports media by conjuring the sort of affective excess more commonly associated with fictional 'body genres' such as horror and melodrama. With an eye to the context of digital sport media, this article uses close readings to suggest that by deviating from the traditional inoffensive exhilaration of the highlight genre, user-generated sports highlights carry the potential of fostering critical readings of sport typically discouraged by mainstream sports media.</t>
  </si>
  <si>
    <t>[Buehler, Branden] Seton Hall Univ, S Orange, NJ 07079 USA; [Marston, Steve] Trinity Coll, Hartford, CT USA</t>
  </si>
  <si>
    <t>Seton Hall University; Trinity College</t>
  </si>
  <si>
    <t>Buehler, B (corresponding author), Seton Hall Univ, S Orange, NJ 07079 USA.</t>
  </si>
  <si>
    <t>Branden.Buehler@shu.edu</t>
  </si>
  <si>
    <t>1743-0437</t>
  </si>
  <si>
    <t>1743-0445</t>
  </si>
  <si>
    <t>SPORT SOC</t>
  </si>
  <si>
    <t>Sport Soc.</t>
  </si>
  <si>
    <t>2023 SEP 5</t>
  </si>
  <si>
    <t>10.1080/17430437.2023.2256269</t>
  </si>
  <si>
    <t>Hospitality, Leisure, Sport &amp; Tourism; Sociology</t>
  </si>
  <si>
    <t>Social Sciences - Other Topics; Sociology</t>
  </si>
  <si>
    <t>S0YF2</t>
  </si>
  <si>
    <t>WOS:001068504600001</t>
  </si>
  <si>
    <t>Hammar, A; Schmid, MT; Petersdotter, L; Ousdal, OT; Milde, AM</t>
  </si>
  <si>
    <t>Hammar, Asa; Schmid, Marit Therese; Petersdotter, Linn; Ousdal, Olga Therese; Milde, Anne Marita</t>
  </si>
  <si>
    <t>Inhibitory control as possible risk and/or resilience factor for the development of trauma related symptoms-a study of the Utoya terror attack survivors</t>
  </si>
  <si>
    <t>Executive function; inhibition; inhibitory control; posttraumatic stress disorder; trauma exposure</t>
  </si>
  <si>
    <t>POSTTRAUMATIC-STRESS-DISORDER; INTERNATIONAL NEUROPSYCHIATRIC INTERVIEW; SUPPRESSING UNWANTED MEMORIES; WECHSLER ABBREVIATED SCALE; COGNITIVE CONTROL; DYSFUNCTION; INTELLIGENCE; ADOLESCENTS; VALIDATION; MECHANISMS</t>
  </si>
  <si>
    <t>PTSD symptomatology is known to be associated with executive dysfunction. Inhibitory control is a core component of executive functioning, and inhibitory skills are essential both for adequate functioning in everyday life and important in situations following trauma. The aim of the present study was to examine the relationship between trauma exposure, inhibitory control and PTSD symptomatology in adolescent survivors of the terror attack at Utoya, Norway on the 22nd of July, 2011. In this cross-sectional case-control study, 20 trauma exposed adolescents and 20 healthy controls matched in age and gender were compared on a neuropsychological test of cognitive inhibition (Color-Word Interference Test) and a self-report measure of inhibition ability (BRIEF-A). Our analyses revealed that the trauma exposed group differed significantly on the self-reported measure of inhibitory control compared to the control group, but there were no differences between groups on the objective measures of cognitive inhibition. Follow-up analyses with subgroups in the trauma exposed group based on PTSD symptomatology (PTSD+and PTSD-) and the control group revealed that the PTSD- group showed significantly better results than both the PTSD+and the control group on the measures of inhibitory control. Moreover, the follow-up analyses showed that the PTSD+group showed significantly poorer results from the other two groups on the measures of inhibitory control and self-reported inhibition. We conclude that impaired inhibitory control, measured both objectively and by self-reported questionnaire, is related to PTSD symptomatology. Findings suggest that inhibitory dysfunctions may be a vulnerability factor for the development of PTSD symptomatology in trauma exposed adolescents, and thus it seems that the ability to exhibit inhibitory control could be a possible resilience factor to prevent the development of PTSD symptoms.</t>
  </si>
  <si>
    <t>[Hammar, Asa; Milde, Anne Marita] Univ Bergen, Dept Biol &amp; Med Psychol, Bergen, Norway; [Hammar, Asa; Petersdotter, Linn] Lund Univ, Dept Psychol, Lund, Sweden; [Hammar, Asa] Lund Univ, Fac Med, Dept Clin Sci Lund, Psychiat, Lund, Sweden; [Hammar, Asa] Off Psychiat &amp; Habilitat, Psychiat Res Skane, Lund, Sweden; [Schmid, Marit Therese] Western Norway Univ Appl Sci, Fac Hlth &amp; Social Sci, Dept Welf &amp; Participat, Bergen, Norway; [Schmid, Marit Therese] Univ Bergen, Haukeland Univ Hosp, Div Psychiat, Bergen, Norway; [Ousdal, Olga Therese] Univ Bergen, Fac Med, Dept Biomed, Bergen, Norway; [Ousdal, Olga Therese] Haukeland Hosp, Dept Radiol, Bergen, Norway; [Milde, Anne Marita] NORCE, Norwegian Res Ctr, Reg Ctr Child &amp; Youth Mental Hlth &amp; Child Welf, Bergen, Norway; [Hammar, Asa] Univ Bergen, Alrek helseklynge, Dept Biol &amp; Med Psychol, Arstadveien 17, N-5009 Bergen, Norway</t>
  </si>
  <si>
    <t>University of Bergen; Lund University; Lund University; Western Norway University of Applied Sciences; University of Bergen; Haukeland University Hospital; University of Bergen; University of Bergen; Haukeland University Hospital; Norwegian Research Centre (NORCE); University of Bergen</t>
  </si>
  <si>
    <t>Hammar, A (corresponding author), Univ Bergen, Alrek helseklynge, Dept Biol &amp; Med Psychol, Arstadveien 17, N-5009 Bergen, Norway.</t>
  </si>
  <si>
    <t>aasa.hammar@uib.no</t>
  </si>
  <si>
    <t>Health Vest Authorities, Norway</t>
  </si>
  <si>
    <t>This study was supported by the Health Vest Authorities, Norway.</t>
  </si>
  <si>
    <t>10.1080/23279095.2023.2253553</t>
  </si>
  <si>
    <t>Q7UZ1</t>
  </si>
  <si>
    <t>WOS:001059551200001</t>
  </si>
  <si>
    <t>Koehler, D; Cherney, A; Templar, A</t>
  </si>
  <si>
    <t>Koehler, Daniel; Cherney, Adrian; Templar, Amy</t>
  </si>
  <si>
    <t>Truth or Dare? Exploring the Importance of Factual Accuracy in Different Deradicalization Counseling Approaches</t>
  </si>
  <si>
    <t>STUDIES IN CONFLICT &amp; TERRORISM</t>
  </si>
  <si>
    <t>Deradicalization and disengagement programs; truthfulness; factual accuracy; counseling; methods; deception</t>
  </si>
  <si>
    <t>NARRATIVE IDENTITY; ALLIANCE; PSYCHOTHERAPY; DESISTANCE</t>
  </si>
  <si>
    <t>Risk mitigation and recidivism reduction are typical goals of deradicalization and disengagement programs (DDPs). Arguably, identifying deception and disguised compliance by clients is key to achieve these goals. However, dissenting opinions among practitioners exist whether it should be a task for DDP counselors to detect deceit by clients. Concerns that placing such a task with DDP counselors might be counter-productive and antithetical to the overall goals and effectiveness of DDPs have been raised. This article makes a theoretical contribution to the debate around this question by exploring literature from psychotherapy, psychology, criminology and terrorism studies using a combination of meta-narrative and integrative literature review methodologies. It is argued that deception detection in the context of DDPs is not good or bad per se but depends on chronological (past, present, future) and methodological perspectives. Implications for DDP research and practice are discussed.</t>
  </si>
  <si>
    <t>[Koehler, Daniel] Competence Ctr Extremism Baden Wuerttemberg, Stuttgart, Germany; [Cherney, Adrian; Templar, Amy] Univ Queensland, Sch Social Sci, St Lucia, Australia; [Koehler, Daniel] Taubenheimstr 85, D-70372 Stuttgart, Germany</t>
  </si>
  <si>
    <t>University of Queensland</t>
  </si>
  <si>
    <t>Koehler, D (corresponding author), Taubenheimstr 85, D-70372 Stuttgart, Germany.</t>
  </si>
  <si>
    <t>Daniel.Koehler@konex.bwl.de</t>
  </si>
  <si>
    <t>1057-610X</t>
  </si>
  <si>
    <t>1521-0731</t>
  </si>
  <si>
    <t>STUD CONFL TERROR</t>
  </si>
  <si>
    <t>Stud. Confl. Terror.</t>
  </si>
  <si>
    <t>10.1080/1057610X.2023.2256535</t>
  </si>
  <si>
    <t>International Relations; Political Science</t>
  </si>
  <si>
    <t>International Relations; Government &amp; Law</t>
  </si>
  <si>
    <t>R8MT3</t>
  </si>
  <si>
    <t>WOS:001066849700001</t>
  </si>
  <si>
    <t>Rossiter, A; La, A; Koyner, JL; Forni, LG</t>
  </si>
  <si>
    <t>Rossiter, Adam; La, Ashley; Koyner, Jay L.; Forni, Lui G.</t>
  </si>
  <si>
    <t>New biomarkers in acute kidney injury</t>
  </si>
  <si>
    <t>CRITICAL REVIEWS IN CLINICAL LABORATORY SCIENCES</t>
  </si>
  <si>
    <t>Acute kidney injury; acute kidney disease; chronic kidney disease; biomarkers</t>
  </si>
  <si>
    <t>ACID-BINDING PROTEIN; GELATINASE-ASSOCIATED LIPOCALIN; SERUM CYSTATIN-C; FUROSEMIDE STRESS TEST; ACUTE-RENAL-FAILURE; CELL-CYCLE ARREST; SOLUBLE UROKINASE RECEPTOR; CRITICALLY-ILL PATIENTS; URINARY BIOMARKERS; PREDICTIVE-VALUE</t>
  </si>
  <si>
    <t>Acute kidney injury (AKI) is a commonly encountered clinical syndrome. Although it often complicates community acquired illness, it is more common in hospitalized patients, particularly those who are critically ill or who have undergone major surgery. Approximately 20% of hospitalized adult patients develop an AKI during their hospital care, and this rises to nearly 60% in the critically ill, depending on the population being considered. In general, AKI is more common in older adults, in those with preexisting chronic kidney disease and in those with known risk factors for AKI (including diabetes and hypertension). The development of AKI is associated with an increase in both mortality and morbidity, including the development of post-AKI chronic kidney disease. Currently, AKI is defined by a rise in serum creatinine from either a known or derived baseline value and/or oliguria or anuria. However, clinicians may fail to recognize the initial development of AKI because of a delay in the rise of serum creatinine or because of inaccurate urine output monitoring. This, in turn, delays any putative measures to treat AKI or to limit its degree. Consequently, efforts have focused on new biomarkers associated with AKI that may allow early recognition of this syndrome with the intent that this will translate into improved patient outcomes. Here we outline current biomarkers associated with AKI and explore their potential in aiding diagnosis, understanding the pathophysiology and directing therapy.</t>
  </si>
  <si>
    <t>[Rossiter, Adam; Forni, Lui G.] Royal Surrey Hosp, Crit Care Unit, Guildford, Surrey, England; [La, Ashley; Koyner, Jay L.] Univ Chicago, Dept Med, Chicago, IL USA; [Forni, Lui G.] Univ Surrey, Fac Hlth Sci, Sch Med, Dept Clin &amp; Expt Med, Guildford, Surrey, England; [Forni, Lui G.] Univ Surrey, Fac Hlth Sci, Sch Med, Kate Granger Bldg,Manor Pk,Priestley Rd, Guildford GU2 7YH, Surrey, England</t>
  </si>
  <si>
    <t>Royal Surrey County Hospital; University of Chicago; University of Surrey; University of Surrey</t>
  </si>
  <si>
    <t>Forni, LG (corresponding author), Univ Surrey, Fac Hlth Sci, Sch Med, Kate Granger Bldg,Manor Pk,Priestley Rd, Guildford GU2 7YH, Surrey, England.</t>
  </si>
  <si>
    <t>luiforni@nhs.net</t>
  </si>
  <si>
    <t>ROSSETTO, ALESSIA/0000-0002-3836-0840; TORALDO, ALESSIO/0000-0001-6480-4751</t>
  </si>
  <si>
    <t>1040-8363</t>
  </si>
  <si>
    <t>1549-781X</t>
  </si>
  <si>
    <t>CRIT REV CL LAB SCI</t>
  </si>
  <si>
    <t>Crit. Rev. Clin. Lab. Sci.</t>
  </si>
  <si>
    <t>10.1080/10408363.2023.2242481</t>
  </si>
  <si>
    <t>Medical Laboratory Technology</t>
  </si>
  <si>
    <t>Q6TU7</t>
  </si>
  <si>
    <t>WOS:001058837900001</t>
  </si>
  <si>
    <t>Zuniga, ME</t>
  </si>
  <si>
    <t>Zuniga, Michelle E.</t>
  </si>
  <si>
    <t>Understanding Latinx Perceptions of and Responses to Neighborhood Change</t>
  </si>
  <si>
    <t>HOUSING POLICY DEBATE</t>
  </si>
  <si>
    <t>Latinx communities; opposition; neighborhood change; place attachment</t>
  </si>
  <si>
    <t>PLACE ATTACHMENT; SANTA-ANA; GENTRIFICATION; IDENTITY</t>
  </si>
  <si>
    <t>Using a place attachment lens, this article evaluates Latinx perceptions of and responses to neighborhood change. Research questions guiding this study include: (a) How do perceptions of place and neighborhood change vary among Latinx communities? (b) How do Latinx community members frame neighborhood change (as beneficial or disruptive)? And (c) How do these perceptions and assessments of neighborhood change shape the protective actions that are taken? This case study, based in Santa Ana, California, includes participant observations (nearly 180 hours) and semistructured interviews (28) with Latinx residents embedded in neighborhood associations and community-based organizations, selected because of their work against or for urban development. Results indicate that perspectives and responses varied by homeownership, age, immigration generation, and organizational affiliation, demonstrating differences among Latinxs in Santa Ana. Shaping their various perspectives are lived experiences (including racial discrimination and anti-immigrant sentiment) and both past and present perceptions of place.</t>
  </si>
  <si>
    <t>[Zuniga, Michelle E.] Univ North Carolina Charlotte, Dept Geog &amp; Earth Sci, Charlotte, NC 28223 USA; [Zuniga, Michelle E.] Univ North Carolina Charlotte, Urban &amp; Community Planning, Charlotte, NC 28223 USA</t>
  </si>
  <si>
    <t>University of North Carolina; University of North Carolina Charlotte; University of North Carolina; University of North Carolina Charlotte</t>
  </si>
  <si>
    <t>Zuniga, ME (corresponding author), Univ North Carolina Charlotte, Dept Geog &amp; Earth Sci, Charlotte, NC 28223 USA.;Zuniga, ME (corresponding author), Univ North Carolina Charlotte, Urban &amp; Community Planning, Charlotte, NC 28223 USA.</t>
  </si>
  <si>
    <t>mzuniga@charlotte.edu</t>
  </si>
  <si>
    <t>1051-1482</t>
  </si>
  <si>
    <t>2152-050X</t>
  </si>
  <si>
    <t>HOUS POLICY DEBATE</t>
  </si>
  <si>
    <t>Hous. Policy Debate</t>
  </si>
  <si>
    <t>10.1080/10511482.2023.2251947</t>
  </si>
  <si>
    <t>Development Studies; Urban Studies</t>
  </si>
  <si>
    <t>R2ZY4</t>
  </si>
  <si>
    <t>WOS:001063095800001</t>
  </si>
  <si>
    <t>Finstad, GL; Panno, A; Giorgi, G</t>
  </si>
  <si>
    <t>Finstad, Georgia Libera; Panno, Angelo; Giorgi, Gabriele</t>
  </si>
  <si>
    <t>Expatriates cross-cultural adjustment at the time of COVID-19: a Conservation of Resources (COR) perspective</t>
  </si>
  <si>
    <t>HUMAN RESOURCE DEVELOPMENT INTERNATIONAL</t>
  </si>
  <si>
    <t>Short-term assignments; trauma; hostile environments; perceived organisational support; HRD</t>
  </si>
  <si>
    <t>PERCEIVED ORGANIZATIONAL SUPPORT; POSTTRAUMATIC-STRESS-DISORDER; INTERNATIONAL ADJUSTMENT; WORK EXPERIENCES; SOCIAL SUPPORT; SPECIAL-ISSUE; HEALTH-CARE; TRAUMA; CONSEQUENCES; PERFORMANCE</t>
  </si>
  <si>
    <t>The COVID-19 pandemic represents a potentially traumatic event with long-term consequences. From a human resource development (HRD) perspective, COVID-19 poses significant challenges, especially in the case of foreign workers. Although expatriation can be highly stressful, an adequate level of adjustment can promote an experience of growth and development. Drawing from the Conservation of Resources (COR) theory, this study investigates the relationship between COVID-19 related trauma and the level of cross-cultural adjustment (CCA) in a sample of 170 Italian short-term expatriates. Specifically, we hypothesise a moderated mediation model in which COVID-19-related posttraumatic stress is associated with a lower level of CCA both directly and indirectly through a deterioration in psychological health. Moreover, we investigate the influence of organisations by analysing the moderating role of perceived organisational support (POS). As expected, the results supported both the direct and mediation hypothesis, while the link between COVID-19 related trauma and psychological health and the indirect effect showed different shapes for varying levels of POS. These findings can hopefully offer useful insights for promoting psychological health and positive experiences.</t>
  </si>
  <si>
    <t>[Finstad, Georgia Libera; Panno, Angelo; Giorgi, Gabriele] European Univ Rome, Dept Human Sci, Rome, Italy; [Finstad, Georgia Libera] European Univ Rome, Business Hlth Lab, Rome, Italy</t>
  </si>
  <si>
    <t>European University of Rome; European University of Rome</t>
  </si>
  <si>
    <t>Finstad, GL (corresponding author), European Univ Rome, Dept Human Sci, Rome, Italy.;Finstad, GL (corresponding author), European Univ Rome, Business Hlth Lab, Rome, Italy.</t>
  </si>
  <si>
    <t>georgialibera.finstad@unier.it</t>
  </si>
  <si>
    <t>Finstad, Georgia Libera/AAV-5841-2021; Panno, Angelo/H-9019-2019</t>
  </si>
  <si>
    <t>Finstad, Georgia Libera/0000-0003-3234-9197; Panno, Angelo/0000-0002-6516-161X</t>
  </si>
  <si>
    <t>1367-8868</t>
  </si>
  <si>
    <t>1469-8374</t>
  </si>
  <si>
    <t>HUM RESOUR DEV INT</t>
  </si>
  <si>
    <t>Hum. Resour. Dev. Int.</t>
  </si>
  <si>
    <t>2023 SEP 4</t>
  </si>
  <si>
    <t>10.1080/13678868.2023.2253703</t>
  </si>
  <si>
    <t>Q5VO9</t>
  </si>
  <si>
    <t>WOS:001058201300001</t>
  </si>
  <si>
    <t>Acikgoz, F; Busalim, A; Gaskin, J; Asadi, S</t>
  </si>
  <si>
    <t>Acikgoz, Fulya; Busalim, Abdelsalam; Gaskin, James; Asadi, Shahla</t>
  </si>
  <si>
    <t>An Integrated Model for Information Adoption &amp; amp;Trust in Mobile Social Commerce</t>
  </si>
  <si>
    <t>JOURNAL OF COMPUTER INFORMATION SYSTEMS</t>
  </si>
  <si>
    <t>Mobile social commerce; information adoption; trust; mobile social commerce experience; social support; social influence</t>
  </si>
  <si>
    <t>WORD-OF-MOUTH; ELABORATION LIKELIHOOD; MODERATING ROLE; PERCEIVED TRUSTWORTHINESS; CONTINUANCE INTENTION; PURCHASING INTENTION; SOURCE CREDIBILITY; TRUST; ONLINE; SUPPORT</t>
  </si>
  <si>
    <t>Despite the growing importance of mobile social commerce (ms-commerce), little research has been conducted on the effects of informational and social factors on users' post-adoption behavior. We, therefore, build on the understanding of mobile social commerce in the UK market and how it affects users' post-adoption behaviors. Our theoretical model leverages the information adoption model, social support theory, and social influence theory. Data was gathered from 377 ms-commerce users from the UK and analyzed via Partial Least Squares (PLS-SEM). The research findings show that both informational and social factors have a positive impact on information adoption in ms-commerce apps. Furthermore, information adoption has a positive impact on trust, which leads to ms-commerce purchase intention, ms-commerce continuance intention, and willingness to share an ms-commerce experience.</t>
  </si>
  <si>
    <t>[Acikgoz, Fulya] Univ Bristol, Bristol, England; [Busalim, Abdelsalam] Technol Univ Dublin, Dublin, Ireland; [Gaskin, James] Brigham Young Univ, Provo, UT USA; [Asadi, Shahla] Univ Gloucestershire, Cheltenham, England; [Acikgoz, Fulya] Univ Bristol, Business Sch, Queens Ave, Bristol BS81SD, England</t>
  </si>
  <si>
    <t>University of Bristol; Brigham Young University; University of Gloucestershire; University of Bristol</t>
  </si>
  <si>
    <t>Acikgoz, F (corresponding author), Univ Bristol, Business Sch, Queens Ave, Bristol BS81SD, England.</t>
  </si>
  <si>
    <t>fulya.acikgoz@bristol.ac.uk</t>
  </si>
  <si>
    <t>0887-4417</t>
  </si>
  <si>
    <t>2380-2057</t>
  </si>
  <si>
    <t>J COMPUT INFORM SYST</t>
  </si>
  <si>
    <t>J. Comput. Inf. Syst.</t>
  </si>
  <si>
    <t>2023 SEP 3</t>
  </si>
  <si>
    <t>10.1080/08874417.2023.2251449</t>
  </si>
  <si>
    <t>Computer Science, Information Systems</t>
  </si>
  <si>
    <t>R3JA6</t>
  </si>
  <si>
    <t>WOS:001063336400001</t>
  </si>
  <si>
    <t>Griffith, RL; Dostal, C; Moon, NA; Fedele, D</t>
  </si>
  <si>
    <t>Griffith, Richard L.; Dostal, Constanze; Moon, Nicholas A.; Fedele, Dominic</t>
  </si>
  <si>
    <t>The COVID-19 pandemic and the military: Lessons learned for readiness and resilience</t>
  </si>
  <si>
    <t>MILITARY PSYCHOLOGY</t>
  </si>
  <si>
    <t>CONCEPTUAL-MODEL; HEALTH</t>
  </si>
  <si>
    <t>[Griffith, Richard L.; Fedele, Dominic] Florida Inst Technol, Melbourne, FL 32901 USA; [Dostal, Constanze] FH Upper Austria, Wels, Austria; [Moon, Nicholas A.] Calif State Univ San Bernardino, San Bernardino, CA USA</t>
  </si>
  <si>
    <t>Florida Institute of Technology; California State University System; California State University San Bernardino</t>
  </si>
  <si>
    <t>Griffith, RL (corresponding author), Florida Inst Technol, Melbourne, FL 32901 USA.</t>
  </si>
  <si>
    <t>Moon, Nicholas/0000-0001-5476-1815</t>
  </si>
  <si>
    <t>0899-5605</t>
  </si>
  <si>
    <t>1532-7876</t>
  </si>
  <si>
    <t>MIL PSYCHOL</t>
  </si>
  <si>
    <t>Milit. Psychol.</t>
  </si>
  <si>
    <t>SEP 3</t>
  </si>
  <si>
    <t>10.1080/08995605.2023.2237392</t>
  </si>
  <si>
    <t>Q1NI7</t>
  </si>
  <si>
    <t>WOS:001055251500001</t>
  </si>
  <si>
    <t>Holley, KA; Taylor, S; Kiley, M</t>
  </si>
  <si>
    <t>Holley, Karri A.; Taylor, Stan; Kiley, Margaret</t>
  </si>
  <si>
    <t>The changing landscape of doctoral education: Conclusions and further research</t>
  </si>
  <si>
    <t>Doctoral education; comparative international education; global doctorate; future research</t>
  </si>
  <si>
    <t>The articles in this special issue of Innovations in Education and Teaching International provide a global snapshot of the current state of doctoral education. They show variation across national systems, and at the same time, demonstrate that similarities exist between them. In this concluding article, we summarise the findings from the articles, provide conclusions, and suggest further avenues for research.</t>
  </si>
  <si>
    <t>[Holley, Karri A.] Univ Alabama, Dept Educ Leadership, Technol Studies, Policy, Tuscaloosa, AL USA; [Taylor, Stan] Univ Durham, Sch Educ, Durham, England; [Kiley, Margaret] Australian Natl Univ, Res Sch Humanities &amp; Arts, Canberra, ACT, Australia; [Holley, Karri A.] Univ Alabama, Dept Educ Leadership Policy &amp; Technol Studies, Box 870302, Tuscaloosa, AL 35487 USA</t>
  </si>
  <si>
    <t>University of Alabama System; University of Alabama Tuscaloosa; Durham University; Australian National University; University of Alabama System; University of Alabama Tuscaloosa</t>
  </si>
  <si>
    <t>Holley, KA (corresponding author), Univ Alabama, Dept Educ Leadership Policy &amp; Technol Studies, Box 870302, Tuscaloosa, AL 35487 USA.</t>
  </si>
  <si>
    <t>kaholley@ua.edu</t>
  </si>
  <si>
    <t>10.1080/14703297.2023.2237934</t>
  </si>
  <si>
    <t>P9JX8</t>
  </si>
  <si>
    <t>WOS:001053778000016</t>
  </si>
  <si>
    <t>Mecklin, J</t>
  </si>
  <si>
    <t>Mecklin, John</t>
  </si>
  <si>
    <t>Introduction: The hype, peril, and promise of artificial intelligence</t>
  </si>
  <si>
    <t>BULLETIN OF THE ATOMIC SCIENTISTS</t>
  </si>
  <si>
    <t>jmecklin@thebulletin.org</t>
  </si>
  <si>
    <t>0096-3402</t>
  </si>
  <si>
    <t>1938-3282</t>
  </si>
  <si>
    <t>B ATOM SCI</t>
  </si>
  <si>
    <t>Bull. Atom. Scient.</t>
  </si>
  <si>
    <t>10.1080/00963402.2023.2246264</t>
  </si>
  <si>
    <t>International Relations; Social Issues</t>
  </si>
  <si>
    <t>R5TV9</t>
  </si>
  <si>
    <t>WOS:001064985500001</t>
  </si>
  <si>
    <t>Pablo, R; Christian, F</t>
  </si>
  <si>
    <t>Pablo, Ramirez; Christian, Faltis</t>
  </si>
  <si>
    <t>Re- Exploring translanguaging in teacher education INTRODUCTION</t>
  </si>
  <si>
    <t>LANGUAGE AND EDUCATION</t>
  </si>
  <si>
    <t>Teacher education; translanguaging; multilingual education</t>
  </si>
  <si>
    <t>LANGUAGE</t>
  </si>
  <si>
    <t>This special volume examines the role translanguaing has in teacher education. Authors explore how pre and inservice teachers enact translanguaging pedagogy in linguistically and culturally diverse K-12 classrooms and community settings. The special issue explores some of the current tensions and perspectives in the field of multilingual education and teacher education in ways that illuminate new ideas and offer new approaches associated with translanguaging.</t>
  </si>
  <si>
    <t>[Pablo, Ramirez] CSU Dominguez Hills Teacher Educ, Carson, CA 95814 USA; [Christian, Faltis] TX A&amp;M Int Univ Educ, Laredo, TX USA</t>
  </si>
  <si>
    <t>Pablo, R (corresponding author), CSU Dominguez Hills Teacher Educ, Carson, CA 95814 USA.</t>
  </si>
  <si>
    <t>pramirez@csudh.edu</t>
  </si>
  <si>
    <t>0950-0782</t>
  </si>
  <si>
    <t>1747-7581</t>
  </si>
  <si>
    <t>LANG EDUC-UK</t>
  </si>
  <si>
    <t>Lang. Educ.</t>
  </si>
  <si>
    <t>10.1080/09500782.2023.2240299</t>
  </si>
  <si>
    <t>Education &amp; Educational Research; Linguistics; Language &amp; Linguistics</t>
  </si>
  <si>
    <t>Education &amp; Educational Research; Linguistics</t>
  </si>
  <si>
    <t>P9QA9</t>
  </si>
  <si>
    <t>WOS:001053940800001</t>
  </si>
  <si>
    <t>Oukaci, KA; Stoeffler, D; Hehn, M; Grassi, M; Sarpi, B; Bailleul, M; Henry, Y; Petit, S; Montaigne, F; Belkhou, R; Lacour, D</t>
  </si>
  <si>
    <t>Ait Oukaci, K.; Stoeffler, D.; Hehn, M.; Grassi, M.; Sarpi, B.; Bailleul, M.; Henry, Y.; Petit, S.; Montaigne, F.; Belkhou, R.; Lacour, D.</t>
  </si>
  <si>
    <t>Oscillatory buckling reversal of a weak stripe magnetic texture</t>
  </si>
  <si>
    <t>Nanomagnetism; micromagnetism; magnetic texture; weak stripe; XMCD-PEEM</t>
  </si>
  <si>
    <t>DOMAIN-STRUCTURES; EVOLUTION; INSTABILITIES; DISORDER; FILMS</t>
  </si>
  <si>
    <t>By combining volume sensitive high resolution Magnetic Force Microscopy with surface sensitive X-ray Photoemission Electron Microscopy, we resolved the depth profile of a weak stripe magnetic texture and its evolution upon in-plane magnetization reversal. In contrast to previous reports, we show that the conventional weak stripe texture undergoes a well-defined undulation while the magnetic field is reversed to negative after in plane positive saturation. This transformation is strongly impacting the flux closure caps domains and a staggered Neel caps texture appears. Thanks to quantitative agreement with micro-magnetic simulations, we demonstrate that the existence of both the instability and the staggered Neel caps is intrinsic in negative applied field after positive in plane saturation. This reversal mode is characterized by a checker board pattern of alternating surface magnetic charges and by a longitudinal modulation of the in-plane component of magnetization similar to the oscillatory buckling reversal mode reported in elongated soft magnetic nanostructures.</t>
  </si>
  <si>
    <t>[Ait Oukaci, K.; Hehn, M.; Petit, S.; Montaigne, F.; Lacour, D.] Univ Lorraine, Inst Jean Lamour, CNRS, Nancy, France; [Ait Oukaci, K.; Sarpi, B.; Belkhou, R.] SOLEIL Synchrotron, Orme Merisiers, St Aubin, France; [Stoeffler, D.; Grassi, M.; Bailleul, M.; Henry, Y.] Univ Strasbourg, CNRS, IPCMS, UMR 7504, Strasbourg, France; [Lacour, D.] Univ Lorraine, Inst Jean Lamour, CNRS, F-54011 Nancy, France</t>
  </si>
  <si>
    <t>Centre National de la Recherche Scientifique (CNRS); Universite de Lorraine; Centre National de la Recherche Scientifique (CNRS); CNRS - Institute of Physics (INP); UDICE-French Research Universities; Universites de Strasbourg Etablissements Associes; Universite de Strasbourg; Universite de Lorraine; Centre National de la Recherche Scientifique (CNRS)</t>
  </si>
  <si>
    <t>Lacour, D (corresponding author), Univ Lorraine, Inst Jean Lamour, CNRS, F-54011 Nancy, France.</t>
  </si>
  <si>
    <t>Daniel.lacour@univ-lorraine.fr</t>
  </si>
  <si>
    <t>; Henry, Yves/M-3200-2015; Bailleul, Matthieu/U-3590-2018</t>
  </si>
  <si>
    <t>Montaigne, Francois/0000-0003-4010-9935; Sarpi, Brice/0000-0001-7573-2466; Petit-Watelot, Sebastien/0000-0002-0697-8929; Henry, Yves/0000-0002-6282-3809; Bailleul, Matthieu/0000-0001-9975-7705</t>
  </si>
  <si>
    <t>Agence Nationale de la Recherche [ANR-15-IDEX-04-LUE, 16-CE24-0027]</t>
  </si>
  <si>
    <t>Agence Nationale de la Recherche(Agence Nationale de la Recherche (ANR))</t>
  </si>
  <si>
    <t>This work was supported by Agence Nationale de la Recherche: [Grant Number 15-IDEX-04-LUE]; Agence Nationale de la Recherche: [Grant Number 16-CE24-0027].</t>
  </si>
  <si>
    <t>10.1080/21663831.2023.2238010</t>
  </si>
  <si>
    <t>N2OY5</t>
  </si>
  <si>
    <t>WOS:001035480100001</t>
  </si>
  <si>
    <t>Chen, XM</t>
  </si>
  <si>
    <t>Chen, Xuemei</t>
  </si>
  <si>
    <t>The role of spatial changes to paratext in literary translation reception: Eleven Chinese editions of Charlotte's Web</t>
  </si>
  <si>
    <t>TRANSLATION STUDIES</t>
  </si>
  <si>
    <t>Paratext; spatial changes; translation reception; online reader responses; Charlotte's Web</t>
  </si>
  <si>
    <t>Paratext is designed to mediate between texts and readers, but few studies have analysed the paratextual evolution of the same translation and its function in relation to a work's reception. This article examines how spatial changes to paratexts in eleven editions of Rongrong Ren's Chinese version of Charlotte's Web have a bearing on the translation's reception. A qualitative analysis of reader comments on social media shows that: (1) an allographic preface adapted from a book review arouses some readers' interest but acts as a spoiler for others; and (2) changing the translator's preface to a postscript reduces the risk of giving the plot away in advance. In addition to demonstrating the role of paratext in relation to translation reception, the article further argues that, on a methodological level, researchers should note the paratextual differences between editions when conducting reception studies.</t>
  </si>
  <si>
    <t>[Chen, Xuemei] BNU HKBU United Int Coll, Fac Humanities &amp; Social Sci, Zhuhai, Peoples R China</t>
  </si>
  <si>
    <t>Beijing Normal University - Hong Kong Baptist University United International College</t>
  </si>
  <si>
    <t>Chen, XM (corresponding author), BNU HKBU United Int Coll, Fac Humanities &amp; Social Sci, Zhuhai, Peoples R China.</t>
  </si>
  <si>
    <t>xuemeichen@ln.hk</t>
  </si>
  <si>
    <t>BNU-HKBU United International College [Q2UICR0700011-22]</t>
  </si>
  <si>
    <t>BNU-HKBU United International College</t>
  </si>
  <si>
    <t>This work was supported by BNU-HKBU United International College [grant number: Q2UICR0700011-22].</t>
  </si>
  <si>
    <t>1478-1700</t>
  </si>
  <si>
    <t>1751-2921</t>
  </si>
  <si>
    <t>TRANSL STUD</t>
  </si>
  <si>
    <t>Transl. Stud.</t>
  </si>
  <si>
    <t>2023 SEP 2</t>
  </si>
  <si>
    <t>10.1080/14781700.2023.2231959</t>
  </si>
  <si>
    <t>Linguistics; Language &amp; Linguistics</t>
  </si>
  <si>
    <t>Linguistics</t>
  </si>
  <si>
    <t>R1DN0</t>
  </si>
  <si>
    <t>WOS:001061816000001</t>
  </si>
  <si>
    <t>Chiu, TKF</t>
  </si>
  <si>
    <t>Chiu, Thomas K. F.</t>
  </si>
  <si>
    <t>The impact of Generative AI (GenAI) on practices, policies and research direction in education: a case of ChatGPT and Midjourney</t>
  </si>
  <si>
    <t>INTERACTIVE LEARNING ENVIRONMENTS</t>
  </si>
  <si>
    <t>artificial intelligence; Generative AI in education; teacher education; learning; teaching; assessment; administration</t>
  </si>
  <si>
    <t>ARTIFICIAL-INTELLIGENCE; EVALUATION SYSTEM; DESIGN; IMPLEMENTATION; COMPETENCE; STUDENT</t>
  </si>
  <si>
    <t>Generative artificial intelligence (GenAI) tools have become increasingly accessible and have impacted school education in numerous ways. However, most of the discussions occur in higher education. In schools, teachers' perspectives are crucial for making sense of innovative technologies. Accordingly, this qualitative study aims to investigate how GenAI changes our school education from the perspectives of teachers and leaders. It used four domains - learning, teaching, assessment, and administration - as the initial framework suggested in a systematic literature review study on AI in education. The participants were 88 school teachers and leaders of different backgrounds. They completed a survey and joined a focus group to share how ChatGPT and Midjounery had a GenAI effect on school education. Thematic analysis identified four main themes and 12 subthemes. The findings provide three suggestions for practices: know-it-all attitude, new prerequisite knowledge, interdisciplinary teaching, and three implications for policy: new assessment, AI education, and professional standards. They also further suggest six future research directions for GenAI in education.</t>
  </si>
  <si>
    <t>[Chiu, Thomas K. F.] Chinese Univ Hong Kong, Ctr Learning Sci &amp; Technol, Dept Curriculum &amp; Instruct, Ctr Univ &amp; Sch Partnership,Shatin, Hong Kong, Peoples R China</t>
  </si>
  <si>
    <t>Chinese University of Hong Kong</t>
  </si>
  <si>
    <t>Chiu, TKF (corresponding author), Chinese Univ Hong Kong, Ctr Learning Sci &amp; Technol, Dept Curriculum &amp; Instruct, Ctr Univ &amp; Sch Partnership,Shatin, Hong Kong, Peoples R China.</t>
  </si>
  <si>
    <t>tchiu@cuhk.edu.hk</t>
  </si>
  <si>
    <t>Chiu, Thomas K.F./AAR-4894-2021</t>
  </si>
  <si>
    <t>Chiu, Thomas K.F./0000-0003-2887-5477</t>
  </si>
  <si>
    <t>University Grants Committee (Hong Kong) General Research Fund [2180090]</t>
  </si>
  <si>
    <t>University Grants Committee (Hong Kong) General Research Fund</t>
  </si>
  <si>
    <t>This study was supported by a University Grants Committee (Hong Kong) General Research Fund [grant number 2180090].</t>
  </si>
  <si>
    <t>1049-4820</t>
  </si>
  <si>
    <t>1744-5191</t>
  </si>
  <si>
    <t>INTERACT LEARN ENVIR</t>
  </si>
  <si>
    <t>Interact. Learn. Environ.</t>
  </si>
  <si>
    <t>10.1080/10494820.2023.2253861</t>
  </si>
  <si>
    <t>Q5WA1</t>
  </si>
  <si>
    <t>WOS:001058212500001</t>
  </si>
  <si>
    <t>Deutsch, SM; Naallim, JA</t>
  </si>
  <si>
    <t>Deutsch, Sandra McGee; Nallim, Jorge A.</t>
  </si>
  <si>
    <t>Contesting Eurocentrism: placing Latin American antifascism(s) on the map</t>
  </si>
  <si>
    <t>CANADIAN JOURNAL AMERICAN AND CARIBBEAN STUDIES</t>
  </si>
  <si>
    <t>Antifascism; Latin America; transnationalism; gender; antiracism; networks; &gt;</t>
  </si>
  <si>
    <t>TRANSNATIONAL HISTORY; MOVEMENT; POLITICS; GENDER; MEXICO; CHILE; WOMEN</t>
  </si>
  <si>
    <t>Works on antifascism in Latin America tend to be scattered, narrowly focused on national milieus and virtually unknown to researchers in other countries. Women's activism, antifascist masculinities and antifascist views of race have received relatively little attention. Including writings on Argentina, Mexico, Chile, Colombia, Puerto Rico and Uruguay, this dossier aims to establish Latin American antifascisms as a field of study. The individuals and groups studied by the contributors varied according to their conceptions and adaptations of antifascism, as well as their purposes in deploying it. The different varieties of antifascism in Latin America were neither rigid nor static; they were inextricably related to the historical periods and national circumstances in which they were defined. The networks in which antifascist groups operated and helped create illuminate the linkages and interactions across local, national and transnational contexts.</t>
  </si>
  <si>
    <t>[Deutsch, Sandra McGee] Univ Texas, Dept Hist, El Paso, TX USA; [Nallim, Jorge A.] Univ Manitoba, Dept Hist, Winnipeg, MB, Canada; [Deutsch, Sandra McGee] Univ Texas, Dept Hist, 240 Clairemont Dr, El Paso, TX 79912 USA</t>
  </si>
  <si>
    <t>University of Texas System; University of Texas El Paso; University of Manitoba; University of Texas System; University of Texas El Paso</t>
  </si>
  <si>
    <t>Deutsch, SM (corresponding author), Univ Texas, Dept Hist, 240 Clairemont Dr, El Paso, TX 79912 USA.</t>
  </si>
  <si>
    <t>sdeutsch@utep.edu</t>
  </si>
  <si>
    <t>0826-3663</t>
  </si>
  <si>
    <t>2333-1461</t>
  </si>
  <si>
    <t>CAN J LAT AM CARIBB</t>
  </si>
  <si>
    <t>Can. J. Lat. Am. Caribb. Stud.</t>
  </si>
  <si>
    <t>10.1080/08263663.2023.2223089</t>
  </si>
  <si>
    <t>N0YI1</t>
  </si>
  <si>
    <t>WOS:001034368600001</t>
  </si>
  <si>
    <t>Mcnamara, SWT</t>
  </si>
  <si>
    <t>Mcnamara, Scott W. T.</t>
  </si>
  <si>
    <t>Dismantling School Administrators' Neoliberal Priorities: Creating Spaces for Physical Educators to Thrive</t>
  </si>
  <si>
    <t>JOURNAL OF PHYSICAL EDUCATION RECREATION AND DANCE</t>
  </si>
  <si>
    <t>[Mcnamara, Scott W. T.] Univ New Hampshire, Dept Kinesiol, Durham, NH 03824 USA</t>
  </si>
  <si>
    <t>University System Of New Hampshire; University of New Hampshire</t>
  </si>
  <si>
    <t>Mcnamara, SWT (corresponding author), Univ New Hampshire, Dept Kinesiol, Durham, NH 03824 USA.</t>
  </si>
  <si>
    <t>scott.mcnamara@unh.edu</t>
  </si>
  <si>
    <t>0730-3084</t>
  </si>
  <si>
    <t>2168-3816</t>
  </si>
  <si>
    <t>J PHYS EDUC RECREAT</t>
  </si>
  <si>
    <t>J. Phys. Educ. Recreat. Dance</t>
  </si>
  <si>
    <t>10.1080/07303084.2023.2237368</t>
  </si>
  <si>
    <t>R9IG3</t>
  </si>
  <si>
    <t>WOS:001067409900001</t>
  </si>
  <si>
    <t>Mell, SP; Yuh, C; Nagel, T; Chubinskaya, S; Lundberg, HJ; Wimmer, MA</t>
  </si>
  <si>
    <t>Mell, Steven P.; Yuh, Catherine; Nagel, Thomas; Chubinskaya, Susan; Lundberg, Hannah J.; Wimmer, Markus A.</t>
  </si>
  <si>
    <t>Development of a computational-experimental framework for enhanced mechanical characterization and cross-species comparison of the articular cartilage superficial zone</t>
  </si>
  <si>
    <t>COMPUTER METHODS IN BIOMECHANICS AND BIOMEDICAL ENGINEERING</t>
  </si>
  <si>
    <t>Cartilage; finite element analysis; cross-species comparison; material modeling; nanoindentation; tribology</t>
  </si>
  <si>
    <t>To provide a better understanding of the contribution of specific constituents (i.e. proteoglycan, collagen, fluid) to the mechanical behavior of the superficial zone of articular cartilage, a complex biological tissue with several time-dependent properties, a finite element model was developed. Optimization was then used to fit the model to microindentation experiments. We used this model to compare superficial zone material properties of mature human vs. immature bovine articular cartilage. Non-linearity and stiffness of the fiber-reinforced component of the model differed between human and bovine tissue. This may be due to the more complex collagen architecture in mature tissue and is of interest to investigate in future work.</t>
  </si>
  <si>
    <t>[Mell, Steven P.; Yuh, Catherine; Chubinskaya, Susan; Lundberg, Hannah J.; Wimmer, Markus A.] Rush Univ Med Ctr, Chicago, IL 60612 USA; [Nagel, Thomas] Tech Univ Bergakademie Freiberg, Geotech Inst, Freiberg, Germany</t>
  </si>
  <si>
    <t>Rush University; Technical University Freiberg</t>
  </si>
  <si>
    <t>Mell, SP (corresponding author), Rush Univ Med Ctr, Chicago, IL 60612 USA.</t>
  </si>
  <si>
    <t>steven_p_mell@rush.edu</t>
  </si>
  <si>
    <t>National Institute of Arthritis and Musculoskeletal and Skin Diseases [NIH R01AR066635]; Klaus Kuettner chair for Osteoarthritis Research</t>
  </si>
  <si>
    <t>National Institute of Arthritis and Musculoskeletal and Skin Diseases(United States Department of Health &amp; Human ServicesNational Institutes of Health (NIH) - USANIH National Institute of Arthritis &amp; Musculoskeletal &amp; Skin Diseases (NIAMS)); Klaus Kuettner chair for Osteoarthritis Research</t>
  </si>
  <si>
    <t>Funding for this study was provided by The National Institute of Arthritis and Musculoskeletal and Skin Diseases (NIH R01AR066635) and by Klaus Kuettner chair for Osteoarthritis Research (SC).</t>
  </si>
  <si>
    <t>1025-5842</t>
  </si>
  <si>
    <t>1476-8259</t>
  </si>
  <si>
    <t>COMPUT METHOD BIOMEC</t>
  </si>
  <si>
    <t>Comput. Methods Biomech. Biomed. Eng.</t>
  </si>
  <si>
    <t>10.1080/10255842.2023.2255712</t>
  </si>
  <si>
    <t>Computer Science, Interdisciplinary Applications; Engineering, Biomedical</t>
  </si>
  <si>
    <t>R5OH4</t>
  </si>
  <si>
    <t>WOS:001064839400001</t>
  </si>
  <si>
    <t>Nasrekani, FM; Eipakchi, H</t>
  </si>
  <si>
    <t>Nasrekani, Farid Mahboubi; Eipakchi, Hamidreza</t>
  </si>
  <si>
    <t>Geometrically nonlinear effect on forced vibrational behavior of superlight composite beams with auxetic core layer under harmonic excitation based on FSDT</t>
  </si>
  <si>
    <t>MECHANICS BASED DESIGN OF STRUCTURES AND MACHINES</t>
  </si>
  <si>
    <t>L Nonlinear response; Harmonic excitation; Composite beam with auxetic core; Perturbation technique; Adjustable Poisson's ratio</t>
  </si>
  <si>
    <t>DYNAMIC-RESPONSE; CANTILEVER BEAM</t>
  </si>
  <si>
    <t>The growing use of light composite materials in different industries such as automotive and aerospace has caused the need for more studies to analyze their behavior. In this study, an analytical solution for the nonlinear forced vibrational behavior of a multilayered superlight composite beam with a honeycomb core layer and adjustable Poisson's ratio subjected to a harmonic excitation has been presented. The beam has two isotropic upper and lower layers with one honeycomb core layer. The Poisson's ratio of the honeycomb core layer can be adjusted by changing the honeycomb cell parameters in a range of negative to positive values. The equations of motion have been extracted using the first-order shear deformation theory and nonlinear von Karman relations. The equations are a system of coupled nonlinear partial differential equations that have been solved using the perturbation technique. To investigate the effect of different geometry and honeycomb cell parameters on the nonlinear response, a parametric study has been conducted. The effect of nonlinearity on the chaotic behavior and primary resonance is studied. The finite element method has been used to compare the results. It is observed that by adding a honeycomb layer, the total weight has been dropped by about 50% while the dynamic responses nearly remain the same.</t>
  </si>
  <si>
    <t>[Nasrekani, Farid Mahboubi] Univ South Pacific USP, Sch Informat Technol Engn Math &amp; Phys, Suva, Fiji; [Eipakchi, Hamidreza] Shahrood Univ Technol, Fac Mech Engn, Shahrood, Iran</t>
  </si>
  <si>
    <t>Shahrood University of Technology</t>
  </si>
  <si>
    <t>Nasrekani, FM (corresponding author), Univ South Pacific USP, Sch Informat Technol Engn Math &amp; Phys, Suva, Fiji.</t>
  </si>
  <si>
    <t>farid.nasrekani@usp.ac.fj</t>
  </si>
  <si>
    <t>Mahboubi Nasrekani, Farid/0000-0002-2970-439X</t>
  </si>
  <si>
    <t>1539-7734</t>
  </si>
  <si>
    <t>1539-7742</t>
  </si>
  <si>
    <t>MECH BASED DES STRUC</t>
  </si>
  <si>
    <t>Mech. Based Des. Struct. Mech.</t>
  </si>
  <si>
    <t>10.1080/15397734.2023.2255262</t>
  </si>
  <si>
    <t>Mechanics</t>
  </si>
  <si>
    <t>S3HR8</t>
  </si>
  <si>
    <t>WOS:001070118400001</t>
  </si>
  <si>
    <t>Ngango, J; Musabanganji, E; Maniriho, A; Nkikabahizi, F; Mukamuhire, A</t>
  </si>
  <si>
    <t>Ngango, Jules; Musabanganji, Edouard; Maniriho, Aristide; Nkikabahizi, Ferdinand; Mukamuhire, Anitha</t>
  </si>
  <si>
    <t>Examining the adoption of agroforestry in Southern Rwanda: a double hurdle approach</t>
  </si>
  <si>
    <t>FOREST SCIENCE AND TECHNOLOGY</t>
  </si>
  <si>
    <t>Agroforestry; Smallholder farmers; Adoption; Constraints; Double-hurdle model</t>
  </si>
  <si>
    <t>SMALL-SCALE IRRIGATION; IMPACT; TECHNOLOGIES; SOIL; TANZANIA; FARMERS; EROSION; DEMAND; SECTOR; WATER</t>
  </si>
  <si>
    <t>This article analyzes determinants of farmers' adoption decisions for agroforestry practices and the extent of adoption in rural Rwanda. The study also investigates the key constraints hindering smallholder farmers to adopt agroforestry. The study uses the cross-sectional data from a sample of 615 farmers and Cragg's double-hurdle model is used for the empirical estimation. The findings show that farmers' land ownership, cooperative membership, farming experience, market orientation, credit access, and distance to the market mainly determine adoption of agroforestry. Policies that enhance adoption of agroforestry should be consider the formation of farmers' cooperatives and provision of door-to-door education to uneducated farmers. In addition, strategies for supporting liquidity-constrained households to get continuous and increased access to credit should be put forward. Agricultural and resources development policies should direct efforts toward increased access to institutional support services such as better extension to farmers through cooperatives to promote the adoption of agroforestry.</t>
  </si>
  <si>
    <t>[Ngango, Jules; Maniriho, Aristide; Nkikabahizi, Ferdinand; Mukamuhire, Anitha] Univ Rwanda UR, Coll Business &amp; Econ CBE, Sch Econ, Dept Econ, Kigali, Rwanda; [Musabanganji, Edouard] Univ Rwanda UR, Coll Business &amp; Econ CBE, Sch Econ, Dept Appl Stat, Kigali, Rwanda</t>
  </si>
  <si>
    <t>Ngango, J (corresponding author), Univ Rwanda UR, Coll Business &amp; Econ CBE, Sch Econ, Dept Econ, Kigali, Rwanda.</t>
  </si>
  <si>
    <t>ngajules2@gmail.com</t>
  </si>
  <si>
    <t>Maniriho, Aristide/0000-0001-7367-1479; Ngango, Jules/0000-0002-9584-5318</t>
  </si>
  <si>
    <t>The authors gratefully acknowledge the financial support of the University of Rwanda through UR - Sweden Programme. We would also like to thank the enumerators and the data manager for their valuable cooperation during data collection.; University of Rwanda through UR - Sweden Programme</t>
  </si>
  <si>
    <t>The authors gratefully acknowledge the financial support of the University of Rwanda through UR - Sweden Programme. We would also like to thank the enumerators and the data manager for their valuable cooperation during data collection.</t>
  </si>
  <si>
    <t>2158-0103</t>
  </si>
  <si>
    <t>2158-0715</t>
  </si>
  <si>
    <t>FOR SCI TECHNOL</t>
  </si>
  <si>
    <t>For. Sci. Technol.</t>
  </si>
  <si>
    <t>10.1080/21580103.2023.2254317</t>
  </si>
  <si>
    <t>Forestry</t>
  </si>
  <si>
    <t>Q5UC0</t>
  </si>
  <si>
    <t>WOS:001058162400001</t>
  </si>
  <si>
    <t>Samuell, C</t>
  </si>
  <si>
    <t>Samuell, Christopher</t>
  </si>
  <si>
    <t>Native speakerism and the Japanese ideal of English language teaching: globalisation, ideology, and practice</t>
  </si>
  <si>
    <t>LANGUAGE AND INTERCULTURAL COMMUNICATION</t>
  </si>
  <si>
    <t>Native-speakerism; Japan; internationalisation; globalisation; EFL</t>
  </si>
  <si>
    <t>TEACHERS</t>
  </si>
  <si>
    <t>The relationship between concepts of 'native-speakerism', English language education and their effects on local stakeholders are continually evolving. As such, this paper critically analysed native-speakerist ideologies in the Japanese EFL teaching context with the aim of illustrating the complicated nature of native-speakerism as it currently exists. The findings of the review show that native-speakerism and associated ideologies can be seen in various aspects of ELT and ELL. Private English language teaching sectors, as well as higher educational institutions appear to employ elements of native-speakerism, such as the native-speaker fallacy, to the detriment of both native speakers and non-native speakers alike. ネイティブスピーカーの(sic)(sic)と(sic)語(sic)(sic)?そしてそれらの(sic)(sic)関係(sic)への(sic)響との関係は?絶えず進(sic)している.そのため?(sic)(sic)(sic)では?現(sic)(sic)(sic)するネイティブスピーカー(sic)right conduct の複雑な(sic)質を説(sic)することを(sic)とし?(sic)(sic)のEFL(sic)(sic)の(sic)脈におけるネイティブスピーカー(sic)right conduct イデオロギーを(sic)(sic)(sic)に(sic)(sic)した.その結(sic)?ネイティブスピーカー(sic)right conduct とそれに関連するイデオロギーは?ELT やELL の様々な(sic)(sic)で見られることが(sic)かった.</t>
  </si>
  <si>
    <t>[Samuell, Christopher] Hannan Univ, Dept Int Commun, Matsubara, Japan</t>
  </si>
  <si>
    <t>Samuell, C (corresponding author), Hannan Univ, Dept Int Commun, Matsubara, Japan.</t>
  </si>
  <si>
    <t>samuellchris@gmail.com</t>
  </si>
  <si>
    <t>Samuell, Christopher/AAD-5599-2022</t>
  </si>
  <si>
    <t>Samuell, Christopher/0000-0003-1357-4081</t>
  </si>
  <si>
    <t>1470-8477</t>
  </si>
  <si>
    <t>1747-759X</t>
  </si>
  <si>
    <t>LANG INTERCULT COMM</t>
  </si>
  <si>
    <t>Lang. Intercult. Commun.</t>
  </si>
  <si>
    <t>10.1080/14708477.2023.2248962</t>
  </si>
  <si>
    <t>Q5HO0</t>
  </si>
  <si>
    <t>WOS:001057831300001</t>
  </si>
  <si>
    <t>Sawyer, TH; Sawyer, TL</t>
  </si>
  <si>
    <t>Sawyer, Thomas H.; Sawyer, Tonya L.</t>
  </si>
  <si>
    <t>Sex Discrimination Title IX</t>
  </si>
  <si>
    <t>[Sawyer, Thomas H.] Indiana State Univ, Kinesiol &amp; Sport Management, Terre Haute, IN 47809 USA; [Sawyer, Tonya L.] St Mary Of The Woods Coll, Sport Management Programs, St Marys, IN USA</t>
  </si>
  <si>
    <t>Indiana State University</t>
  </si>
  <si>
    <t>Sawyer, TH (corresponding author), Indiana State Univ, Kinesiol &amp; Sport Management, Terre Haute, IN 47809 USA.</t>
  </si>
  <si>
    <t>thomas.sawyer@live.com</t>
  </si>
  <si>
    <t>10.1080/07303084.2023.2237373</t>
  </si>
  <si>
    <t>WOS:001067409900010</t>
  </si>
  <si>
    <t>Vannathara, A; Bhaskar, H; Unniampurath, S; Babu, DK</t>
  </si>
  <si>
    <t>Vannathara, Ashish; Bhaskar, Haseena; Unniampurath, Sreelatha; Korasseril Babu, Deepthy</t>
  </si>
  <si>
    <t>Acaricidal effects of Tagetes minuta L. (Asteraceae) against Tetranychus truncatus Ehara (Prostigmata: Tetranychidae)</t>
  </si>
  <si>
    <t>INTERNATIONAL JOURNAL OF ACAROLOGY</t>
  </si>
  <si>
    <t>Tagetes minuta; Tetranychus truncatus; solvent fractions; bioefficacy; ovicidal; adulticidal</t>
  </si>
  <si>
    <t>RED SPIDER-MITE; OLIGONYCHUS-COFFEAE; INSECTICIDAL PROPERTIES; CRUDE EXTRACTS; OIL; MANAGEMENT; ACARINA</t>
  </si>
  <si>
    <t>The study evaluated the efficacy of solvent fractions of Mexican marigold, Tagetes minuta against the spider mite, Tetranychus truncatus. The dried and pulverized botanical was subjected to sequential extraction using three solvents viz., hexane, chloroform and water in the increasing order of polarity. Solvent fractions were evaluated for their ovicidal and adulticidal activities against T. truncatus in the laboratory at five different concentrations viz., 0.025, 0.05, 0.1, 0.15 and 0.2 %. Results indicated that only hexane fraction at higher concentrations of 0.15 and 2.0 % exhibited significant ovicidal action, causing 100.00 and 81.33 per cent egg mortality, respectively. However, all the fractions recorded significant adulticidal effect at higher concentrations with hexane fractions at 0.2 and 0.15 % recording significantly higher adult mortality (&gt;90 %), followed by chloroform fraction. The best concentrations of the three solvent fractions identified in the laboratory study were evaluated against T. truncatus on amaranthus, in a pot culture experiment. Fourteen days post treatment, hexane fraction at 0.2 % reduced mite population by 88.78 per cent and was superior to neem oil emulsion at 2% (76.44 % reduction), which was on par with chloroform and aqueous fractions. Results of the study identified Mexican marigold as a potential candidate in mite pest management, which may be further validated through multi-locational field trials.</t>
  </si>
  <si>
    <t>[Vannathara, Ashish; Bhaskar, Haseena; Korasseril Babu, Deepthy] Kerala Agr Univ, Coll Agr, Dept Agr Entomol, Trichur 680656, Kerala, India; [Unniampurath, Sreelatha] Kerala Agr Univ, Coll Agr, Dept Floriculture &amp; Landscaping, Trichur, India</t>
  </si>
  <si>
    <t>Bhaskar, H (corresponding author), Kerala Agr Univ, Coll Agr, Dept Agr Entomol, Trichur 680656, Kerala, India.</t>
  </si>
  <si>
    <t>haseena.bhaskar@kau.in</t>
  </si>
  <si>
    <t>Kerala Agricultural University, Kerala, India; All India Network Project on Agricultural Acarology; KAU (Kerala Agricultural University) Centre</t>
  </si>
  <si>
    <t>The work was funded by Kerala Agricultural University, Kerala, India. Research support was received from All India Network Project on Agricultural Acarology, KAU (Kerala Agricultural University) Centre, during the research programme.</t>
  </si>
  <si>
    <t>0164-7954</t>
  </si>
  <si>
    <t>1945-3892</t>
  </si>
  <si>
    <t>INT J ACAROL</t>
  </si>
  <si>
    <t>Int. J. Acarol.</t>
  </si>
  <si>
    <t>10.1080/01647954.2023.2251497</t>
  </si>
  <si>
    <t>Entomology</t>
  </si>
  <si>
    <t>Q8QM4</t>
  </si>
  <si>
    <t>WOS:001060112200001</t>
  </si>
  <si>
    <t>Wasilewski, S</t>
  </si>
  <si>
    <t>Wasilewski, Serena</t>
  </si>
  <si>
    <t>Ethical considerations for requesting waivers of parental consent for research with minor adolescents who identify as LGBTQ</t>
  </si>
  <si>
    <t>ETHICS &amp; BEHAVIOR</t>
  </si>
  <si>
    <t>Ethics; institutional review board; APA general principles; vignette</t>
  </si>
  <si>
    <t>MENTAL-HEALTH; DECISIONAL CAPACITY; HIV; GAY; PARTICIPATION; BARRIERS; AUTONOMY</t>
  </si>
  <si>
    <t>Parental consent poses challenges to needed research with adolescents who identify as lesbian, gay, bisexual, transgender, queer and/or questioning (LGBTQ+) and are at heightened risk for negative health outcomes. Obtaining parental consent in studies focused on LGBTQ+ issues can prove arduous if adolescents have not yet disclosed their identity or have unsupportive guardians. Institutional Review Boards (IRBs) may be hesitant to grant waivers of parental consent, yet research suggests that studies requiring parental consent deter the participation of adolescents who identify as LGBTQ+. In this article, ethical considerations regarding waivers of parental consent in the context of the American Psychological Association's (APA) general ethical principles are reviewed and recommendations for psychological researchers seeking waivers of parental consent are offered. A vignette is used to demonstrate a question-and-answer guide to help determine if a waiver of parental consent is ethically justified.</t>
  </si>
  <si>
    <t>[Wasilewski, Serena] Univ S Florida, Dept Psychol, 140 7th Ave S, St Petersburg, FL 33701 USA</t>
  </si>
  <si>
    <t>State University System of Florida; University of South Florida</t>
  </si>
  <si>
    <t>Wasilewski, S (corresponding author), Univ S Florida, Dept Psychol, 140 7th Ave S, St Petersburg, FL 33701 USA.</t>
  </si>
  <si>
    <t>swasilewski@usf.edu</t>
  </si>
  <si>
    <t>This paper was reviewed by the American Psychological Association (APA) Ethics Committee in its writing competition and has not undergone blind peer review by Ethics amp;amp; Behavior. The APA Ethics Committee selected this paper as the W; APA Ethics Committee; [2023]</t>
  </si>
  <si>
    <t>This paper was reviewed by the American Psychological Association (APA) Ethics Committee in its writing competition and has not undergone blind peer review by Ethics amp;amp; Behavior. The APA Ethics Committee selected this paper as the W; APA Ethics Committee;</t>
  </si>
  <si>
    <t>I would like to thank Dr. Tiffany Chenneville for providing mentorship throughout creating this manuscript.r This paper was reviewed by the American Psychological Association (APA) Ethics Committee in its writing competition and has not undergone blind peer review by Ethics &amp; amp; Behavior. The APA Ethics Committee selected this paper as the Winner of its 2023 Graduate Student Writing Competition.</t>
  </si>
  <si>
    <t>1050-8422</t>
  </si>
  <si>
    <t>1532-7019</t>
  </si>
  <si>
    <t>ETHICS BEHAV</t>
  </si>
  <si>
    <t>Ethics Behav.</t>
  </si>
  <si>
    <t>10.1080/10508422.2023.2252120</t>
  </si>
  <si>
    <t>Ethics; Psychology, Multidisciplinary</t>
  </si>
  <si>
    <t>Social Sciences - Other Topics; Psychology</t>
  </si>
  <si>
    <t>Q5TO4</t>
  </si>
  <si>
    <t>WOS:001058148400001</t>
  </si>
  <si>
    <t>Borowski-Beszta, M; Borowska-Beszta, B; Polasik, M</t>
  </si>
  <si>
    <t>Borowski-Beszta, Mikolaj; Borowska-Beszta, Beata; Polasik, Michal</t>
  </si>
  <si>
    <t>Digital payment services in Poland as assistive technology and empowering tool for consumers with disabilities</t>
  </si>
  <si>
    <t>DISABILITY &amp; SOCIETY</t>
  </si>
  <si>
    <t>Digital payments; empowerment; assistive technology; payment cards; mobile payments</t>
  </si>
  <si>
    <t>ACCEPTANCE; PEOPLE; INCLUSION; DETERMINANTS; REFLECTIONS; INTENTION; ADOPTION; MODEL; WORK</t>
  </si>
  <si>
    <t>The retail payments market is developing, and the implementation of digital payments has been one of the trends in consumer finance worldwide. This is the first study to jointly examine the perception of digital payment methods and financial services' role, for consumers with and without disabilities. First, based on a nationwide survey on Internet users in Poland, the authors compared the popularity of selected financial services among consumers, then the perception of characteristics of payment methods. The results revealed that consumers with disabilities use a wide range of payment services, and they are included in digital finance. Moreover, contactless payment cards are used by consumers with disabilities even more often than by consumers on average. The results suggest that the control over finances make digital payments an important empowering tool for consumers with disabilities. Finally, the paper provides recommendations for the banking sector, on strategies for offering digital financial services. This paper examines the potential of new cashless payment methods as an empowering and assistive technologies for consumers with disabilities.The research found that consumers with disabilities use a wide range of payment services, and contactless payment cards are used by them even more often than by non-disabled people.People with disabilities also perceive payment cards as giving great control over their personal finance. This suggest that new payment methods might be their assistive and empowering tool of everyday life.Consequently, the research recommends that entities designing new payment methods should meet the needs of people with disabilities, because they could be improving their shopping and banking experience with appropriate adjustments.</t>
  </si>
  <si>
    <t>[Borowski-Beszta, Mikolaj] Nicolaus Copernicus Univ, Doctoral Sch Social Sci, Torun, Poland; [Borowska-Beszta, Beata] Nicolaus Copernicus Univ, Fac Philosophy &amp; Social Sci, Torun, Poland; [Polasik, Michal] Nicolaus Copernicus Univ, Fac Econ Sci &amp; Management, Torun, Poland</t>
  </si>
  <si>
    <t>Nicolaus Copernicus University; Nicolaus Copernicus University; Nicolaus Copernicus University</t>
  </si>
  <si>
    <t>Borowski-Beszta, M (corresponding author), Nicolaus Copernicus Univ, Doctoral Sch Social Sci, Torun, Poland.</t>
  </si>
  <si>
    <t>mbb@doktorant.umk.pl</t>
  </si>
  <si>
    <t>Borowska-Beszta, Beata/B-6131-2013</t>
  </si>
  <si>
    <t>Borowska-Beszta, Beata/0000-0002-2133-4400</t>
  </si>
  <si>
    <t>National Science Centre, Poland [2017/26/E/HS4/00858]</t>
  </si>
  <si>
    <t>National Science Centre, Poland(National Science Centre, Poland)</t>
  </si>
  <si>
    <t>This work was supported by the National Science Centre, Poland under Grant No. 2017/26/E/HS4/00858.</t>
  </si>
  <si>
    <t>0968-7599</t>
  </si>
  <si>
    <t>1360-0508</t>
  </si>
  <si>
    <t>DISABIL SOC</t>
  </si>
  <si>
    <t>Disabil. Soc.</t>
  </si>
  <si>
    <t>2023 SEP 1</t>
  </si>
  <si>
    <t>10.1080/09687599.2023.2254468</t>
  </si>
  <si>
    <t>Rehabilitation; Social Sciences, Interdisciplinary</t>
  </si>
  <si>
    <t>Rehabilitation; Social Sciences - Other Topics</t>
  </si>
  <si>
    <t>R6XZ5</t>
  </si>
  <si>
    <t>WOS:001065778600001</t>
  </si>
  <si>
    <t>Boum, A; El Guabli, B; Alalou, A</t>
  </si>
  <si>
    <t>Boum, Aomar; El Guabli, Brahim; Alalou, Ali</t>
  </si>
  <si>
    <t>Lamalif: a critical anthropology of societal debates in morocco during the Years of Lead' (1966-1988)</t>
  </si>
  <si>
    <t>JOURNAL OF NORTH AFRICAN STUDIES</t>
  </si>
  <si>
    <t>[Boum, Aomar] Univ Calif Los Angeles, Dept Anthropol, Los Angeles, CA 90095 USA; [Boum, Aomar] Univ Calif Los Angeles, Dept Hist, Los Angeles, CA 90095 USA; [Boum, Aomar] Univ Calif Los Angeles, Dept Near Eastern Languages &amp; Cultures, Los Angeles, CA 90095 USA</t>
  </si>
  <si>
    <t>University of California System; University of California Los Angeles; University of California System; University of California Los Angeles; University of California System; University of California Los Angeles</t>
  </si>
  <si>
    <t>Boum, A (corresponding author), Univ Calif Los Angeles, Dept Anthropol, Los Angeles, CA 90095 USA.;Boum, A (corresponding author), Univ Calif Los Angeles, Dept Hist, Los Angeles, CA 90095 USA.;Boum, A (corresponding author), Univ Calif Los Angeles, Dept Near Eastern Languages &amp; Cultures, Los Angeles, CA 90095 USA.</t>
  </si>
  <si>
    <t>aboum@anthro.ucla.edu</t>
  </si>
  <si>
    <t>1362-9387</t>
  </si>
  <si>
    <t>1743-9345</t>
  </si>
  <si>
    <t>J NORTH AFR STUD</t>
  </si>
  <si>
    <t>J. North Afr. Stud.</t>
  </si>
  <si>
    <t>10.1080/13629387.2023.2254046</t>
  </si>
  <si>
    <t>R6CM2</t>
  </si>
  <si>
    <t>WOS:001065211700001</t>
  </si>
  <si>
    <t>Cate, S; Moak, D</t>
  </si>
  <si>
    <t>Cate, Sarah; Moak, Daniel</t>
  </si>
  <si>
    <t>The School-to-Prison Pipeline and the Limits of Metaphor</t>
  </si>
  <si>
    <t>NEW POLITICAL SCIENCE</t>
  </si>
  <si>
    <t>School-to-prison pipeline; juvenile justice; education; mass incarceration; political economy; inequality; California; punitive</t>
  </si>
  <si>
    <t>DISCIPLINE; AMERICAN</t>
  </si>
  <si>
    <t>A substantial body of literature documenting the school-to-prison-pipeline identifies the adverse effects of punitive school discipline policies and how they have increased the contact students have with the juvenile justice system. This literature tends to position school policies and the broader education system as a significant contributor - both directly and indirectly - to incarceration. Relying on data from California, our paper first argues that there is little evidence of a direct school-to-prison pipeline, as school discipline policies are rarely directly responsible for juvenile incarceration. Drawing from an extensive secondary literature on mass incarceration and data on incarceration and crime rates, the paper then argues that there is little reason to believe that school policy is a substantive indirect driver of incarceration rates. Finally, we show that activists and policymakers have adopted the STPP framework in ways that incorrectly suggest that changes in school policy are key to addressing incarceration. While the metaphor has proven to be morally evocative and catchy, attracting the attention of activists and politicians across the political spectrum, it ultimately obfuscates the complex realities of what drives punitiveness in schools and in society writ large.</t>
  </si>
  <si>
    <t>[Cate, Sarah] Seattle Univ, Polit Sci, Seattle, WA USA; [Moak, Daniel] Connecticut Coll, Govt, New London, CT USA; [Cate, Sarah] Seattle Univ, Seattle, WA 98122 USA</t>
  </si>
  <si>
    <t>Seattle University; Connecticut College; Seattle University</t>
  </si>
  <si>
    <t>Cate, S (corresponding author), Seattle Univ, Seattle, WA 98122 USA.</t>
  </si>
  <si>
    <t>scate@seattleu.edu</t>
  </si>
  <si>
    <t>0739-3148</t>
  </si>
  <si>
    <t>1469-9931</t>
  </si>
  <si>
    <t>NEW POLIT SCI</t>
  </si>
  <si>
    <t>New Polit. Sci.</t>
  </si>
  <si>
    <t>10.1080/07393148.2023.2249297</t>
  </si>
  <si>
    <t>R1DS2</t>
  </si>
  <si>
    <t>WOS:001061821200001</t>
  </si>
  <si>
    <t>Cova, B; Guercini, S</t>
  </si>
  <si>
    <t>Cova, Bernard; Guercini, Simone</t>
  </si>
  <si>
    <t>Tribal entrepreneurs: caught in the crossfire of the tribal and market logics?</t>
  </si>
  <si>
    <t>CONSUMPTION MARKETS &amp; CULTURE</t>
  </si>
  <si>
    <t>Black box; field-level; market logic; tensions; tribal entrepreneur; tribal logic</t>
  </si>
  <si>
    <t>CONSUMPTION</t>
  </si>
  <si>
    <t>There is a statement that runs through the literature on consumer culture, one that contrasts tribal logic with market logic and asserts that they cannot be combined. This statement has become a black box of our discipline, in the Latourian sense of the term. This is especially visible when scholars are interested in tribal entrepreneurship. We want to open up this black box by interpreting the life of a mountain speleologist who invented a drilling tool that he started to produce in small batches and then made into a commercial success while continuing to practice his hobby with his tribe. Our paper shows that the binary opposition between the tribal logic and the market logic does not really exist in the experiences of tribal entrepreneurs. Indeed, our findings show they are often confronted with a multitude of logics, taking advantage of this multiplicity to navigate between apparently diverging logics.</t>
  </si>
  <si>
    <t>[Cova, Bernard] Kedge Business Sch, Mkt Dept, Marseille, France; [Guercini, Simone] Univ Florence, Dept Econ &amp; Management, Florence, Italy; [Cova, Bernard] Kedge Business Sch, Mkt Dept, Rue Antoine Bourdelle, F-13009 Marseille, France</t>
  </si>
  <si>
    <t>Kedge Business School; University of Florence; Kedge Business School</t>
  </si>
  <si>
    <t>Cova, B (corresponding author), Kedge Business Sch, Mkt Dept, Rue Antoine Bourdelle, F-13009 Marseille, France.</t>
  </si>
  <si>
    <t>bernard.cova@kedgebs.com</t>
  </si>
  <si>
    <t>1025-3866</t>
  </si>
  <si>
    <t>1477-223X</t>
  </si>
  <si>
    <t>CONSUMP MARK CULT</t>
  </si>
  <si>
    <t>Consump. Mark. Cult.</t>
  </si>
  <si>
    <t>10.1080/10253866.2023.2252751</t>
  </si>
  <si>
    <t>R2DJ6</t>
  </si>
  <si>
    <t>WOS:001062496300001</t>
  </si>
  <si>
    <t>Dick, M</t>
  </si>
  <si>
    <t>Dick, Malcolm</t>
  </si>
  <si>
    <t>Midland History Summer 2023</t>
  </si>
  <si>
    <t>MIDLAND HISTORY</t>
  </si>
  <si>
    <t>[Dick, Malcolm] Univ Birmingham, Ctr West Midlands Hist, Sch Hist &amp; Cultures, Birmingham, England</t>
  </si>
  <si>
    <t>University of Birmingham</t>
  </si>
  <si>
    <t>Dick, M (corresponding author), Univ Birmingham, Ctr West Midlands Hist, Sch Hist &amp; Cultures, Birmingham, England.</t>
  </si>
  <si>
    <t>M.M.Dick@bham.ac.uk</t>
  </si>
  <si>
    <t>0047-729X</t>
  </si>
  <si>
    <t>1756-381X</t>
  </si>
  <si>
    <t>MIDL HIST</t>
  </si>
  <si>
    <t>Midl. Hist.</t>
  </si>
  <si>
    <t>10.1080/0047729X.2023.2250212</t>
  </si>
  <si>
    <t>R5MI3</t>
  </si>
  <si>
    <t>WOS:001064787600001</t>
  </si>
  <si>
    <t>Ding, WJ; Mazouz, K; Ap Gwilym, O; Wang, QW</t>
  </si>
  <si>
    <t>Ding, Wenjie; Mazouz, Khelifa; Ap Gwilym, Owain; Wang, Qingwei</t>
  </si>
  <si>
    <t>Technical analysis as a sentiment barometer and the cross-section of stock returns</t>
  </si>
  <si>
    <t>QUANTITATIVE FINANCE</t>
  </si>
  <si>
    <t>Investor sentiment; Technical analysis; Delayed arbitrage; Cross-sectional returns; G02; G11; G12; G14</t>
  </si>
  <si>
    <t>INVESTOR SENTIMENT; ASSET PRICES; PROFITABILITY; PERFORMANCE; MOMENTUM; RULES; RISK; PREDICTABILITY; INFORMATION; ALGORITHMS</t>
  </si>
  <si>
    <t>This paper explores an unexamined sentiment channel through which technical analysis can add value. We use a spectrum of technical trading strategies to build a daily market sentiment indicator that is highly correlated with other commonly used sentiment measures. This technical-analysis-based sentiment indicator positively predicts near-term returns and is inversely related to long-term returns in the cross-section. Simple trading strategies based on this sentiment indicator yield substantial abnormal returns. These results are consistent with the explanation that lack of synchronization induces rational arbitrageurs to exploit the mispricing before it is corrected.</t>
  </si>
  <si>
    <t>[Ding, Wenjie; Wang, Qingwei] Sun Yat Sen Univ, Guangzhou, Peoples R China; [Mazouz, Khelifa] Univ Cardiff, Cardiff, Wales; [Ap Gwilym, Owain] Bangor Univ, Bangor, Wales</t>
  </si>
  <si>
    <t>Sun Yat Sen University; Cardiff University; Bangor University</t>
  </si>
  <si>
    <t>Mazouz, K (corresponding author), Univ Cardiff, Cardiff, Wales.</t>
  </si>
  <si>
    <t>mazouzk@cardiff.ac.uk</t>
  </si>
  <si>
    <t>National Natural Science Foundation of China [72203244]</t>
  </si>
  <si>
    <t>This paper subsumes part of a previously circulated working paper titled Investor sentiment, differences of opinion and market crash'. Wenjie Ding would like to thank the Young Scientists Fund of the National Natural Science Foundation of China (Grant No. 72203244) for funding this research. We thank Malcolm Baker, Darren Duxbury, Danial Hemmings, Nikolaos Karampatsas, Apostolos Kourtis, Nick Taylor, Dylan C. Thomas, Gwion Williams, as well as the confer-ence participants at the 2017 Behavioral Finance Working Group Conference, 2018 International Conference on Forecasting Financial Markets, and 2018 PBFEAM Conference for helpful discussions. All errors and omissions are ours.</t>
  </si>
  <si>
    <t>1469-7688</t>
  </si>
  <si>
    <t>1469-7696</t>
  </si>
  <si>
    <t>QUANT FINANC</t>
  </si>
  <si>
    <t>Quant. Financ.</t>
  </si>
  <si>
    <t>10.1080/14697688.2023.2244991</t>
  </si>
  <si>
    <t>Business, Finance; Economics; Mathematics, Interdisciplinary Applications; Social Sciences, Mathematical Methods</t>
  </si>
  <si>
    <t>Business &amp; Economics; Mathematics; Mathematical Methods In Social Sciences</t>
  </si>
  <si>
    <t>Q3YZ5</t>
  </si>
  <si>
    <t>WOS:001056921100001</t>
  </si>
  <si>
    <t>Ferretti, I; Zanoni, S; Zavanella, LE</t>
  </si>
  <si>
    <t>Ferretti, I.; Zanoni, S.; Zavanella, L. E.</t>
  </si>
  <si>
    <t>Facility layout problem with auxiliary systems for energy efficiency</t>
  </si>
  <si>
    <t>INTERNATIONAL JOURNAL OF SYSTEMS SCIENCE</t>
  </si>
  <si>
    <t>Facility Layout Problem; energy savings; auxiliary systems</t>
  </si>
  <si>
    <t>In the Facility Layout Design (FLD), little research considers the energy costs even though increasing attention is placed on the energy consumption related to auxiliary systems (i.e. electrical supply, process heat, refrigeration and compressed air). The approaches to solving the Facility Layout Problem (FLP) traditionally consider the costs related to the material flows, while the auxiliary systems are designed after the definition of the facility's placement. However, the arrangement of departments/machines influences the investment cost, associated with the installation of the auxiliary systems and their operating costs which, in several cases, represent a relevant part of the overall costs. Considering an energy-efficient solution, the FLD should be based not only on the material flows but also on the auxiliary systems. The objective of this study is to present a novel approach to FLP that jointly allows the optimization of the machines arrangement by considering both investment and operating costs related to the electrical service jointly to material flows. A solution algorithm to address the positioning of the electrical panel board and the selection of electrical cable sections are presented. The results obtained show an overall total cost minimisation with consistent savings compared to the traditional FLP approach.</t>
  </si>
  <si>
    <t>[Ferretti, I.; Zanoni, S.] Univ Brescia, Dept Civil Environm Architectural Engn &amp; Math, via Branze 38, I-25123 Brescia, Italy; [Zavanella, L. E.] Univ Brescia, Dept Mech &amp; Ind Engn, Brescia, Italy</t>
  </si>
  <si>
    <t>University of Brescia; University of Brescia</t>
  </si>
  <si>
    <t>Ferretti, I (corresponding author), Univ Brescia, Dept Civil Environm Architectural Engn &amp; Math, via Branze 38, I-25123 Brescia, Italy.</t>
  </si>
  <si>
    <t>ivan.ferretti@unibs.it</t>
  </si>
  <si>
    <t>0020-7721</t>
  </si>
  <si>
    <t>1464-5319</t>
  </si>
  <si>
    <t>INT J SYST SCI</t>
  </si>
  <si>
    <t>Int. J. Syst. Sci.</t>
  </si>
  <si>
    <t>OCT 26</t>
  </si>
  <si>
    <t>10.1080/00207721.2023.2252961</t>
  </si>
  <si>
    <t>Automation &amp; Control Systems; Computer Science, Theory &amp; Methods; Operations Research &amp; Management Science</t>
  </si>
  <si>
    <t>Automation &amp; Control Systems; Computer Science; Operations Research &amp; Management Science</t>
  </si>
  <si>
    <t>S6PN4</t>
  </si>
  <si>
    <t>WOS:001062457800001</t>
  </si>
  <si>
    <t>Karabanova, L; Gonchar, O; Nesin, S; Savelyev, Y</t>
  </si>
  <si>
    <t>Karabanova, Lyudmyla; Gonchar, Oleksii; Nesin, Stanislav; Savelyev, Yuri</t>
  </si>
  <si>
    <t>Nanocomposites based on polyurethane and modified montmorillonite: thermodynamic approach to reinforcement</t>
  </si>
  <si>
    <t>INTERNATIONAL JOURNAL OF POLYMER ANALYSIS AND CHARACTERIZATION</t>
  </si>
  <si>
    <t>Nanoclays; nanocomposites; X-ray diffraction; scanning electron microscopy; thermodynamic</t>
  </si>
  <si>
    <t>PHOSPHONIUM</t>
  </si>
  <si>
    <t>Nanocomposites based on thermoplastic polyurethane and montmorillonite (Mt) modified with oligourethaneammonium chloride were synthesized. The nanocomposites were obtained by the method solution exfoliation. The influence of the filler content on the thermodynamic of interactions, physical and mechanical properties, the structure and morphology of the created nanocomposites was investigated. The investigations have shown that the free energy of mixing the filler and the matrix during the formation of the nanocomposites decisively determines the physical and mechanical properties of the created nanocomposites. In case of thermodynamic compatibility between the matrix and the filler, dense surface layers of the matrix on the filler, high-quality polymer-filler contacts in the system are formed, which leads to the creation of nanocomposites with increased parameters of physical and mechanical properties. Mt modified with urethane-containing compounds can form strong hydrogen bonds with the polar polymer matrix and this allow to exfoliate the Mt up to the plates</t>
  </si>
  <si>
    <t>[Karabanova, Lyudmyla; Gonchar, Oleksii; Nesin, Stanislav; Savelyev, Yuri] Natl Acad Sci Ukraine, Inst Macromol Chem, Dept Chem Heterochain Polymers &amp; IPN, Kiev, Ukraine; [Karabanova, Lyudmyla] Natl Acad Sci Ukraine, Inst Macromol Chem, Dept Chem Heterochain Polymers &amp; IPN, 48 Kharkov Rd, UA-02160 Kiev, Ukraine</t>
  </si>
  <si>
    <t>National Academy of Sciences Ukraine; Institute of Macromolecular Chemistry, National Academy of Sciences of Ukraine; National Academy of Sciences Ukraine; Institute of Macromolecular Chemistry, National Academy of Sciences of Ukraine</t>
  </si>
  <si>
    <t>Karabanova, L (corresponding author), Natl Acad Sci Ukraine, Inst Macromol Chem, Dept Chem Heterochain Polymers &amp; IPN, 48 Kharkov Rd, UA-02160 Kiev, Ukraine.</t>
  </si>
  <si>
    <t>lyudmyla_karaban@ukr.net</t>
  </si>
  <si>
    <t>Karabanova, Lyudmyla/0000-0002-5909-0042</t>
  </si>
  <si>
    <t>National Academy of Sciences of Ukraine, GrantScientific principles of functional polymer systems creation for modern technologies</t>
  </si>
  <si>
    <t>This study was funded by the National Academy of Sciences of Ukraine, GrantScientific principles of functional polymer systems creation for modern technologies</t>
  </si>
  <si>
    <t>1023-666X</t>
  </si>
  <si>
    <t>1563-5341</t>
  </si>
  <si>
    <t>INT J POLYM ANAL CH</t>
  </si>
  <si>
    <t>Int. J. Polym. Anal. Charact.</t>
  </si>
  <si>
    <t>10.1080/1023666X.2023.2250137</t>
  </si>
  <si>
    <t>Q5VW8</t>
  </si>
  <si>
    <t>WOS:001058209200001</t>
  </si>
  <si>
    <t>Palomares, LO; Reyes, JA; Reyes, G</t>
  </si>
  <si>
    <t>Palomares, L. O.; Reyes, J. Adrian; Reyes, G.</t>
  </si>
  <si>
    <t>Non-linear optical chiral nematic bandgap</t>
  </si>
  <si>
    <t>LIQUID CRYSTALS</t>
  </si>
  <si>
    <t>Group velocity; chiral nematic liquid crystals; liquid crystals; electric field</t>
  </si>
  <si>
    <t>LIQUID-CRYSTALS; HIGH-POWER; LIGHT</t>
  </si>
  <si>
    <t>We construct a joint Lagrangian to describe the interaction between a non-magnetic chiral or twisted nematic phase and an electromagnetic wave. Using the well-known Oseen transformation, we rewrite the Lagrangian to transform the director angle of the liquid crystal in an ignorable coordinate which allows to decouple the electric components from the director angle to get the non-linear dynamical equation governing the electromagnetic fields within the liquid crystal phase. We propose a trial solution to get an approximated solution of the fields which allow us to get an intensity dependent band structure that we analyse.</t>
  </si>
  <si>
    <t>[Palomares, L. O.; Reyes, J. Adrian; Reyes, G.] Univ Nacl Autonoma Mexico, Inst Fis, Inst Invest Matemat Aplicadas &amp; Sistemas, Dept Fis Quim,Fac Ciencias, Ciudad De Mexico, Mexico</t>
  </si>
  <si>
    <t>Universidad Nacional Autonoma de Mexico</t>
  </si>
  <si>
    <t>Reyes, G (corresponding author), Univ Nacl Autonoma Mexico, Inst Fis, Inst Invest Matemat Aplicadas &amp; Sistemas, Dept Fis Quim,Fac Ciencias, Ciudad De Mexico, Mexico.</t>
  </si>
  <si>
    <t>reyesvalgui@gmail.com</t>
  </si>
  <si>
    <t>Direccion General de Asuntos del Personal Academico UNAM [IN100921]</t>
  </si>
  <si>
    <t>Direccion General de Asuntos del Personal Academico UNAM(Universidad Nacional Autonoma de Mexico)</t>
  </si>
  <si>
    <t>J. Adrian Reyes acknowledges partial financial support from grant Direccion General de Asuntos del Personal Academico UNAM IN100921.</t>
  </si>
  <si>
    <t>0267-8292</t>
  </si>
  <si>
    <t>1366-5855</t>
  </si>
  <si>
    <t>LIQ CRYST</t>
  </si>
  <si>
    <t>Liq. Cryst.</t>
  </si>
  <si>
    <t>10.1080/02678292.2023.2248593</t>
  </si>
  <si>
    <t>Chemistry, Multidisciplinary; Crystallography; Materials Science, Multidisciplinary</t>
  </si>
  <si>
    <t>Chemistry; Crystallography; Materials Science</t>
  </si>
  <si>
    <t>R5LV0</t>
  </si>
  <si>
    <t>WOS:001064773900001</t>
  </si>
  <si>
    <t>Panayotova, P</t>
  </si>
  <si>
    <t>Panayotova, Plamena</t>
  </si>
  <si>
    <t>Inventing the language of Things: the emergence of scientific reporting in seventeenth-century England</t>
  </si>
  <si>
    <t>ANNALS OF SCIENCE</t>
  </si>
  <si>
    <t>Scientific report; Royal Society; language; science popularization</t>
  </si>
  <si>
    <t>As a style of writing and a form of communication, the modern scientific report enables the creation, sharing and continuous updating of natural knowledge in such a manner that the idiosyncrasies of ordinary language are reduced to a minimum. This article examines how the standards for scientific reporting were 'born' in the seventeenth century and their legacy. The first part of the article reviews the existing literature on this topic. The second part outlines the key features of the scientific report and the common standards for scientific reporting. The third part presents detailed historical evidence to trace the emergence of these standards in seventeenth-century England. The final part discusses why the scientific report means so much for the progress of science, for understanding the history of science and science popularization, and even for the development of academia more generally.</t>
  </si>
  <si>
    <t>[Panayotova, Plamena] Univ Edinburgh, Sch Social &amp; Polit Sci, Edinburgh, Scotland</t>
  </si>
  <si>
    <t>University of Edinburgh</t>
  </si>
  <si>
    <t>Panayotova, P (corresponding author), Univ Edinburgh, Sch Social &amp; Polit Sci, Edinburgh, Scotland.</t>
  </si>
  <si>
    <t>ppanayo2@ed.ac.uk</t>
  </si>
  <si>
    <t>British Academy</t>
  </si>
  <si>
    <t>The research towards this article was funded by the British Academy.</t>
  </si>
  <si>
    <t>0003-3790</t>
  </si>
  <si>
    <t>1464-505X</t>
  </si>
  <si>
    <t>ANN SCI</t>
  </si>
  <si>
    <t>Ann. Sci.</t>
  </si>
  <si>
    <t>10.1080/00033790.2023.2235364</t>
  </si>
  <si>
    <t>History &amp; Philosophy Of Science</t>
  </si>
  <si>
    <t>Science Citation Index Expanded (SCI-EXPANDED); Social Science Citation Index (SSCI); Arts &amp; Humanities Citation Index (A&amp;HCI)</t>
  </si>
  <si>
    <t>History &amp; Philosophy of Science</t>
  </si>
  <si>
    <t>O4LO9</t>
  </si>
  <si>
    <t>WOS:001043548600001</t>
  </si>
  <si>
    <t>Zama, F</t>
  </si>
  <si>
    <t>Zama, Fabiana</t>
  </si>
  <si>
    <t>An introduction to modelling through a microbial interaction application</t>
  </si>
  <si>
    <t>INTERNATIONAL JOURNAL OF MATHEMATICAL EDUCATION IN SCIENCE AND TECHNOLOGY</t>
  </si>
  <si>
    <t>Numerical solution of ODEs; parameter estimation; graduate class assignments; mathematical modelling; fermentation; microbes</t>
  </si>
  <si>
    <t>This paper describes a teaching experiment in a Numerical Methods course for Master of Science students. The experiment uses scientific papers to develop modelling studies in the context of wine fermentation microbial interactions. The course involves theoretical and laboratory classes that focus on implementing numerical methods using Matlab for Initial Value Problems and Boundary Value Problems. The students are asked to formalise the mathematical model and build their own experiments using the information provided in the papers. Additionally, a parameter estimation experiment is organised, which involves generating synthetic data and computing noisy data to estimate the natural death rate of sensitive yeast. The results show that data noise significantly affects the parameter estimate and that scaling the data can help reduce the impact of measurement errors. The presented results can be used to investigate other possible assignments, such as how the evaluation of the Jacobian affects the estimation performance and compare different optimisation algorithms.</t>
  </si>
  <si>
    <t>[Zama, Fabiana] Univ Bologna, Dept Math, Bologna, Italy</t>
  </si>
  <si>
    <t>University of Bologna</t>
  </si>
  <si>
    <t>Zama, F (corresponding author), Univ Bologna, Dept Math, Bologna, Italy.</t>
  </si>
  <si>
    <t>fabiana.zama@unibo.it</t>
  </si>
  <si>
    <t>ZAMA, FABIANA/Q-7798-2018</t>
  </si>
  <si>
    <t>ZAMA, FABIANA/0000-0003-3961-4037</t>
  </si>
  <si>
    <t>0020-739X</t>
  </si>
  <si>
    <t>1464-5211</t>
  </si>
  <si>
    <t>INT J MATH EDUC SCI</t>
  </si>
  <si>
    <t>Int. J. Math. Educ. Sci. Technol.</t>
  </si>
  <si>
    <t>10.1080/0020739X.2023.2249465</t>
  </si>
  <si>
    <t>Q8OV6</t>
  </si>
  <si>
    <t>WOS:001060069400001</t>
  </si>
  <si>
    <t>Adeoye, AO; Porta, DJ; Rivoira, MA; Garcia, NH</t>
  </si>
  <si>
    <t>Adeoye, Akinwunmi O.; Porta, Daniela J.; Rivoira, Maria A.; Garcia, Nestor H.</t>
  </si>
  <si>
    <t>Pharmacoinformatics studies of coenzyme Q10 and potassium polyacrylate on angiotensin-converting enzyme associated with hypertension</t>
  </si>
  <si>
    <t>Angiotensin-converting enzyme; coenzyme Q10; potassium polyacrylate; docking; molecular dynamics</t>
  </si>
  <si>
    <t>CARDIOVASCULAR-DISEASE; CRYSTAL-STRUCTURE; METABOLISM; DOCKING</t>
  </si>
  <si>
    <t>Coenzyme Q10's (CoQ10) favorable impact on cardiovascular diseases risk factors like hypertension and atherosclerosis is linked to the antioxidant action of CoQ10 in these conditions. This study showed the possible effects of CoQ10, potassium polyacrylate (PCK), and valsartan, a reference drug, on the angiotensin-converting enzyme (ACE), a crucial component of the renin-angiotensin system. The Glide tool on Maestro 11.1 was used to calculate the respective binding affinity and binding energy of these compounds towards ACE. The Schrodinger suite was used to run molecular dynamic simulations for 100 ns. The pkCSM tool was used to forecast the pharmacokinetic characteristics and toxicological effects. The SwissADME server was used to estimate the drug-like properties of these compounds. Based on their corresponding scoring values and the negative values of the binding free energies, molecular docking analysis of CoQ10 and PCK revealed that both exhibited favorable binding affinities towards the ACE, with CoQ10 having the highest binding scores. The results showed that both CoQ10 and PCK and the reference drug, valsartan, have some amino acids in common (at the pocket site of ACE) as the key residues for binding to ACE. Both CoQ10 and PCK demonstrated drug-like qualities and were not harmful, according to the predicted pharmacokinetics and toxicology studies. The results of this study suggest that because of its inhibitory interactions with ACE, CoQ10 in particular could be useful in regulating and reducing hypertension.Communicated by Ramaswamy H. Sarma</t>
  </si>
  <si>
    <t>[Adeoye, Akinwunmi O.; Porta, Daniela J.; Rivoira, Maria A.; Garcia, Nestor H.] INICSA, Enrique Barros Pabellon Biol Celular, Ciudad Univ, Cordoba, Argentina; [Adeoye, Akinwunmi O.] Fed Univ Oye Ekiti, Dept Biochem, Oye, Nigeria; [Adeoye, Akinwunmi O.] INICSA, Enrique Barros Pabellon Biol Celular, Ciudad Univ, RA-X5000 Cordoba, Argentina</t>
  </si>
  <si>
    <t>Adeoye, AO (corresponding author), INICSA, Enrique Barros Pabellon Biol Celular, Ciudad Univ, RA-X5000 Cordoba, Argentina.</t>
  </si>
  <si>
    <t>akinwunmi.adeoye@fuoye.edu.ng</t>
  </si>
  <si>
    <t>Adeoye, Akinwunmi Oluwaseun/L-3141-2019</t>
  </si>
  <si>
    <t>Adeoye, Akinwunmi Oluwaseun/0000-0002-2669-0607</t>
  </si>
  <si>
    <t>2023 AUG 31</t>
  </si>
  <si>
    <t>10.1080/07391102.2023.2254395</t>
  </si>
  <si>
    <t>AUG 2023</t>
  </si>
  <si>
    <t>Q6UC2</t>
  </si>
  <si>
    <t>WOS:001058845500001</t>
  </si>
  <si>
    <t>Boyanova, L; Dimitrov, G; Gergova, R; Hadzhiyski, P; Markovska, R</t>
  </si>
  <si>
    <t>Boyanova, Lyudmila; Dimitrov, Georgi; Gergova, Raina; Hadzhiyski, Petyo; Markovska, Rumyana</t>
  </si>
  <si>
    <t>Clostridioides difficile resistance to antibiotics, including post-COVID-19 data</t>
  </si>
  <si>
    <t>EXPERT REVIEW OF CLINICAL PHARMACOLOGY</t>
  </si>
  <si>
    <t>Antibiotic; resistance; Clostridioides difficile; Clostridium difficile; hypervirulent; multidrug resistance; ribotypes; treatment</t>
  </si>
  <si>
    <t>INFECTIOUS-DISEASES SOCIETY; HEALTH-CARE EPIDEMIOLOGY; ANTIMICROBIAL SUSCEPTIBILITY; AMERICA IDSA; GUIDELINES; SURVEILLANCE; FIDAXOMICIN; MANAGEMENT; EMERGENCE; UPDATE</t>
  </si>
  <si>
    <t>Introduction: Updating data on Clostridioides difficile antibiotic resistance is important for treatment improvement of C. difficile infections (CDIs). Areas covered: Results from 20 countries were included. The mean resistance to 2 mg/l vancomycin, 2 mg/l metronidazole, 4 mg/l moxifloxacin, and 4 mg/l clindamycin was 4.7% (0 to = 26% in two studies), 2.6% (0 to = 40% in 3 studies), 34.9% (6.6-&gt;80%), and 61.0% (30-&gt;90%), respectively. Resistance to erythromycin (&gt;60-88%), rifampin (&gt;23-55.0%), imipenem (0.6 to &gt; 78% in a clone), tigecycline (0-&lt;5.0%), and fidaxomicin (0-2%) was also found. Resistance to = 5 antibiotics of different classes was reported in some countries. High resistance and multidrug resistance were observed in hypervirulent and epidemic strains. Although only 1% of COVID-19 patients had CDIs, the proportion might be underestimated. Expert opinion: C. difficile antimicrobial susceptibility varied by country/region, study period, and circulating ribotypes. For CDI treatment, fidaxomicin (preferably) or vancomycin is recommended, while metronidazole is suitable for mild infections. New approaches, including biotherapeutics (Rebyota), strains, antibiotics (ridinilazole and ibezapolstat), and monoclonal antibodies/cocktails merit further evaluation. Because of the resistance rate variations, C. difficile antibiotic susceptibility should be regularly monitored. Post-COVID-19 resistance should be separately presented. Some discrepancies between vancomycin and metronidazole results need to be clarified.</t>
  </si>
  <si>
    <t>[Boyanova, Lyudmila; Dimitrov, Georgi; Gergova, Raina; Markovska, Rumyana] Med Univ Sofia, Med Fac, Dept Med Microbiol, Sofia, Bulgaria; [Hadzhiyski, Petyo] Med Univ Sofia, Specialized Hosp Act Pediat Treatment, Sofia, Bulgaria; [Boyanova, Lyudmila] Med Univ Sofia, Dept Med Microbiol, Zdrave Str 2, Sofia, Bulgaria</t>
  </si>
  <si>
    <t>Medical University Sofia; Medical University Sofia; Medical University Sofia</t>
  </si>
  <si>
    <t>Boyanova, L (corresponding author), Med Univ Sofia, Dept Med Microbiol, Zdrave Str 2, Sofia, Bulgaria.</t>
  </si>
  <si>
    <t>l.boyanova@hotmail.com</t>
  </si>
  <si>
    <t>Markovska, Rumyana/W-8207-2019; Boyanova, Lyudmila/HMW-1231-2023</t>
  </si>
  <si>
    <t>Markovska, Rumyana/0000-0003-1634-8768; Boyanova, Lyudmila/0000-0001-9622-0873</t>
  </si>
  <si>
    <t>Medical University of Sofia, Bulgaria [136/14.06.2022, 7305/17.11.2021]</t>
  </si>
  <si>
    <t>Medical University of Sofia, Bulgaria</t>
  </si>
  <si>
    <t>This work was supported by Medical University of Sofia, Bulgaria, under Grant/Contract No. [D-136/14.06.2022], project No. 7305/17.11.2021</t>
  </si>
  <si>
    <t>1751-2433</t>
  </si>
  <si>
    <t>1751-2441</t>
  </si>
  <si>
    <t>EXPERT REV CLIN PHAR</t>
  </si>
  <si>
    <t>Expert Rev. Clin. Pharmacol.</t>
  </si>
  <si>
    <t>AUG 31</t>
  </si>
  <si>
    <t>10.1080/17512433.2023.2252331</t>
  </si>
  <si>
    <t>Q5GP1</t>
  </si>
  <si>
    <t>WOS:001057806300001</t>
  </si>
  <si>
    <t>Buffault, J; Brignole-Baudouin, F; Labbe, A; Baudouin, C</t>
  </si>
  <si>
    <t>Buffault, Juliette; Brignole-Baudouin, Francoise; Labbe, Antoine; Baudouin, Christophe</t>
  </si>
  <si>
    <t>An Overview of Current Glaucomatous Trabecular Meshwork Models</t>
  </si>
  <si>
    <t>CURRENT EYE RESEARCH</t>
  </si>
  <si>
    <t>Glaucoma model; trabecular meshwork; 3D culture; in vitro model; tissue engineering; outflow</t>
  </si>
  <si>
    <t>PRIMARY OPEN-ANGLE; AQUEOUS-HUMOR; INTRAOCULAR-PRESSURE; OUTFLOW FACILITY; EXTRACELLULAR-MATRIX; OCULAR HYPERTENSION; STEM-CELLS; PERFUSION; MYOCILIN; TGF-BETA-2</t>
  </si>
  <si>
    <t>PurposeTo provide an overview of the existing alternative models for studying trabecular meshwork (TM).MethodsLiterature review.ResultsThe TM is a complex tissue that regulates aqueous humor outflow from the eye. Dysfunction of the TM is a major contributor to the pathogenesis of open-angle glaucoma, a leading cause of irreversible blindness worldwide. The TM is a porous structure composed of trabecular meshwork cells (TMC) within a multi-layered extracellular matrix (ECM). Although dysregulation of the outflow throughout the TM represents the first step in the disease process, the underlying mechanisms of TM degeneration associate cell loss and accumulation of ECM, but remain incompletely understood, and drugs targeting the TM are limited. Therefore, experimental models of glaucomatous trabeculopathy are necessary for preclinical screening, to advance research on this disease's pathophysiology, and to develop new therapeutic strategies targeting the TM. Traditional animal models have been used extensively, albeit with inherent limitations, including ethical concerns and limited translatability to humans. Consequently, there has been an increasing focus on developing alternative in vitro models to study the TM. Recent advancements in three-dimensional cell culture and tissue engineering are still in their early stages and do not yet fully reflect the complexity of the outflow pathway. However, they have shown promise in reducing reliance on animal experimentation in certain aspects of glaucoma research.ConclusionThis review provides an overview of the existing alternative models for studying TM and their potential for advancing research on the pathophysiology of open-angle glaucoma and developing new therapeutic strategies.</t>
  </si>
  <si>
    <t>[Buffault, Juliette; Labbe, Antoine; Baudouin, Christophe] Quinze Vingts Natl Ophthalmol Hosp, IHU Foresight, Dept Ophthalmol 3, Paris, France; [Buffault, Juliette; Brignole-Baudouin, Francoise; Labbe, Antoine; Baudouin, Christophe] Sorbonne Univ, Inst Vis, INSERM, CNRS,IHU Foresight, Paris, France; [Buffault, Juliette; Labbe, Antoine] Univ Versailles St Quentin En Yvelines, Ambroise Pare Hosp, AP HP, Dept Ophthalmol, Boulogne Billancourt, France; [Brignole-Baudouin, Francoise] Quinze Vingts Natl Ophthalmol Hosp, Dept Biol, IHU Foresight, Paris, France</t>
  </si>
  <si>
    <t>CHNO des Quinze-Vingts; UDICE-French Research Universities; Sorbonne Universite; UDICE-French Research Universities; Sorbonne Universite; Institut National de la Sante et de la Recherche Medicale (Inserm); Centre National de la Recherche Scientifique (CNRS); UDICE-French Research Universities; Universite Paris Saclay; Assistance Publique Hopitaux Paris (APHP); Hopital Universitaire Ambroise-Pare - APHP; UDICE-French Research Universities; Sorbonne Universite; CHNO des Quinze-Vingts</t>
  </si>
  <si>
    <t>Buffault, J (corresponding author), Quinze Vingts Natl Ophthalmol Hosp, IHU Foresight, Dept Ophthalmol 3, Paris, France.</t>
  </si>
  <si>
    <t>jbuffault@15-20.fr</t>
  </si>
  <si>
    <t>BRIGNOLE-BAUDOUIN, FRANCOISE/0000-0002-2006-5384; Baudouin, Christophe/0000-0003-1743-6698</t>
  </si>
  <si>
    <t>0271-3683</t>
  </si>
  <si>
    <t>1460-2202</t>
  </si>
  <si>
    <t>CURR EYE RES</t>
  </si>
  <si>
    <t>Curr. Eye Res.</t>
  </si>
  <si>
    <t>10.1080/02713683.2023.2253378</t>
  </si>
  <si>
    <t>Q5VN2</t>
  </si>
  <si>
    <t>WOS:001058199600001</t>
  </si>
  <si>
    <t>Elprama, SA; De Bock, S; Meeusen, R; De Pauw, K; Vanderborght, B; Jacobs, A</t>
  </si>
  <si>
    <t>Elprama, Shirley A.; De Bock, Sander; Meeusen, Romain; De Pauw, Kevin; Vanderborght, Bram; Jacobs, An</t>
  </si>
  <si>
    <t>Design and Implementation Requirements for Increased Acceptance of Occupational Exoskeletons in an Industrial Context: A Qualitative Study</t>
  </si>
  <si>
    <t>INTERNATIONAL JOURNAL OF HUMAN-COMPUTER INTERACTION</t>
  </si>
  <si>
    <t>Exoskeleton; user requirement; design ethnography; acceptance; qualitative research</t>
  </si>
  <si>
    <t>Occupational exoskeletons are not yet frequently used at work. Previous research has indicated multiple factors (physiological, implementation-related, work-related, policy, and psycho-social) that can explain this lack of adoption. However, there is a lack of specific requirements related to these themes to improve exoskeletons and their adoption. Therefore, the goal of our research is to formulate concrete requirements for the design and implementation of exoskeletons. We used a design ethnography approach (focus groups, an interview, observations, surveys, and group interviews) with multiple stakeholders (users, designers, and potential future users). Our data suggest that potential future users of exoskeletons believe that existing exoskeletons should be improved to be adopted. Exoskeletons should be more comfortable to wear and flexible enough to support a wider range of tasks. We have formulated 49 requirements for occupational exoskeletons, and we validated and extended an existing framework. Our work encourages the improved design of future or existing exoskeletons.</t>
  </si>
  <si>
    <t>[Elprama, Shirley A.; Jacobs, An] Vrije Univ Brussel &amp; BruBot, Imec SMIT, Brussels, Belgium; [De Bock, Sander; Meeusen, Romain; De Pauw, Kevin] Vrije Univ Brussel &amp; BruBot, MFYS, Brussels, Belgium; [Vanderborght, Bram] Vrije Univ Brussel Imec BruBot, Brussels, Belgium</t>
  </si>
  <si>
    <t>Elprama, SA (corresponding author), Vrije Univ Brussel &amp; BruBot, Imec SMIT, Brussels, Belgium.</t>
  </si>
  <si>
    <t>Shirley.Elprama@vub.be</t>
  </si>
  <si>
    <t>De Bock, Sander/AAX-8336-2020; Vanderborght, Bram/A-1599-2008</t>
  </si>
  <si>
    <t>De Bock, Sander/0000-0001-8351-9702; Jacobs, An/0000-0001-8058-1455; Vanderborght, Bram/0000-0003-4881-9341</t>
  </si>
  <si>
    <t>The authors would like to thank all the participants for their contributions to this research. We also would like to thank Lennert Vierendeels for engaging companies to participate in our research. We thank Aya Seif Eddin for transcribing the focus groups [871237, 101070596]; EU Sophia - European Union; European Union's Horizon Europe Framework Program; Brain in Health and Disease: The Added Value of Human-Centered Robotics; [H2020-ICT-2019-2/2019-2023]</t>
  </si>
  <si>
    <t>The authors would like to thank all the participants for their contributions to this research. We also would like to thank Lennert Vierendeels for engaging companies to participate in our research. We thank Aya Seif Eddin for transcribing the focus groups; EU Sophia - European Union; European Union's Horizon Europe Framework Program; Brain in Health and Disease: The Added Value of Human-Centered Robotics;</t>
  </si>
  <si>
    <t>The authors would like to thank all the participants for their contributions to this research. We also would like to thank Lennert Vierendeels for engaging companies to participate in our research. We thank Aya Seif Eddin for transcribing the focus groups and help with moderating them. This research was conducted as part of the EU Sophia project and funded by the European Union's Horizon 2020 Research and Innovation Programme (H2020-ICT-2019-2/2019-2023) under grant agreement No. 871237, and as part of euROBIN, which was funded by the European Union's Horizon Europe Framework Program (grant number 101070596). It was also partially funded by Strategic Research Program 77, entitled Exercise and the Brain in Health and Disease: The Added Value of Human-Centered Robotics. The focus groups were commissioned by Carglass, Daikin and DEME-Group.</t>
  </si>
  <si>
    <t>1044-7318</t>
  </si>
  <si>
    <t>1532-7590</t>
  </si>
  <si>
    <t>INT J HUM-COMPUT INT</t>
  </si>
  <si>
    <t>Int. J. Hum.-Comput. Interact.</t>
  </si>
  <si>
    <t>10.1080/10447318.2023.2247597</t>
  </si>
  <si>
    <t>Computer Science, Cybernetics; Ergonomics</t>
  </si>
  <si>
    <t>Q2ZQ9</t>
  </si>
  <si>
    <t>WOS:001056252600001</t>
  </si>
  <si>
    <t>Kelebekli, L; Sahin, E</t>
  </si>
  <si>
    <t>Kelebekli, Latif; Sahin, Ertan</t>
  </si>
  <si>
    <t>Stereospecific synthesis of Pd(0)-catalyzed oxazolidinone with tetracyclic structure</t>
  </si>
  <si>
    <t>SYNTHETIC COMMUNICATIONS</t>
  </si>
  <si>
    <t>bis-Carbamate; carbamate; oxazolidinones; regioselective</t>
  </si>
  <si>
    <t>REDUCTIONS</t>
  </si>
  <si>
    <t>The efficient synthesis of a new class of oxazolidinone with strained rings is described. The allylic cis-diol as the key intermediate was first prepared via two steps starting from p-benzoquinone. Formation of the bis-carbamate groups with p-TsNCO of allylic cis-diol followed by a Pd(0) catalyzed ionization/cyclization reaction gave the corresponding oxazolidinone derivative. Oxidation and acetylation of only one alkene moiety in the compound gave a diacetate oxazolidinone compound stereoselectively. The structure of diacetate oxazolidinone compound was resolved by X-ray diffraction and the stereochemistry of the structure was determined. Characterization of all the synthesized compounds was performed by FT-IR, H-1 NMR, C-13 NMR, and Elemental Analysis techniques.</t>
  </si>
  <si>
    <t>[Kelebekli, Latif] Ordu Univ, Fac Sci &amp; Arts, Dept Chem, Ordu, Turkey; [Sahin, Ertan] Ataturk Univ, Fac Sci, Dept Chem, Erzurum, Turkey; [Kelebekli, Latif] Ordu Univ, Fac Sci &amp; Arts, Dept Chem, TR-52200 Ordu, Turkey</t>
  </si>
  <si>
    <t>Ordu University; Ataturk University; Ordu University</t>
  </si>
  <si>
    <t>Kelebekli, L (corresponding author), Ordu Univ, Fac Sci &amp; Arts, Dept Chem, TR-52200 Ordu, Turkey.</t>
  </si>
  <si>
    <t>lkelebekli@yahoo.com</t>
  </si>
  <si>
    <t>0039-7911</t>
  </si>
  <si>
    <t>1532-2432</t>
  </si>
  <si>
    <t>SYNTHETIC COMMUN</t>
  </si>
  <si>
    <t>Synth. Commun.</t>
  </si>
  <si>
    <t>10.1080/00397911.2023.2252537</t>
  </si>
  <si>
    <t>Chemistry, Organic</t>
  </si>
  <si>
    <t>Chemistry</t>
  </si>
  <si>
    <t>Q8OW3</t>
  </si>
  <si>
    <t>WOS:001060070100001</t>
  </si>
  <si>
    <t>Kumar, V</t>
  </si>
  <si>
    <t>Kumar, Vishakha</t>
  </si>
  <si>
    <t>The teachers' discourse on religion and morality</t>
  </si>
  <si>
    <t>BRITISH JOURNAL OF RELIGIOUS EDUCATION</t>
  </si>
  <si>
    <t>Religion; morality; schoolteachers</t>
  </si>
  <si>
    <t>This paper presents a study which was done to investigate schoolteachers' discourse on morality. The teachers used three dimensions to construct and present their discourse on morality: food, religion and relationship. These teachers were drawn from different types of private and public schools in Delhi, the capital of India. The teachers considered religion as a defining aspect of their lives and associated morality with it in an intricate manner. They taught in schools that did not impart religious education; however, their own religious beliefs formed a strong and reliable reference point for their professional role.</t>
  </si>
  <si>
    <t>[Kumar, Vishakha] Delhi Univ, Jesus &amp; Mary Coll, Delhi, India</t>
  </si>
  <si>
    <t>University of Delhi</t>
  </si>
  <si>
    <t>Kumar, V (corresponding author), Delhi Univ, Jesus &amp; Mary Coll, Delhi, India.</t>
  </si>
  <si>
    <t>kumar.vishakha@gmail.com</t>
  </si>
  <si>
    <t>0141-6200</t>
  </si>
  <si>
    <t>1740-7931</t>
  </si>
  <si>
    <t>BRIT J RELIG EDUC</t>
  </si>
  <si>
    <t>Brit. J. Relig. Educ.</t>
  </si>
  <si>
    <t>10.1080/01416200.2023.2252193</t>
  </si>
  <si>
    <t>Education &amp; Educational Research; Religion</t>
  </si>
  <si>
    <t>Q9GO5</t>
  </si>
  <si>
    <t>WOS:001060531300001</t>
  </si>
  <si>
    <t>Macdonald, N; Attias, JC</t>
  </si>
  <si>
    <t>Macdonald, Nathan; Attias, Jean-Christophe</t>
  </si>
  <si>
    <t>A Woman Called Moses: a prophet for our time</t>
  </si>
  <si>
    <t>[Macdonald, Nathan] St Johns Coll, Cambridge, England</t>
  </si>
  <si>
    <t>University of Cambridge</t>
  </si>
  <si>
    <t>Macdonald, N (corresponding author), St Johns Coll, Cambridge, England.</t>
  </si>
  <si>
    <t>nm10011@cam.ac.uk</t>
  </si>
  <si>
    <t>10.1080/14725886.2023.2252354</t>
  </si>
  <si>
    <t>Q8QA7</t>
  </si>
  <si>
    <t>WOS:001060100500001</t>
  </si>
  <si>
    <t>Pham, QN</t>
  </si>
  <si>
    <t>Pham, Quynh N.</t>
  </si>
  <si>
    <t>Nong dan being wronged: fighting for the world in a place</t>
  </si>
  <si>
    <t>INTERNATIONAL JOURNAL OF HUMAN RIGHTS</t>
  </si>
  <si>
    <t>Subaltern politics; displacement; agrarian lifeworlds; world making; postcolonial thought</t>
  </si>
  <si>
    <t>HUMAN-RIGHTS; UNITED-NATIONS; LAND; COSMOPOLITICS; DECLARATION; INDIGENEITY; POLITICS; PEOPLES</t>
  </si>
  <si>
    <t>In this article, I attend to the politics of world making in subaltern struggles against agrarian displacement by listening closely to Vietnamese villagers' refusal to be displaced. I argue that rendering these struggles intelligible through the prevalent framework of rights obscures the ontological violence and stakes involved. It is crucial to be vigilant of not only the limitations of rights' (in)capacity to address wrongs, but also the implication of the rights discourse in unequal power relations and global hegemony. To contemplate politics and ethics 'after rights' is to explore globally diverse languages and desires for just relations that have long existed before and alongside rights. It requires us to be mindful of the complex layers of subaltern speeches and actions beyond the dominant lexicon. Here I examine carefully the hermeneutic and ontological layers of peasants' claims of being wronged ('nong dan oan') in their battle against displacement in Vi?t Nam. I suggest that their articulations of violation, dialogue, and revolt open us up to conceptions of being human and being just alternative to those contained within rights discourse.</t>
  </si>
  <si>
    <t>[Pham, Quynh N.] Univ San Francisco, Dept Int Studies, San Francisco, CA 94117 USA</t>
  </si>
  <si>
    <t>University of San Francisco</t>
  </si>
  <si>
    <t>Pham, QN (corresponding author), Univ San Francisco, Dept Int Studies, San Francisco, CA 94117 USA.</t>
  </si>
  <si>
    <t>qnpham2@usfca.edu</t>
  </si>
  <si>
    <t>CAS FDF Committee at USF</t>
  </si>
  <si>
    <t>I owe heartfelt thanks to Louiza Odysseos and Bal Sokhi-Bulley for their incredible work and dedication in organising the 'After Rights: Politics, Ethics, Aesthetics' workshop series in 2021-2022, creating the collective space for us to engage each other's work, and giving multiple rounds of close, careful reading and generous feedback. I have learned a lot from the workshop participants and greatly appreciate their engagement with my work. I also presented an earlier version of this article at the International Studies Association's Annual Convention in 2022. I thank colleagues on the panel and in the audience for their resonant and stimulating responses. Special thanks to Himadeep Muppidi for his attentive reading of multiple versions of this work. I would also like to thank the CAS FDF Committee at USF for granting funds to support a part of this research, Vanessa Sanchez for her helpful research assistance, and the three anonymous reviewers for their generous and thought-provoking feedback.</t>
  </si>
  <si>
    <t>1364-2987</t>
  </si>
  <si>
    <t>1744-053X</t>
  </si>
  <si>
    <t>INT J HUM RIGHTS</t>
  </si>
  <si>
    <t>Int. J. Hum. Rights</t>
  </si>
  <si>
    <t>10.1080/13642987.2023.2251252</t>
  </si>
  <si>
    <t>Law</t>
  </si>
  <si>
    <t>R5DZ5</t>
  </si>
  <si>
    <t>WOS:001064566900001</t>
  </si>
  <si>
    <t>Srinivasan, P; Sivaruban, T; Barathy, S; Rajasekaran, I</t>
  </si>
  <si>
    <t>Srinivasan, Pandiarajan; Sivaruban, Thambiratnam; Barathy, Sivaruban; Rajasekaran, Isack</t>
  </si>
  <si>
    <t>First report of gynandromorph mayfly, Centroptella ghatensis Kluge, 2021, from India</t>
  </si>
  <si>
    <t>AQUATIC INSECTS</t>
  </si>
  <si>
    <t>Baetidae; Centroptella ghatensis; India; intersex; Western Ghats</t>
  </si>
  <si>
    <t>EPHEMEROPTERA; INTERSEXUALITY; POPULATION</t>
  </si>
  <si>
    <t>In this contribution, we report a gynandromorph mayfly for the first time from India. The gynandromorph traits were visible in the subimaginal stage of the species Centroptella ghatensis Kluge, 2021 collected in the southern Western Ghats, Tamil Nadu. It is the second record of a gynandromorph mayfly from the family Baetidae in the Oriental Region.</t>
  </si>
  <si>
    <t>[Srinivasan, Pandiarajan; Sivaruban, Thambiratnam; Rajasekaran, Isack] Madurai Kamaraj Univ, Amer Coll, PG&amp; Res Dept Zool, Madurai 625002, India; [Barathy, Sivaruban] Madurai Kamaraj Univ, Fatima Coll, Dept Zool, Madurai, India</t>
  </si>
  <si>
    <t>Madurai Kamaraj University; Madurai Kamaraj University</t>
  </si>
  <si>
    <t>Sivaruban, T (corresponding author), Madurai Kamaraj Univ, Amer Coll, PG&amp; Res Dept Zool, Madurai 625002, India.</t>
  </si>
  <si>
    <t>sivaruban270@gmail.com</t>
  </si>
  <si>
    <t>We are thankful to Dr Davamani Christober (Principal and Secretary of The American College, Madurai) for providing us the facilities to carry out this research work.</t>
  </si>
  <si>
    <t>0165-0424</t>
  </si>
  <si>
    <t>1744-4152</t>
  </si>
  <si>
    <t>AQUAT INSECT</t>
  </si>
  <si>
    <t>Aquat. Insects</t>
  </si>
  <si>
    <t>10.1080/01650424.2023.2253212</t>
  </si>
  <si>
    <t>S1OR9</t>
  </si>
  <si>
    <t>WOS:001068940500001</t>
  </si>
  <si>
    <t>Balakrishnan, P; Gopinath, S</t>
  </si>
  <si>
    <t>Balakrishnan, P.; Gopinath, S.</t>
  </si>
  <si>
    <t>A hybrid approach for enhancing the dynamic stability in power system</t>
  </si>
  <si>
    <t>INTERNATIONAL JOURNAL OF ELECTRONICS</t>
  </si>
  <si>
    <t>Dynamic stability; modified Heffron-Phillip's; owl search algorithm; power system stabilizer; improved grey wolf optimizer</t>
  </si>
  <si>
    <t>WOLF OPTIMIZATION ALGORITHM; SEARCH ALGORITHM; DESIGN</t>
  </si>
  <si>
    <t>This article proposes an optimal approach of improving the dynamic stability in power system by using hybrid method based power system-stabiliser. The proposed hybrid approach is an integration of Owl Search algorithm (OSA) and Improved Grey Wolf Optimizer (IGWO); hence, it is known as OSA-IGWO method. The objective of the proposed method is to enhance the power system's dynamic stability. This notion offers a singular approach to design the sturdy Power System Stabiliser (PSS) and enhance the dynamic energy machine balance. The Modified Heffron-Phillip's version can be evolved through generator facet transformer voltage because endless bus voltage and connection are considered to lessen the complexity with computational time. An energy machine stabiliser is referred to as Modified Power System Stabiliser (MPSS) that can be evolved and incorporated with PID controller; the usage of proposed approach in a Single-Machine-Infinity Bus-System uses Modified Heffron-Phillips (MHP) version. The OSA-IGWO approach may be used to select the benefit sets of PID-MPSS. The proposed version complements the dynamic overall performance of machine via the way of means of growing the damping ratio of the energy machine below diverse running conditions. The OSA-IGWO method is done in MATLABplatform, and its performance is compared with existing methods.</t>
  </si>
  <si>
    <t>[Balakrishnan, P.; Gopinath, S.] Annasaheb Dange Coll Engn &amp; Technol Autonomous, Dept Elect Engn, Ashta, India</t>
  </si>
  <si>
    <t>Balakrishnan, P (corresponding author), Annasaheb Dange Coll Engn &amp; Technol Autonomous, Dept Elect Engn, Ashta, India.</t>
  </si>
  <si>
    <t>bala4k@yahoo.com</t>
  </si>
  <si>
    <t>0020-7217</t>
  </si>
  <si>
    <t>1362-3060</t>
  </si>
  <si>
    <t>INT J ELECTRON</t>
  </si>
  <si>
    <t>Int. J. Electron.</t>
  </si>
  <si>
    <t>2023 AUG 30</t>
  </si>
  <si>
    <t>10.1080/00207217.2023.2245195</t>
  </si>
  <si>
    <t>Engineering, Electrical &amp; Electronic</t>
  </si>
  <si>
    <t>Q3ZG8</t>
  </si>
  <si>
    <t>WOS:001056928500001</t>
  </si>
  <si>
    <t>Boot, A; Krahnen, J; Senbet, L; Spatt, C</t>
  </si>
  <si>
    <t>Boot, Arnoud; Krahnen, Jan; Senbet, Lemma; Spatt, Chester</t>
  </si>
  <si>
    <t>The Controversy over Proxy Voting: The Role of Fund Managers and Proxy Advisors</t>
  </si>
  <si>
    <t>FINANCIAL ANALYSTS JOURNAL</t>
  </si>
  <si>
    <t>asset manager; governance; proxy advice; proxy advisory market; securities regulation; shareholder activism; shareholder proposals</t>
  </si>
  <si>
    <t>In this statement, we assess the role and power of proxy advisors and asset managers in corporate governance in a market that is characterized by a limited number of voting advisory firms (Institutional Shareholder Services and Glass Lewis) and a growing dominance of index investing concentrated in a few large asset managers, such as BlackRock, Vanguard, and State Street. We discuss the business model of proxy advisory firms and contrast its objectives with those of asset managers in the context of the informational screening/filtering role and voting analysis and conclude with a set of policy recommendations addressing transparency and regulatory oversight.</t>
  </si>
  <si>
    <t>[Boot, Arnoud] Univ Amsterdam, Finance, Amsterdam, Netherlands; [Boot, Arnoud; Krahnen, Jan] CEPR, London, England; [Krahnen, Jan] SAFE, Finance, Surrey, BC, Canada; [Senbet, Lemma] Univ Maryland, Smith Sch, Finance, College Pk, MD USA; [Senbet, Lemma] Brookings AGI, Washington, DC USA; [Spatt, Chester] Carnegie Mellon Univ, Tepper Sch Business, Finance, Pittsburgh, PA USA; [Spatt, Chester] NBER, Cambridge, MA USA</t>
  </si>
  <si>
    <t>University of Amsterdam; Centre for Economic Policy Research - UK; University System of Maryland; University of Maryland College Park; Carnegie Mellon University; National Bureau of Economic Research</t>
  </si>
  <si>
    <t>Krahnen, J (corresponding author), CEPR, London, England.;Krahnen, J (corresponding author), SAFE, Finance, Surrey, BC, Canada.</t>
  </si>
  <si>
    <t>krahnen@safe-frankfurt.de</t>
  </si>
  <si>
    <t>0015-198X</t>
  </si>
  <si>
    <t>1938-3312</t>
  </si>
  <si>
    <t>FINANC ANAL J</t>
  </si>
  <si>
    <t>Financ. Anal. J.</t>
  </si>
  <si>
    <t>10.1080/0015198X.2023.2240081</t>
  </si>
  <si>
    <t>Business, Finance</t>
  </si>
  <si>
    <t>R5LF3</t>
  </si>
  <si>
    <t>WOS:001064758100001</t>
  </si>
  <si>
    <t>Grimm, CJ; de Terte, I; Hodgetts, D; Kearney, S</t>
  </si>
  <si>
    <t>Grimm, Carsten James; de Terte, Ian; Hodgetts, Darrin; Kearney, Stephen</t>
  </si>
  <si>
    <t>Narratives of holistic mental health recovery in New Zealand Defence Force personnel</t>
  </si>
  <si>
    <t>Military; mental health; narrative analysis; indigenous health; posttraumatic growth; help seeking; military healthcare system</t>
  </si>
  <si>
    <t>COMPREHENSIVE SOLDIER FITNESS; POSTTRAUMATIC GROWTH; MILITARY; MAORI; PERSPECTIVE; RESILIENCE; PSYCHOTHERAPY; VETERANS; CULTURE; COMBAT</t>
  </si>
  <si>
    <t>Research on military mental health recovery has tended to focus on therapy outcomes while backgrounding the role of diverse healing influences. The New Zealand Defence Force (NZDF) is a bicultural military integrated with Maori customs and cultural perspectives on holistic health and wellbeing. This study used narrative analysis to examine the semi-structured interviews of 21 active duty NZDF personnel who had accessed mental healthcare to understand what factors contributed to their return to wellness. Narratives described an orientation toward recovery as a process, where many interrelated wellbeing and social factors together supported the return to health. Culturally available Maori wellbeing metaphors were adopted as heuristics by service members in their storying of growth and healing. Findings are considered in terms of how wellbeing and recovery are conceptualized and promoted within militaries with diverse cultures. Discussion focuses on how narratives within military institutions can promote resilience and support service member recovery from mental distress.</t>
  </si>
  <si>
    <t>[Grimm, Carsten James; Kearney, Stephen] New Zealand Def Force, Directorate Hlth, Wellington, New Zealand; [Grimm, Carsten James] Massey Univ, Sch Psychol, Manawatu Campus, Palmerston North, New Zealand; [de Terte, Ian] Massey Univ, Sch Psychol, Wellington Campus, Wellington, New Zealand; [Hodgetts, Darrin] Massey Univ, Sch Psychol, Albany Campus, Auckland, New Zealand; [Grimm, Carsten James] HQNZDF, Directorate Hlth, Def House,34 Bowen St, Wellington 6011, New Zealand</t>
  </si>
  <si>
    <t>Massey University; Massey University; Massey University</t>
  </si>
  <si>
    <t>Grimm, CJ (corresponding author), New Zealand Def Force, Directorate Hlth, Wellington, New Zealand.;Grimm, CJ (corresponding author), Massey Univ, Sch Psychol, Manawatu Campus, Palmerston North, New Zealand.;Grimm, CJ (corresponding author), HQNZDF, Directorate Hlth, Def House,34 Bowen St, Wellington 6011, New Zealand.</t>
  </si>
  <si>
    <t>Carsten.grimm@nzdf.mil.nz</t>
  </si>
  <si>
    <t>We thank the participants for sharing their stories with courage in this study. C.G. wishes to acknowledge the support provided by NZDF to allow this research to occur. All authors acknowledge the NZDF Chief of Defence Force for granting a Defence Force Or; NZDF; NZDF Chief of Defence Force</t>
  </si>
  <si>
    <t>We thank the participants for sharing their stories with courage in this study. C.G. wishes to acknowledge the support provided by NZDF to allow this research to occur. All authors acknowledge the NZDF Chief of Defence Force for granting a Defence Force Order (Temporary) to preserve participant confidentiality which allowed for frank and open discussions during interviews.</t>
  </si>
  <si>
    <t>10.1080/08995605.2023.2250708</t>
  </si>
  <si>
    <t>Q8RL9</t>
  </si>
  <si>
    <t>WOS:001060137700001</t>
  </si>
  <si>
    <t>Kalita, R; Lotliker, AA</t>
  </si>
  <si>
    <t>Kalita, Rupam; Lotliker, Aneesh Anandrao</t>
  </si>
  <si>
    <t>Assessment of satellite-based Net Primary Productivity models in different biogeochemical provinces over the northern Indian Ocean</t>
  </si>
  <si>
    <t>INTERNATIONAL JOURNAL OF REMOTE SENSING</t>
  </si>
  <si>
    <t>Net Primary Productivity; north Indian Ocean; biogeochemical provinces</t>
  </si>
  <si>
    <t>ARABIAN SEA; EASTERN; COASTAL; DRIVEN</t>
  </si>
  <si>
    <t>The biological productivity in the oceanic ecosystem plays a vital role in the global carbon cycle and energy flow in the oceanic food chain. Therefore, proper monitoring of phytoplankton primary production in the ocean is essential to understand the role and responses of aquatic ecosystems to global climate change. Its quantification is also important for higher trophic-level studies and sustainable ecosystem management. The advent of satellite technology has provided an opportunity to retrieve Net Primary Productivity (NPP) at high spatial and temporal resolution. However, for efficient utilization of satellite NPP it is imperative to assess the models for their accuracy and variability. The present study described NPP estimated from MODIS-Aqua satellite data (2003-2021) using five models (VGPM, Eppley-VGPM, CbPM, CAFE, and SABPM) and their variability in the four biogeochemical provinces (ARAB, MONS, INDW and INDE) in the northern Indian Ocean. The temporal variability indicated all models exhibit seasonal variability in ARAB and INDW with two prominent peaks during peak southwest monsoon (June-August) and winter monsoon (December-January). However, there was significant difference in the magnitude. The seasonal peak was primarily due to increase in NPP due to summer upwelling and winter mixing. The spatially averaged diversity index indicated maximum variability in INDW (74.6-77.1%), followed by INDE (77.2-78.0%), ARAB (77.2-78.4%), and MONS (78.6-78.9%). The satellite retrieved NPP by various models showed maximum diversity in the region above 15 &amp; DEG;N and west of 60 &amp; DEG;E in AS and 20 &amp; DEG;N and east 90 &amp; DEG;E in the BoB indicating a significant influence of discharge from perennial rivers resulting in poor performance of the models in these regions. The variability of other models was then assessed with respect CbPM as the model was known to perform better. The Eppley-VGPM showed a maximum (55%) and SABPM showed a minimum (11%) Mean Absolute Percentage Difference with respect to CbPM. The long-term spatio-temporal and quantifiable variability between the NPP models, and biogeochemical provinces, indicated that the study provided useful information on the selection and utilization of an appropriate model for future sustainability and climate change studies.</t>
  </si>
  <si>
    <t>[Kalita, Rupam; Lotliker, Aneesh Anandrao] Minist Earth Sci MoES, Indian Natl Ctr Ocean Informat Serv INCOIS, Hyderabad, India; [Kalita, Rupam] Kerala Univ Fisheries &amp; Ocean Studies KUFOS, KUFOS INCOIS Joint Res Ctr, Cochin, India; [Lotliker, Aneesh Anandrao] Minist Earth Sci MoES, Indian Natl Ctr Ocean Informat Serv INCOIS, Hyderabad 500090, India</t>
  </si>
  <si>
    <t>Ministry of Earth Sciences (MoES) - India; Indian National Centre for Ocean Information Services (INCOIS); Kerala University of Fisheries &amp; Ocean Studies; Ministry of Earth Sciences (MoES) - India; Indian National Centre for Ocean Information Services (INCOIS)</t>
  </si>
  <si>
    <t>Lotliker, AA (corresponding author), Minist Earth Sci MoES, Indian Natl Ctr Ocean Informat Serv INCOIS, Hyderabad 500090, India.</t>
  </si>
  <si>
    <t>aneesh@incois.gov.in</t>
  </si>
  <si>
    <t>Ministry of Earth Sciences [MoES/OSMART/EFC2021]</t>
  </si>
  <si>
    <t>Ministry of Earth Sciences</t>
  </si>
  <si>
    <t>This work was supported by the Ministry of Earth Sciences [MoES/OSMART/EFC2021 dtd 07.03.2022].</t>
  </si>
  <si>
    <t>0143-1161</t>
  </si>
  <si>
    <t>1366-5901</t>
  </si>
  <si>
    <t>INT J REMOTE SENS</t>
  </si>
  <si>
    <t>Int. J. Remote Sens.</t>
  </si>
  <si>
    <t>10.1080/01431161.2023.2247533</t>
  </si>
  <si>
    <t>Remote Sensing; Imaging Science &amp; Photographic Technology</t>
  </si>
  <si>
    <t>Q8RY8</t>
  </si>
  <si>
    <t>WOS:001060150600001</t>
  </si>
  <si>
    <t>Lu, SW; Ahn, J</t>
  </si>
  <si>
    <t>Lu, Shiwen; Ahn, Jiseon</t>
  </si>
  <si>
    <t>Assessment of job meaning based on attributes of food-delivery mobile applications</t>
  </si>
  <si>
    <t>sense of purpose; autonomy; self-efficacy; intrinsic motivation; extrinsic motivation; job meaning</t>
  </si>
  <si>
    <t>SELF-DETERMINATION THEORY; INTRINSIC MOTIVATION; ORGANIZATIONAL CULTURE; GIG ECONOMY; WORK; SATISFACTION; PERFORMANCE; SPILLOVER; TECHNOLOGY; LEADERSHIP</t>
  </si>
  <si>
    <t>Using a mixed method, this study investigated how food delivery employees' perceived sense of purpose, autonomy, and self-efficacy from delivery applications affected job meaning using data from online surveys and online reviews of food delivery employees in the United States. The results of partial least-squares structural equation modelling revealed that mobile application attributes influenced both intrinsic and extrinsic motivation, which was reflected in job meaning. Perceived autonomy from mobile delivery applications showed the highest impact on intrinsic motivation, followed by sense of purpose and self-efficacy. The impact of intrinsic motivation on job meaning was greater than that of extrinsic motivation. Furthermore, the results of the qualitative study highlighted the role of food delivery applications in employees' job-related outcomes. Given the increasing interest in service employees' well-being, this study provided deeper understanding of not just the functional characteristics that have a positive significance in work, but also the psychological aspects of mobile applications.</t>
  </si>
  <si>
    <t>[Lu, Shiwen] Taylors Univ, Sch Hospitality Tourism &amp; Events, Lakeside Campus, Subang Jaya, Malaysia; [Ahn, Jiseon] Hanyang Univ, Sch Business, Seoul, South Korea</t>
  </si>
  <si>
    <t>Taylor's University; Hanyang University</t>
  </si>
  <si>
    <t>Ahn, J (corresponding author), Hanyang Univ, Sch Business, Seoul, South Korea.</t>
  </si>
  <si>
    <t>jsahn@hanyang.ac.kr</t>
  </si>
  <si>
    <t>LU, SHIWEN/0000-0003-1318-7639</t>
  </si>
  <si>
    <t>10.1080/13683500.2023.2252559</t>
  </si>
  <si>
    <t>R1LU1</t>
  </si>
  <si>
    <t>WOS:001062033700001</t>
  </si>
  <si>
    <t>Mahzoni, H; Naghsh, E; Sharifi, M; Moghaddas, A; Momenzadeh, M; Moghaddas, A</t>
  </si>
  <si>
    <t>Mahzoni, Hamed; Naghsh, Erfan; Sharifi, Mehran; Moghaddas, Ayda; Momenzadeh, Mahnaz; Moghaddas, Azadeh</t>
  </si>
  <si>
    <t>Potential Drug Interactions in Terminally-Ill Cancer Patients, a Report from the Middle East</t>
  </si>
  <si>
    <t>JOURNAL OF PAIN &amp; PALLIATIVE CARE PHARMACOTHERAPY</t>
  </si>
  <si>
    <t>Drug interaction; drug therapy; palliative care; adverse drug reaction; cancer</t>
  </si>
  <si>
    <t>PALLIATIVE CARE</t>
  </si>
  <si>
    <t>This study aims to evaluate the epidemiology of potential drug interactions in terminally-ill cancer patients receiving exclusively supportive care. In this cross-sectional study, during a 6-month follow-up, we considered the medical record of terminally-ill cancer patients referred to palliative care at the cancer center in Isfahan, Iran. Potential drug-drug interactions (DDIs) were assessed by Lexi-Interact ver.1.1 online software. During the study period, 133 terminally-ill cancer patients were recruited. We detected 1678 DDIs with moderate or major severity levels. Among them, 330, 219, 32, 1075, and 51 interactions were categorized in B, C, D, and X drug interactions categories, respectively. One hundred and twenty-two patients (91.73%) encountered at least one potential drug-drug interaction during the end of life care. Mechanistically, most drug-drug interactions (64.5%) were pharmacodynamics. The most frequent pharmacological class of drugs responsible for DDIs were quetiapine (91 cases), oxycodone (87 cases), and sertraline (55 cases). Interaction between oxycodone and sertraline was found to be in the top 10 detected DDIs (13.7%). Our results showed that potentially moderate or major drug-drug interactions often occur among terminally-ill cancer patients and the clinical significance of DDIs should be considered meticulously in the palliative care cancer setting.</t>
  </si>
  <si>
    <t>[Mahzoni, Hamed; Momenzadeh, Mahnaz; Moghaddas, Azadeh] Isfahan Univ Med Sci, Fac Pharm, Dept Clin Pharm &amp; Pharm Practice, Esfahan, Iran; [Sharifi, Mehran] Isfahan Univ Med Sci, Fac Pharm, Dept Clin Pharm &amp; Pharm Practice, Clin Pharm, Esfahan, Iran; [Naghsh, Erfan] Toronto Metropolitan Univ, Dept Elect Comp &amp; Biomed Engn, Toronto, ON, Canada; [Sharifi, Mehran] Isfahan Univ Med Sci, Fac Med, Dept Internal Med, Oncol &amp; Hematol Sect,Internal Med, Esfahan, Iran; [Moghaddas, Ayda] Iran Univ Med Sci, Fac Med, Dept Internal Med, Tehran, Iran</t>
  </si>
  <si>
    <t>Isfahan University Medical Science; Isfahan University Medical Science; Isfahan University Medical Science; Iran University of Medical Sciences</t>
  </si>
  <si>
    <t>Moghaddas, A (corresponding author), Isfahan Univ Med Sci, Fac Pharm, Dept Clin Pharm &amp; Pharm Practice, Esfahan, Iran.</t>
  </si>
  <si>
    <t>moghaddas@pharm.mui.ac.ir</t>
  </si>
  <si>
    <t>Isfahan Pharmaceutical Sciences Research Center, Isfahan University of Medical Sciences, I.R. Iran [49559]</t>
  </si>
  <si>
    <t>Isfahan Pharmaceutical Sciences Research Center, Isfahan University of Medical Sciences, I.R. Iran</t>
  </si>
  <si>
    <t>This study was part of the Pharm.D thesis and financially supported by Isfahan Pharmaceutical Sciences Research Center, Isfahan University of Medical Sciences, I.R. Iran through Grant No. 49559.</t>
  </si>
  <si>
    <t>1536-0288</t>
  </si>
  <si>
    <t>1536-0539</t>
  </si>
  <si>
    <t>J PAIN PALLIAT CARE</t>
  </si>
  <si>
    <t>J. Pain Palliat. Care Pharmacother.</t>
  </si>
  <si>
    <t>10.1080/15360288.2023.2253223</t>
  </si>
  <si>
    <t>Anesthesiology; Pharmacology &amp; Pharmacy</t>
  </si>
  <si>
    <t>R8HK3</t>
  </si>
  <si>
    <t>WOS:001066710000001</t>
  </si>
  <si>
    <t>Phelan, J; Weisman, K</t>
  </si>
  <si>
    <t>Phelan, Joseph; Weisman, Karen</t>
  </si>
  <si>
    <t>Singing in a foreign land: Anglo-Jewish poetry 1812-1847</t>
  </si>
  <si>
    <t>[Phelan, Joseph] De Montfort Univ, Dept English, Leicester, England</t>
  </si>
  <si>
    <t>De Montfort University</t>
  </si>
  <si>
    <t>Phelan, J (corresponding author), De Montfort Univ, Dept English, Leicester, England.</t>
  </si>
  <si>
    <t>jphelan@dmu.ac.uk</t>
  </si>
  <si>
    <t>10.1080/14725886.2023.2252351</t>
  </si>
  <si>
    <t>Q8QL2</t>
  </si>
  <si>
    <t>WOS:001060111000001</t>
  </si>
  <si>
    <t>Qin, RC; Zhou, RQ; Li, QF; Lu, C; Huang, LX</t>
  </si>
  <si>
    <t>Qin, Rengchuan; Zhou, Ruiqi; Li, Qiufeng; Lu, Chao; Huang, Lixia</t>
  </si>
  <si>
    <t>Acoustic emission source location method for glass fibre reinforced plastics based on virtual loading focusing enhancement technology</t>
  </si>
  <si>
    <t>Acoustic emission; glass fibre reinforced plastics; time reversal; virtual loading focusing enhancement technology; fluctuation amplitude</t>
  </si>
  <si>
    <t>ULTRASONIC FIELDS; TIME-REVERSAL; STRENGTH; CARBON; PLATE</t>
  </si>
  <si>
    <t>Because of the inhomogeneity and anisotropy of glass fibre reinforced plastics (GFRP), it is always a challenge to detect the real-time dynamic quality during manufacturing and service. In this paper, a virtual loading focusing enhancement technology (VLFET) based on time reversal (TR) theory is proposed to accurately locate the acoustic emission (AE) source in the GFRP. First, the focusing enhancement theoretical model with virtual reverse loading is deduced according to the TR theory. Then, after measuring the optimal detection range and the average acoustic velocity, the sensor array is positioned on the GFRP specimen. The excitation signals applied to simulate the AE source at some positions are produced by using lead breaking, and the detection signals are received by the sensor array. Finally, the signals received by the sensor array are processed according to the theoretical model, and the fluctuation image in the monitoring area is reconstructed with fluctuation amplitude of each pixel to evaluate the AE source position. The experimental results demonstrate that the excitation sources can be accurately evaluated with the VLFET. The location error with the proposed method is less than 3.1%, higher than that from the current AE instrument. The proposed technology can also be applied to the AE evaluation of other anisotropic materials.</t>
  </si>
  <si>
    <t>[Qin, Rengchuan; Zhou, Ruiqi; Li, Qiufeng; Lu, Chao; Huang, Lixia] Nanchang Hangkong Univ, Key Lab Nondestruct Testing, Minist Educ, Nanchang, Peoples R China</t>
  </si>
  <si>
    <t>Nanchang Hangkong University</t>
  </si>
  <si>
    <t>Li, QF (corresponding author), Nanchang Hangkong Univ, Key Lab Nondestruct Testing, Minist Educ, Nanchang, Peoples R China.</t>
  </si>
  <si>
    <t>qiufenglee@nchu.edu.cn</t>
  </si>
  <si>
    <t>National Natural Science Foundation of China [12364056, 11764030]; Natural Science Foundation of Jiangxi Province [20212ACB204014]; Key projects of Jiangxi Provincial Department of Science and Technology [20212BBE51006]</t>
  </si>
  <si>
    <t>National Natural Science Foundation of China(National Natural Science Foundation of China (NSFC)); Natural Science Foundation of Jiangxi Province(Natural Science Foundation of Jiangxi Province); Key projects of Jiangxi Provincial Department of Science and Technology</t>
  </si>
  <si>
    <t>The author(s) disclosed receipt of the following financial support for the research, authorship, and/or publication of this article: This work was supported by the National Natural Science Foundation of China (Grant No. 12364056, 11764030), Natural Science Foundation of Jiangxi Province (Grant No. 20212ACB204014), Key projects of Jiangxi Provincial Department of Science and Technology (Grant No. 20212BBE51006).</t>
  </si>
  <si>
    <t>AUG 30</t>
  </si>
  <si>
    <t>10.1080/10589759.2023.2252563</t>
  </si>
  <si>
    <t>Q5GJ2</t>
  </si>
  <si>
    <t>WOS:001057800400001</t>
  </si>
  <si>
    <t>Rasoulikolamaki, S; Kaur, S; Zhdanava, A; Isa, NANM</t>
  </si>
  <si>
    <t>Rasoulikolamaki, Sahar; Kaur, Surinderpal; Zhdanava, Alena; Isa, Noor Aqsa Nabila Mat</t>
  </si>
  <si>
    <t>In-group and out-group identity construction in extremist discourse: a critical multimodal approach</t>
  </si>
  <si>
    <t>BEHAVIORAL SCIENCES OF TERRORISM AND POLITICAL AGGRESSION</t>
  </si>
  <si>
    <t>Framing; identity; ISIS; multimodal critical discourse analysis; representation; terrorism</t>
  </si>
  <si>
    <t>ISLAMIC STATE; ISIS; MEDIA; IRAQ</t>
  </si>
  <si>
    <t>ISIS has seemingly been successful in mobilizing advocates from heterogenous backgrounds. Such diversity is symptomatic of the organization's heavy investment in strategic messaging and identity construction to gain legitimacy. This study examined the multimodal discursive properties of ISIS's narrative in its communique, Dabiq. It undertook a Multimodal Critical Discourse Analysis of the representation of in-group and out-group actors implementing Van Leeuwen's socio-semantic inventory. The results showed that the in-group members are deliberately specified, hence foregrounded, and at the same time, the diversity among them is highlighted as an inseparable hallmark of ISIS's movement. Therefore, no racial, geographical, or cultural line was drawn apropos its participants to ensure more inclusion. Conversely, the perceived enemies are framed as diverse yet homogeneous entities textually through generic references and addressing them collectively regardless of their potential dissimilarities and visually by categorizing them through religiously, culturally, or nationally distinguishable features. It acts as a legitimation tactic by which striking against one enemy justifies striking against others. The combination of these strategic multimodal framing tasks serves as a propaganda tool for ISIS to intensify polarisation, enhance in-group participation, and ultimately facilitate mobilization.</t>
  </si>
  <si>
    <t>[Rasoulikolamaki, Sahar; Kaur, Surinderpal; Isa, Noor Aqsa Nabila Mat] Univ Malaya, Fac Languages &amp; Linguist, Dept English Language, Kuala Lumpur, Malaysia; [Zhdanava, Alena] Dhafeer St Rabdan Acad, Gen Educ Dept, Abu Dhabi, U Arab Emirates; [Rasoulikolamaki, Sahar] Univ Malaya, Fac Languages &amp; Linguist, Dept English Language, Kuala Lumpur 50603, Malaysia</t>
  </si>
  <si>
    <t>Universiti Malaya; Universiti Malaya</t>
  </si>
  <si>
    <t>Rasoulikolamaki, S (corresponding author), Univ Malaya, Fac Languages &amp; Linguist, Dept English Language, Kuala Lumpur 50603, Malaysia.</t>
  </si>
  <si>
    <t>s.rasooli.k@gmail.com</t>
  </si>
  <si>
    <t>Mat Isa, Noor Aqsa Nabila/0000-0001-9837-0226; Kaur, Surinderpal/0000-0001-9497-8277; Rasoulikolamaki, Sahar/0000-0003-2893-1838; Zhdanava, Alena/0000-0003-0175-0316</t>
  </si>
  <si>
    <t>Fundamental Research Grant Scheme (FRGS) [FP021-2015A]; Department of English Language, Faculty of Languages and Linguistics, Universiti Malaya</t>
  </si>
  <si>
    <t>Fundamental Research Grant Scheme (FRGS); Department of English Language, Faculty of Languages and Linguistics, Universiti Malaya</t>
  </si>
  <si>
    <t>This work was supported by Fundamental Research Grant Scheme (FRGS) (FP021-2015A), the Department of English Language, Faculty of Languages and Linguistics, Universiti Malaya.</t>
  </si>
  <si>
    <t>1943-4472</t>
  </si>
  <si>
    <t>1943-4480</t>
  </si>
  <si>
    <t>BEHAV SCI TERROR POL</t>
  </si>
  <si>
    <t>Behav. Sci. Terror. Political Aggress.</t>
  </si>
  <si>
    <t>10.1080/19434472.2023.2245011</t>
  </si>
  <si>
    <t>R1KK6</t>
  </si>
  <si>
    <t>WOS:001061998200001</t>
  </si>
  <si>
    <t>Scheen, AJ</t>
  </si>
  <si>
    <t>Scheen, Andre J.</t>
  </si>
  <si>
    <t>Pharmacokinetic, toxicological, and clinical considerations for the treatment of type 2 diabetes in patients with liver disease: a comprehensive update</t>
  </si>
  <si>
    <t>Cirrhosis; fatty liver; GLP-1 receptor agonist; SGLT2 inhibitor; NAFLD; type 2 diabetes</t>
  </si>
  <si>
    <t>PEPTIDE-1 RECEPTOR AGONISTS; HEPATIC IMPAIRMENT; INSULIN SENSITIVITY; SAFETY; MANAGEMENT; TOLERABILITY; SEMAGLUTIDE; INHIBITORS; METFORMIN; NASH</t>
  </si>
  <si>
    <t>IntroductionType 2 diabetes and liver disease, mainly metabolic-associated fatty liver disease (MAFLD) and more rarely cirrhosis, coexist in many patients. This duality has direct implications for the physician when choosing glucose-lowering agents, with classical concerns but also recent new hopes.Areas coveredThis updated comprehensive review will consider the pharmacokinetics, the tolerance/safety profile, the benefit/risk balance in cirrhosis, the effects on MAFLD and the risk of hepatocellular carcinoma of old and new glucose-lowering compounds in patients with liver disease, with a special focus on glucagon-like peptide-1 receptor agonists and sodium-glucose cotransporter 2 inhibitors.Expert opinionWe are currently facing a new paradigm in the management of patients with diabetes and liver disease. From previous reluctance when using antidiabetic agents (except insulin) in diabetic patients with hepatic impairment because of safety concerns, the commercialization of novel glucose-lowering agents has changed the scene. These agents, which have a good safety profile, are associated with weight loss and pleiotropic effects. They have proven their efficacy in improving MAFLD. However, more specific studies are still needed to prove their efficacy in preventing the progression to fibrosis/cirrhosis and confirm this new opportunity for the management of patients with diabetes and liver disease.</t>
  </si>
  <si>
    <t>[Scheen, Andre J.] Univ Liege, Ctr Interdisciplinary Res Med CIRM, Div Clin Pharmacol, Liege, Belgium; [Scheen, Andre J.] CHU Liege, Div Diabet Nutr &amp; Metab Disorders, Liege, Belgium</t>
  </si>
  <si>
    <t>University of Liege; University of Liege</t>
  </si>
  <si>
    <t>Scheen, AJ (corresponding author), Univ Liege, Ctr Interdisciplinary Res Med CIRM, Div Clin Pharmacol, Liege, Belgium.</t>
  </si>
  <si>
    <t>andre.scheen@chu.ulg.ac.be</t>
  </si>
  <si>
    <t>10.1080/17425255.2023.2252333</t>
  </si>
  <si>
    <t>WOS:001060479700001</t>
  </si>
  <si>
    <t>Zhai, X</t>
  </si>
  <si>
    <t>Zhai, Xin</t>
  </si>
  <si>
    <t>Theory of Sino-Japanese Coexistence: Japanese Civilian Foreign Policy Propaganda Before and After the Washington Conference, 1919-29</t>
  </si>
  <si>
    <t>INTERNATIONAL HISTORY REVIEW</t>
  </si>
  <si>
    <t>Theory of Sino-Japanese coexistence; Toa Dobun-kai; Versailles-Washington system; Japanese civilian foreign policy propaganda; relations between Japan; China; and the U.S</t>
  </si>
  <si>
    <t>After the First World War, to cope with the constraints of the Versailles-Washington system, Japan proposed a so-called coordinated foreign policy aimed at maintaining cooperative relations with Britain and especially the United States and expanding Japan's interests and privileges in China on the basis of respecting China's sovereignty. At that time, the Japanese people also participated in the publicity of the country's external actions. This paper examines the activities of the East Asian Association of Tongwen in China, which is Japan's oldest nongovernmental organization in China. Because the organization believes that the key to the success of coordination diplomacy lies in obtaining sympathy and support from China, it puts forward an argument based on 'Japan and China coexist', publicizes Japan's policy toward China, and tries to form a favorable public opinion for Japan. Based on the analysis of the content of this propaganda activity in the political process, this paper points out that its propaganda only starts from the standpoint of the government and proposes the essence of the content that is only beneficial to Japan. The conclusion of the analysis is that the argument based on the very utilitarian position has greatly weakened the role of policy propaganda, but it is extremely helpful to understand the characteristics of Japanese diplomacy at that time.</t>
  </si>
  <si>
    <t>[Zhai, Xin] Shanghai Jiao Tong Univ, Sch Int &amp; Publ Affairs, Room 219,Xinjian Bldg,1954 Hua Shan Rd, Shanghai 200030, Peoples R China</t>
  </si>
  <si>
    <t>Shanghai Jiao Tong University</t>
  </si>
  <si>
    <t>Zhai, X (corresponding author), Shanghai Jiao Tong Univ, Sch Int &amp; Publ Affairs, Room 219,Xinjian Bldg,1954 Hua Shan Rd, Shanghai 200030, Peoples R China.</t>
  </si>
  <si>
    <t>zhaixin@sjtu.edu.cn</t>
  </si>
  <si>
    <t>Thank you to the two reviewers for their valuable feedback and guidance; The shortcomings of the paper all lie in the author.</t>
  </si>
  <si>
    <t>0707-5332</t>
  </si>
  <si>
    <t>1949-6540</t>
  </si>
  <si>
    <t>INT HIST REV</t>
  </si>
  <si>
    <t>Int. Hist. Rev.</t>
  </si>
  <si>
    <t>10.1080/07075332.2023.2254309</t>
  </si>
  <si>
    <t>R4HU1</t>
  </si>
  <si>
    <t>WOS:001063980800001</t>
  </si>
  <si>
    <t>Begui, M; Meftah, MT</t>
  </si>
  <si>
    <t>Begui, M.; Meftah, M. T.</t>
  </si>
  <si>
    <t>Ground state energy for confined diatomic molecules: case of Morse interaction</t>
  </si>
  <si>
    <t>MOLECULAR PHYSICS</t>
  </si>
  <si>
    <t>Diatomic molecules; confined molecules; Morse potential; eigen-energies; cavity</t>
  </si>
  <si>
    <t>VIBRATIONAL LEVELS; GREENS-FUNCTIONS; ISOTOPES; HYDROGEN; EQUATION</t>
  </si>
  <si>
    <t>In this work, we study the cavity size effect on the eigen-energies of one-dimensional Schroedinger equation for certain diatomic molecules governed by Morse potential interaction confined in the cavity. To avoid the dissociation of the molecule, we have realised the confinement by introducing two barriers on both sides of the minimum of the potential: the first, at the left, is fixed at x(L) = -ln2/a and the second at the right i.e.x(R) = ?; = -ln2/a + ?ir(e) where ?; isa parameter that allows us to vary the size of the cavity. It turns out that the confinement gives rise to additional energy levels and that the number of these levels increases with the size of the cavity (i.e. by increasing ?; or by decreasing the confinement). We used Green's function approach and reported our results on H-2, HCl and LiH molecules.</t>
  </si>
  <si>
    <t>[Begui, M.] Univ Hamma Lakhdar, Fac Exact Sci, Labtop Lab, El Oued, Algeria; [Meftah, M. T.] Kasdi Merbah Univ, Fac Math &amp; Matter Sci, LRPPS Lab, Ouargla, Algeria; [Meftah, M. T.] Kasdi Merbah Univ, Fac Math &amp; Matter Sci, LRPPS Lab, Ouargla 30000, Algeria</t>
  </si>
  <si>
    <t>Universite Kasdi Merbah Ouargla; Universite Kasdi Merbah Ouargla</t>
  </si>
  <si>
    <t>Meftah, MT (corresponding author), Kasdi Merbah Univ, Fac Math &amp; Matter Sci, LRPPS Lab, Ouargla 30000, Algeria.</t>
  </si>
  <si>
    <t>mewalid@yahoo.com</t>
  </si>
  <si>
    <t>Authors would like to thank Prof. Mansour Abdelouahab, head of Mathematics Department at University of El-Oued (Algeria). They also thank all referees for their precious comments. We have accomplished this work in part at Hamma Lakhdar University of El-oue; Ouargla (Algeria)</t>
  </si>
  <si>
    <t>Authors would like to thank Prof. Mansour Abdelouahab, head of Mathematics Department at University of El-Oued (Algeria). They also thank all referees for their precious comments. We have accomplished this work in part at Hamma Lakhdar University of El-oued (Algeria) and in the other part at Physics department at Kasdi Merbah University of Ouargla (Algeria) without financial support. The only support was the use of the informatics tools of the laboratories to do our work. We also declare that all authors participate equally in the work.</t>
  </si>
  <si>
    <t>0026-8976</t>
  </si>
  <si>
    <t>1362-3028</t>
  </si>
  <si>
    <t>MOL PHYS</t>
  </si>
  <si>
    <t>Mol. Phys.</t>
  </si>
  <si>
    <t>AUG 29</t>
  </si>
  <si>
    <t>e2251611</t>
  </si>
  <si>
    <t>10.1080/00268976.2023.2251611</t>
  </si>
  <si>
    <t>Chemistry, Physical; Physics, Atomic, Molecular &amp; Chemical</t>
  </si>
  <si>
    <t>Chemistry; Physics</t>
  </si>
  <si>
    <t>Q6BT9</t>
  </si>
  <si>
    <t>WOS:001058363300001</t>
  </si>
  <si>
    <t>Silva, JPRE; Vasconcelos, PGS; Campos, LT; Gomes, JD; Leite, MT; de Menezes, RPB; Scotti, MT; Tavares, JF; Silva, ACB; Costa, EMMD</t>
  </si>
  <si>
    <t>Raimundo e Silva, Joanda Paolla; Vasconcelos, Priscilla Guimaraes Silva; Campos, Leticia Targino; Gomes, Juliana de Medeiros; Leite Filho, Manoel Tolentino; de Menezes, Renata Priscila Barros; Scotti, Marcus Tullius; Tavares, Josean Fechine; Silva, Andrea Cristina Barbosa; Costa, Edja Maria Melo de Brito</t>
  </si>
  <si>
    <t>The potential of Acmella oleracea as a nutraceutical source for the symptomatic treatment of Burning Mouth Syndrome</t>
  </si>
  <si>
    <t>acmella oleracea; phytochemistry; alkylamides; nutraceuticals; burning mouth syndrome</t>
  </si>
  <si>
    <t>CHROMATOGRAPHY-MASS SPECTROMETRY; SPILANTHES-ACMELLA; PHENOLIC-COMPOUNDS; TRPV1; IDENTIFICATION; FLAVONOL; PROTEIN; PROFILE; STRESS; PLANTS</t>
  </si>
  <si>
    <t>This study analysed the phytochemical profile of Acmella oleracea extract and the molecular interactions of its main compounds with TRPV1 and CB2, target receptors in the Burning Mouth Syndrome (BMS) pathogenesis. The phytochemical profile of A. oleracea's floral buds extract treated with activated charcoal (TCEE) was analysed by High-Performance Liquid Chromatography (HPLC) coupled to Mass Spectrometry (LC-MS). The quantification of spilanthol was analysed by HPLC coupled to a Diode-Array Detector (HPLC-DAD). The phytochemical analysis revealed the presence of nine alkylamides and phenolic compounds. The TCEE showed a significant increase in spilanthol content compared to the crude extract (CEE), going from 28.33 mg/g to 117.96 mg/g. The molecular docking indicated a behaviour of the alkylamides as partial TRPV1 agonists and CB2 agonists and, for the first time, indicates the action of these compounds in the symptomatic management of BMS. [GRAPHICS] .</t>
  </si>
  <si>
    <t>[Vasconcelos, Priscilla Guimaraes Silva; Campos, Leticia Targino; Silva, Andrea Cristina Barbosa; Costa, Edja Maria Melo de Brito] State Univ Paraiba, Postgrad Program Dent, Campina Grande, Brazil; [Raimundo e Silva, Joanda Paolla; Gomes, Juliana de Medeiros; de Menezes, Renata Priscila Barros; Scotti, Marcus Tullius; Tavares, Josean Fechine] Univ Fed Paraiba, Postgrad Programme Nat &amp; Synthet Bioact Prod, Joao Pessoa, Brazil; [Leite Filho, Manoel Tolentino] Univ Fed Campina Grande, Postgrad Programme Food Engn, Campina Grande, Brazil</t>
  </si>
  <si>
    <t>Universidade Estadual da Paraiba; Universidade Federal da Paraiba; Universidade Federal de Campina Grande</t>
  </si>
  <si>
    <t>Costa, EMMD (corresponding author), State Univ Paraiba, Postgrad Program Dent, Campina Grande, Brazil.</t>
  </si>
  <si>
    <t>edjacosta@gmail.com</t>
  </si>
  <si>
    <t>2023 AUG 29</t>
  </si>
  <si>
    <t>10.1080/14786419.2023.2253974</t>
  </si>
  <si>
    <t>R2ZL4</t>
  </si>
  <si>
    <t>WOS:001063082000001</t>
  </si>
  <si>
    <t>Raunkilde, L; Hansen, TF; Havelund, BM; Thomsen, CB; Rafaelsen, SR; Lindebjerg, J; Jensen, LH</t>
  </si>
  <si>
    <t>Raunkilde, Louise; Hansen, Torben Frostrup; Havelund, Birgitte Mayland; Thomsen, Caroline Brenner; Rafaelsen, Soren Rafael; Lindebjerg, Jan; Jensen, Lars Henrik</t>
  </si>
  <si>
    <t>Delta tocotrienol as a supplement to FOLFOXIRI in first-line treatment of metastatic colorectal cancer. A randomized, double-blind, placebo-controlled phase II study</t>
  </si>
  <si>
    <t>Colorectal cancer; tocotrienol; supportive care; adverse events; toxicity</t>
  </si>
  <si>
    <t>TOTAL NEUROPATHY SCORE; VITAMIN-E; BEVACIZUMAB; OXALIPLATIN; IRINOTECAN; SURVIVAL; FOLFIRI; TRIAL; 5-FLUOROURACIL/LEUCOVORIN; MULTICENTER</t>
  </si>
  <si>
    <t>PurposeTriplet chemotherapy might be more effective than doublet chemotherapy in metastatic colorectal cancer (mCRC), but it may also be marked by increased toxicity. To investigate whether &amp; delta;-tocotrienol, a vitamin E analogue, with possible neuroprotective and anti-inflammatory effects, reduces the toxicity of triplet chemotherapy, we conducted a randomized, double-blind, placebo-controlled trial in mCRC patients receiving first-line 5-fluorouracil, oxaliplatin and irinotecan (FOLFOXIRI).Material and MethodsSeventy patients with mCRC were randomly assigned (1:1) to receive FOLFOXIRI plus either &amp; delta;-tocotrienol or placebo at the Department of Oncology, Vejle Hospital, Denmark. Eligibility criteria were adenocarcinoma in the colon or rectum, age 18-75 years and ECOG performance status 0-1. FOLFOXIRI was given in eight cycles followed by four cycles of 5-fluorouracil. &amp; delta;-tocotrienol 300 mg or placebo x 3 daily was added during chemotherapy and for a maximum of two years. The primary endpoint was time to hospitalization or death during treatment with chemotherapy.ResultsMedian time to first hospitalization or death was 3.7 months in the placebo group (95% CI 1.93-not reached (NR)), and was NR in the &amp; delta;-tocotrienol group (95% CI 1.87-NR) with a hazard ratio of 0.70 (95% CI 0.36-1.36). Grade 3-4 toxicities were uncommon in both groups, except for neutropenia, which occurred in 19 patients (58%) in the placebo group and 17 patients (50%) in the &amp; delta;-tocotrienol group. There were no grade 3 or 4 peripheral sensory neuropathy. In the placebo group, 24 patients (71%) had oxaliplatin dose reductions compared to 17 patients (47%) in the &amp; delta;-tocotrienol group (p = 0.047).ConclusionThe addition of &amp; delta;-tocotrienol to FOLFOXIRI did not statistically significant prolong the time to first hospitalization or death compared to FOLFOXIRI plus placebo. Toxicity was manageable and not statistically different. There was a statistically significant difference in dose reductions of oxaliplatin pointing to a possible neuroprotective effect of &amp; delta;-tocotrienol.</t>
  </si>
  <si>
    <t>[Raunkilde, Louise; Hansen, Torben Frostrup; Havelund, Birgitte Mayland; Thomsen, Caroline Brenner; Jensen, Lars Henrik] Univ Hosp Southern Denmark, Vejle Hosp, Dept Oncol, Vejle, Denmark; [Raunkilde, Louise; Hansen, Torben Frostrup; Havelund, Birgitte Mayland; Thomsen, Caroline Brenner; Rafaelsen, Soren Rafael; Lindebjerg, Jan; Jensen, Lars Henrik] Vejle Hosp, Danish Colorectal Canc Ctr South, Vejle, Denmark; [Raunkilde, Louise; Hansen, Torben Frostrup; Rafaelsen, Soren Rafael; Lindebjerg, Jan; Jensen, Lars Henrik] Univ Southern Denmark, Dept Reg Hlth Res, Odense, Denmark; [Rafaelsen, Soren Rafael] Univ Hosp Southern Denmark, Vejle Hosp, Dept Radiol, Vejle, Denmark; [Lindebjerg, Jan] Univ Hosp Southern Denmark, Vejle Hosp, Dept Pathol, Vejle, Denmark; [Raunkilde, Louise] Univ Hosp Southern Denmark, Dept Oncol, Vejle Hosp, Beriderbakken 4, DK-7100 Vejle, Denmark</t>
  </si>
  <si>
    <t>University of Southern Denmark; Lillebaelt Hospital; University of Southern Denmark; Lillebaelt Hospital; University of Southern Denmark; University of Southern Denmark; Lillebaelt Hospital; University of Southern Denmark; Lillebaelt Hospital; University of Southern Denmark; Lillebaelt Hospital</t>
  </si>
  <si>
    <t>Raunkilde, L (corresponding author), Univ Hosp Southern Denmark, Dept Oncol, Vejle Hosp, Beriderbakken 4, DK-7100 Vejle, Denmark.</t>
  </si>
  <si>
    <t>louise.raunkilde.larsen@rsyd.dk</t>
  </si>
  <si>
    <t>Rafaelsen, Soren/K-4458-2014; Jensen, Lars Henrik/P-6252-2018</t>
  </si>
  <si>
    <t>Rafaelsen, Soren/0000-0001-5182-5545; Hansen, Torben/0000-0001-7476-671X; Jensen, Lars Henrik/0000-0002-0020-1537; Lindebjerg, Jan/0000-0002-2055-4241; Havelund, Birgitte Mayland/0000-0002-6566-5367</t>
  </si>
  <si>
    <t>We are thankful for the logistic work by study coordinator Monica Tronhjem. Finally, we express gratitude to Karin Larsen for linguistic editing of the manuscript.</t>
  </si>
  <si>
    <t>We would like to acknowledge the support by OPEN, Open Patient data Explorative Network, Odense University Hospital, Region of Southern Denmark. Study data were collected and managed using REDCap electronic data capture tools hosted by OPEN.r We are thankful for the logistic work by study coordinator Monica Tronhjem. Finally, we express gratitude to Karin Larsen for linguistic editing of the manuscript.</t>
  </si>
  <si>
    <t>10.1080/0284186X.2023.2249225</t>
  </si>
  <si>
    <t>R0QD5</t>
  </si>
  <si>
    <t>WOS:001061465800001</t>
  </si>
  <si>
    <t>Yadav, A; Yadav, DK; Rani, P; Bhardwaj, N; Gupta, A; Bishnoi, NR</t>
  </si>
  <si>
    <t>Yadav, Arti; Yadav, Deepak Kumar; Rani, Pushpa; Bhardwaj, Nisha; Gupta, Asha; Bishnoi, Narsi R.</t>
  </si>
  <si>
    <t>Functionalized iron oxide nanoparticles for covalent immobilization of cellic CTec2 cellulase: enabling enzyme reusability in cellulosic biomass conversion</t>
  </si>
  <si>
    <t>BIOFUELS-UK</t>
  </si>
  <si>
    <t>Cellulase enzyme; immobilization; reusability; iron oxide nanoparticles; enzyme activity</t>
  </si>
  <si>
    <t>LIGNOCELLULOSIC BIOMASS; HYDROLYSIS</t>
  </si>
  <si>
    <t>A modified chemical co-precipitation method was employed to synthesize silicacoated-aminefunctionalized iron oxide nanoparticle (IONP@SiO2-NH2) which has been utilized as an anchoring surface for enzyme immobilization. Cellulase Cellic CTec2 cocktail was immobilized covalently onto IONP@SiO2-NH2 using glutaraldehyde as a linker. The morphological, structural, and compositional studies of nanoparticles were characterized by field emission scanning electron microscopy with energy dispersive X-ray (FESEM)-EDX, Fourier transform infrared (FTIR), X-ray diffraction (XRD), zeta potential, and Ultraviolet/visible (UV-Vis) spectroscopy. The FTIR, FESEM, and XRD spectra confirmed the successful immobilization of cellulase onto IONP@SiO2-NH2. The free enzymewith cellulase activity of 127 FPU/mL was optimized for the immobilization process which showed the best binding efficiency at 2% glutaraldehyde, protein loading 100 mg/g with carboxymethyl cellulase activity of 290 IU/g, and total immobilization yield of 70.8%. The immobilized cellulase exhibited enhanced stability for temperature and pH over a broader rangethan the free enzyme. The immobilized enzyme-mediated hydrolysis of 1% carboxymethyl cellulose (CMC) released 0.54 g glucose/g substrate at 24 h, showing potential for cellulosic biomass conversion. The immobilized cellulase which was investigated for reusability assay retained &amp; SIM;80% activity even after repeated 6 cycles of CMC hydrolysis. The results showed good reusability after magnetic separation, which is the main advantage of using this nanobiocatalyst system.</t>
  </si>
  <si>
    <t>[Yadav, Arti; Yadav, Deepak Kumar; Rani, Pushpa; Bhardwaj, Nisha; Gupta, Asha; Bishnoi, Narsi R.] Guru Jambheshwar Univ Sci &amp; Technol, Dept Environm Sci &amp; Engn, Hisar 125001, Haryana, India</t>
  </si>
  <si>
    <t>Guru Jambheshwar University of Science &amp; Technology</t>
  </si>
  <si>
    <t>Bishnoi, NR (corresponding author), Guru Jambheshwar Univ Sci &amp; Technol, Dept Environm Sci &amp; Engn, Hisar 125001, Haryana, India.</t>
  </si>
  <si>
    <t>nrbishnoi@gmail.com</t>
  </si>
  <si>
    <t>1759-7269</t>
  </si>
  <si>
    <t>1759-7277</t>
  </si>
  <si>
    <t>Biofuels-UK</t>
  </si>
  <si>
    <t>10.1080/17597269.2023.2250637</t>
  </si>
  <si>
    <t>R0PV1</t>
  </si>
  <si>
    <t>WOS:001061457300001</t>
  </si>
  <si>
    <t>Bogaert, A; Romano, F; Cabaraux, P; Feys, P; Moumdjian, L</t>
  </si>
  <si>
    <t>Bogaert, Anne; Romano, Francesco; Cabaraux, Pierre; Feys, Peter; Moumdjian, Lousin</t>
  </si>
  <si>
    <t>Assessment and tailored physical rehabilitation approaches in persons with cerebellar impairments targeting mobility and walking according to the International Classification of Functioning: a systematic review of case-reports and case-series</t>
  </si>
  <si>
    <t>DISABILITY AND REHABILITATION</t>
  </si>
  <si>
    <t>Cerebellar impairment; assessment; physical rehabilitation; walking; mobility; International Classification of Functioning; case reports</t>
  </si>
  <si>
    <t>ATAXIA; GAIT; BALANCE; PATIENT; SCALE; RESPONSIVENESS; VALIDITY; FEATURES; THERAPY; ADULT</t>
  </si>
  <si>
    <t>Purpose: Cerebellar impairment (CI) manifests from different etiologies resulting in a heterogenic clinical presentation affecting walking and mobility. Case-reports were reviewed to provide an analytical clinical picture of persons with CI (PwCI) to differentiate cerebellar and non- cerebellar impairments and to identify interventions and assessments used to quantify impact on walking and mobility according to the International Classification of Functioning, Disability and Health (ICF). Materials and Methods: Literature was searched in PubMed, Web Of Science and Scopus. Case-reports conducting physical rehabilitation and reporting at least one outcome measure of ataxia, gait pattern, walking or mobility were included. Results: 28 articles with a total of 38 different patients were included. Etiologies were clustered to: spinocerebellar degenerations, traumatic brain injuries, cerebellar tumors, stroke and miscellaneous. The interventions applied were activity-based, including gait and balance training. Participation based activities such as tai chi, climbing and dance-based therapy had positive outcomes on mobility. Outcomes on body function such as ataxia and gait pattern were only reported in 22% of the patients. Conclusions: A comprehensive test battery to encompass the key features of a PwCI on different levels of the ICF is needed to manage heterogeneity. Measures on body function level should be included in interventions.</t>
  </si>
  <si>
    <t>[Bogaert, Anne; Feys, Peter; Moumdjian, Lousin] Hasselt Univ, Fac Rehabil Sci, REVAL Rehabil Res Ctr, Diepenbeek, Belgium; [Romano, Francesco] IRCCS San Raffaele Sci Inst, Div Neurosci, Neuroimaging Res Unit, Milan, Italy; [Cabaraux, Pierre] CHU Charleroi, Serv Neurol, Mediatheque Jean Jacquy, Charleroi, Belgium; [Feys, Peter; Moumdjian, Lousin] UMSC Hasselt, Pelt, Belgium; [Moumdjian, Lousin] Univ Ghent, IPEM Inst Psychoacoust &amp; Elect Mus, Fac Arts &amp; Philosophy, Ghent, Belgium</t>
  </si>
  <si>
    <t>Hasselt University; Vita-Salute San Raffaele University; IRCCS Ospedale San Raffaele; Ghent University</t>
  </si>
  <si>
    <t>Moumdjian, L (corresponding author), Hasselt Univ, Fac Rehabil Sci, REVAL Rehabil Res Ctr, Diepenbeek, Belgium.;Moumdjian, L (corresponding author), UMSC Hasselt, Pelt, Belgium.;Moumdjian, L (corresponding author), Univ Ghent, IPEM Inst Psychoacoust &amp; Elect Mus, Fac Arts &amp; Philosophy, Ghent, Belgium.</t>
  </si>
  <si>
    <t>lousin.moumdjian@uhasselt.be</t>
  </si>
  <si>
    <t>Fonds Wetenschappelijk Onderzoek (FWO) [G082021N]; Fonds Wetenschappelijk Onderzoek (FWO) [1295923 N]; Stiftelsen Promobilia grant [20110]</t>
  </si>
  <si>
    <t>Fonds Wetenschappelijk Onderzoek (FWO)(FWO); Fonds Wetenschappelijk Onderzoek (FWO)(FWO); Stiftelsen Promobilia grant</t>
  </si>
  <si>
    <t>Fonds Wetenschappelijk Onderzoek (FWO) project obtained by Prof. Peter Feys, grant number G082021N; Fonds Wetenschappelijk Onderzoek (FWO) project obtained by dr. Lousin Moumdjian, grant number 1295923 N; Stiftelsen Promobilia grant obtained by dr. Lousin Moumdjian, grant number 20110.</t>
  </si>
  <si>
    <t>0963-8288</t>
  </si>
  <si>
    <t>1464-5165</t>
  </si>
  <si>
    <t>DISABIL REHABIL</t>
  </si>
  <si>
    <t>Disabil. Rehabil.</t>
  </si>
  <si>
    <t>AUG 28</t>
  </si>
  <si>
    <t>10.1080/09638288.2023.2248886</t>
  </si>
  <si>
    <t>Q4UB5</t>
  </si>
  <si>
    <t>WOS:001057476000001</t>
  </si>
  <si>
    <t>Cepeda, RAG; Salazar, C</t>
  </si>
  <si>
    <t>Cepeda, Rene Alberto G.; Salazar, Constanza</t>
  </si>
  <si>
    <t>Header/footer gallery: creating and sustaining an online only art gallery</t>
  </si>
  <si>
    <t>INTERNET HISTORIES</t>
  </si>
  <si>
    <t>New media art; online gallery; virtual exhibitions; curation; digital curation; online</t>
  </si>
  <si>
    <t>The digital exhibition space called Header/Footer Gallery hosted by the nonprofit organization New Media Caucus web presence has presented numerous exhibitions highlighting innovative work by artists across new media art. Established in 2020, Header/Footer has invited curators to curate exhibitions that explored the themes of technological malfunction, the legacies of cyberfeminism in the twenty first century, and Afrofuturism. Since then, taking up the role as the official curator for Header/Footer Gallery, the New Media Caucus' curator has created different exhibitions concentrating on inclusivity and the exposure of emerging artists through creative curatorial design strategies. For this paper, we take Header/Footer Gallery as a case study to analyze the development of virtual exhibition spaces, their histories, benefits, challenges and their futures. Taking Header/Footer Gallery as an example of a virtual space, we analyze its challenges including the promotion and dissemination of exhibitions and their digital engagement, despite the increase in accessibility of virtual galleries, as well as the challenges of archiving virtual exhibitions. We also examine the creative freedom in creating a virtual gallery from the ground up and in establishing and promoting inclusive practices that emphasize diversity.</t>
  </si>
  <si>
    <t>[Cepeda, Rene Alberto G.] New Media Caucu, Halifax, NS, Canada</t>
  </si>
  <si>
    <t>Cepeda, RAG (corresponding author), New Media Caucu, Halifax, NS, Canada.</t>
  </si>
  <si>
    <t>renegcepeda@me.com</t>
  </si>
  <si>
    <t>Garcia Cepeda, Rene Alberto/0000-0001-6306-7550</t>
  </si>
  <si>
    <t>2470-1475</t>
  </si>
  <si>
    <t>2470-1483</t>
  </si>
  <si>
    <t>INTERNET HIST</t>
  </si>
  <si>
    <t>Internet Hist.</t>
  </si>
  <si>
    <t>2023 AUG 28</t>
  </si>
  <si>
    <t>10.1080/24701475.2023.2249363</t>
  </si>
  <si>
    <t>Q5VF0</t>
  </si>
  <si>
    <t>WOS:001058191400001</t>
  </si>
  <si>
    <t>Gull, L; Mustafa, M; Haq, RU</t>
  </si>
  <si>
    <t>Gull, Laiba; Mustafa, M.; Haq, Rizwan Ul</t>
  </si>
  <si>
    <t>A novel model for viscoelastic fluid flow and heat near a stretchable plate using variable fluid properties: A computational study</t>
  </si>
  <si>
    <t>NUMERICAL HEAT TRANSFER PART B-FUNDAMENTALS</t>
  </si>
  <si>
    <t>Deborah number; heat generation; Reynolds law; variable fluid property; viscoelastic fluid</t>
  </si>
  <si>
    <t>BOUNDARY-LAYER-FLOW; OLDROYD-B FLUID; JEFFREY FLUID; MHD FLOW; VISCOSITY; SURFACE; NANOFLUID; SHEET</t>
  </si>
  <si>
    <t>This article is concerned with the boundary layer formations over a deforming plane heated surface in a viscoelastic fluid having temperature-dependent physical properties. Viscoelastic fluid obeys a well-accepted Jeffrey fluid model that characterizes both relaxation and retardation times phenomena. Mathematical modeling is performed by considering exponential variations in viscosity, thermal conductivity, relaxation time, and retardation time with temperature. Transport equations are formulated under the aforesaid assumption and are solved for self-similar solutions using a numerical scheme. Solutions are utilized to generate streamlines and isotherms in both Newtonian and viscoelastic fluids. The momentum and thermal layers are specifically scrutinized for various controlling parameters. Illustrative results are included reflecting the consequences of variable physical properties on the induced viscoelastic fluid motion and accompanying heat transfer. In addition, skin friction factor for Jeffrey fluid with variable properties is evaluated and described.</t>
  </si>
  <si>
    <t>[Gull, Laiba; Mustafa, M.; Haq, Rizwan Ul] Natl Univ Sci &amp; Technol NUST, Sch Nat Sci SNS, Islamabad, Pakistan; [Mustafa, M.] Natl Univ Sci &amp; Technol NUST, Sch Nat Sci SNS, Islamabad 44000, Pakistan</t>
  </si>
  <si>
    <t>National University of Sciences &amp; Technology - Pakistan; National University of Sciences &amp; Technology - Pakistan</t>
  </si>
  <si>
    <t>Mustafa, M (corresponding author), Natl Univ Sci &amp; Technol NUST, Sch Nat Sci SNS, Islamabad 44000, Pakistan.</t>
  </si>
  <si>
    <t>merajmustafa@sns.nust.edu.pk</t>
  </si>
  <si>
    <t>1040-7790</t>
  </si>
  <si>
    <t>1521-0626</t>
  </si>
  <si>
    <t>NUMER HEAT TR B-FUND</t>
  </si>
  <si>
    <t>Numer Heat Tranf. B-Fundam.</t>
  </si>
  <si>
    <t>10.1080/10407790.2023.2252601</t>
  </si>
  <si>
    <t>Thermodynamics; Mechanics</t>
  </si>
  <si>
    <t>Q6UB9</t>
  </si>
  <si>
    <t>WOS:001058845200001</t>
  </si>
  <si>
    <t>Tadevosyan, NS; Guloyan, HA; Wallis, AB; Tadevosyan, AE</t>
  </si>
  <si>
    <t>Tadevosyan, Natalya S.; Guloyan, Hasmik A.; Wallis, Anne B.; Tadevosyan, Artashes E.</t>
  </si>
  <si>
    <t>Maternal exposure to organochlorine pesticides and anthropometrics of newborns - a hospital-based cross-sectional study in rural and urban settings in Armenia</t>
  </si>
  <si>
    <t>JOURNAL OF ENVIRONMENTAL SCIENCE AND HEALTH PART A-TOXIC/HAZARDOUS SUBSTANCES &amp; ENVIRONMENTAL ENGINEERING</t>
  </si>
  <si>
    <t>Organochlorine pesticides; postpartum women; breast milk; newborns; anthropometric measures</t>
  </si>
  <si>
    <t>POLYCHLORINATED-BIPHENYLS; PRENATAL EXPOSURE; BREAST-MILK; CORD BLOOD; DICHLORODIPHENYLDICHLOROETHYLENE DDE; CHLORINATED PESTICIDES; BIRTH-WEIGHT; FETAL-GROWTH; ASSOCIATION; POLLUTANTS</t>
  </si>
  <si>
    <t>The study objective was to determine a possible association between maternal exposure to organochlorine pesticides (OCPs) and anthropometric measures at birth in group of postpartum women in urban and rural areas of Armenia. The anthropometric measures of infants were obtained from birth records and gamma-hexachlorocyclohexane (?-HCH), dichlorodiphenyltrichloroethane (DDT), dichlorodiphenyldichloroethylene, and dichlorodiphenyldichloroethane were measured in breast milk. Gas-liquid chromatography with electron capture detection was used to identify OCPs. Total OCPs and DDTs were calculated, and the anthropometrics were analyzed for sex and areas, and group differences were compared (Student's t-test). Both individual OCPs and total OCPs and DDTs were significantly higher in rural samples than in urban ones (P &lt; 0.01-0.000), with lower and upper quartiles differing by 2.6-fold and 3.1-fold, respectively (P &lt; 0.000). There was no association between the anthropometrics and OCPs levels in rural or urban areas. However, this does not rule out the possibility of OCPs impact on health later in life. To our knowledge, this was the first study addressing these issues in Armenia. The results obtained will provide data on the current situation regarding birth outcomes in terms of prenatal exposure to OCPs in Armenia and will contribute to the available results from previous studies.</t>
  </si>
  <si>
    <t>[Tadevosyan, Natalya S.; Guloyan, Hasmik A.] Yerevan State Med Univ, Sci Res Ctr, Lab Environm Hyg &amp; Toxicol, Yerevan, Armenia; [Wallis, Anne B.] Univ Louisville, Sch Publ Hlth &amp; Informat Sci, Dept Epidemiol &amp; Populat Hlth, Louisville, KY USA; [Tadevosyan, Artashes E.] Yerevan State Med Univ, Dept Publ Hlth &amp; Healthcare Org, Yerevan, Armenia; [Tadevosyan, Artashes E.] Yerevan State Med Univ, Dept Publ Hlth &amp; Healthcare Org, Koryun Str 2, Yerevan 0025, Armenia</t>
  </si>
  <si>
    <t>Yerevan State Medical University; University of Louisville; Yerevan State Medical University; Yerevan State Medical University</t>
  </si>
  <si>
    <t>Tadevosyan, AE (corresponding author), Yerevan State Med Univ, Dept Publ Hlth &amp; Healthcare Org, Koryun Str 2, Yerevan 0025, Armenia.</t>
  </si>
  <si>
    <t>artashes.tadevosyan@meduni.am</t>
  </si>
  <si>
    <t>1093-4529</t>
  </si>
  <si>
    <t>1532-4117</t>
  </si>
  <si>
    <t>J ENVIRON SCI HEAL A</t>
  </si>
  <si>
    <t>J. Environ. Sci. Health Part A-Toxic/Hazard. Subst. Environ. Eng.</t>
  </si>
  <si>
    <t>10.1080/10934529.2023.2253108</t>
  </si>
  <si>
    <t>Engineering, Environmental; Environmental Sciences</t>
  </si>
  <si>
    <t>Engineering; Environmental Sciences &amp; Ecology</t>
  </si>
  <si>
    <t>Q7RI6</t>
  </si>
  <si>
    <t>WOS:001059455200001</t>
  </si>
  <si>
    <t>Boun, SS; Moullec, G; Druetz, T</t>
  </si>
  <si>
    <t>Boun, Saidou Sabi; Moullec, Gregory; Druetz, Thomas</t>
  </si>
  <si>
    <t>'We were called guardian angels; Was that sincere? I do not think so': retention of certified nurse assistants during the COVID-19 crisis in long-term care facilities in Montreal, Quebec, Canada</t>
  </si>
  <si>
    <t>CRITICAL PUBLIC HEALTH</t>
  </si>
  <si>
    <t>Certified nurse assistants; COVID-19; long-term care; intention to quit; retention</t>
  </si>
  <si>
    <t>JOB-SATISFACTION; HOMES</t>
  </si>
  <si>
    <t>The COVID-19 pandemic in the Canadian province of Quebec has increased demand for labour in long-term care facilities, or 'Centre d'hebergement de soins de longue duree (CHSLDs)'. This study explored the challenges experienced by Certified Nurse Assistants (CNAs) in CHSLDs in Montreal, Quebec's largest city, during the COVID-19 pandemic and how these challenges affected their job retention. We employed an analytical descriptive qualitative research approach, using semi-open interviews to collect data from three categories of CNAs between October and December 2021 in Montreal CHSLD. Our interview guide was based on two Canadian theoretical frameworks: one on nurses' retention and one on work-family balance. A thematic analysis method was employed to analyze the data. Our findings reveal that the vicious circle of service failure, including stress, exhaustion, and poor relationships with management and coworkers, influenced CNAs' decision to quit their jobs. Poor working conditions, difficulty balancing work-family-personal life, and lack of appreciation for the profession all contributed to some CNAs quitting their jobs. At the same time, emotional attachment to the work and support from managers, organizations, and the government played a critical role in retaining CNAs. The CHSLDs network in Quebec, already marked by job instability, has been further weakened by the COVID-19 pandemic. Improved working conditions, respect for the CNA profession, and a recruitment process that accounts for candidates' professional motivations are necessary to improve CNA retention.</t>
  </si>
  <si>
    <t>[Boun, Saidou Sabi; Moullec, Gregory; Druetz, Thomas] Univ Montreal, Sch Publ Hlth, Dept Social &amp; Prevent Med, Montreal, PQ, Canada; [Boun, Saidou Sabi] Univ Ottawa, Sch Int Dev &amp; Global Studies, Ottawa, ON, Canada; [Moullec, Gregory] CIUSSS Nord de Ile de Montreal, Dept Hlth Promot Chron Dis Prevent &amp; Management, Montreal, PQ, Canada; [Druetz, Thomas] Ctr Rech Sante Publ, Montreal, PQ, Canada</t>
  </si>
  <si>
    <t>Universite de Montreal; University of Ottawa</t>
  </si>
  <si>
    <t>Boun, SS (corresponding author), Univ Montreal, Sch Publ Hlth, Dept Social &amp; Prevent Med, Montreal, PQ, Canada.;Boun, SS (corresponding author), Univ Ottawa, Sch Int Dev &amp; Global Studies, Ottawa, ON, Canada.</t>
  </si>
  <si>
    <t>ssabi010@uottawa.ca</t>
  </si>
  <si>
    <t>Sabi Boun, Saïdou/HTN-9994-2023</t>
  </si>
  <si>
    <t>Sabi Boun, Saïdou/0000-0003-0461-6876; Druetz, Thomas/0000-0002-9234-4286</t>
  </si>
  <si>
    <t>0958-1596</t>
  </si>
  <si>
    <t>1469-3682</t>
  </si>
  <si>
    <t>CRIT PUBLIC HEALTH</t>
  </si>
  <si>
    <t>Crit. Public Heath</t>
  </si>
  <si>
    <t>AUG 27</t>
  </si>
  <si>
    <t>10.1080/09581596.2023.2250539</t>
  </si>
  <si>
    <t>Public, Environmental &amp; Occupational Health; Social Sciences, Biomedical</t>
  </si>
  <si>
    <t>Public, Environmental &amp; Occupational Health; Biomedical Social Sciences</t>
  </si>
  <si>
    <t>Q0OH4</t>
  </si>
  <si>
    <t>WOS:001054589100001</t>
  </si>
  <si>
    <t>Fukuyama, F</t>
  </si>
  <si>
    <t>Fukuyama, Francis</t>
  </si>
  <si>
    <t>In Defense of the deep state</t>
  </si>
  <si>
    <t>ASIA PACIFIC JOURNAL OF PUBLIC ADMINISTRATION</t>
  </si>
  <si>
    <t>bureaucracy; autonomy; deep state; administrative state; delegation; Covid; EPA; trust</t>
  </si>
  <si>
    <t>The term deep state originally referred to the hidden security bureaucracies in countries like Turkey and Egypt with sinister overtones. The term has been applied by American conservatives to the existing permanent US bureaucracy, which they argue is exerting tyrannical control over citizens and needs to be destroyed root and branch. The fact is that the US administrative state is highly transparent and plays a critical role in delivering services and outcomes that citizens demand. Modern government cannot function without a high degree of delegation to bureaucratic agents; as such the US deep state needs to be defended and not vilified. There are several critical mechanisms for democratic principals to exert control over bureaucratic agents. While there are instances of bureaucratic over-reach, the US system provides a number of checks on agency power that are under-utilised. A separate problem lies in under-delegation, where political principals write detailed rules constraining bureaucratic autonomy in ways that hinder effective and timely government action. Future efforts by conservatives to undermine the deep state will result in grave weakening of American government and return the country to the 19th century patronage system.</t>
  </si>
  <si>
    <t>[Fukuyama, Francis] Stanford Univ, Freeman Spogli Inst Int Studies, Stanford, CA 94305 USA</t>
  </si>
  <si>
    <t>Stanford University</t>
  </si>
  <si>
    <t>Fukuyama, F (corresponding author), Stanford Univ, Freeman Spogli Inst Int Studies, Stanford, CA 94305 USA.</t>
  </si>
  <si>
    <t>f.fukuyama@stanford.edu</t>
  </si>
  <si>
    <t>2327-6665</t>
  </si>
  <si>
    <t>2327-6673</t>
  </si>
  <si>
    <t>ASIA PAC J PUBLIC AM</t>
  </si>
  <si>
    <t>Asia Pac. J. Public Adm.</t>
  </si>
  <si>
    <t>10.1080/23276665.2023.2249142</t>
  </si>
  <si>
    <t>Q0UP8</t>
  </si>
  <si>
    <t>WOS:001054756000001</t>
  </si>
  <si>
    <t>Tsaur, SH; Yen, HH</t>
  </si>
  <si>
    <t>Tsaur, Sheng-Hshiung; Yen, Hui-Hsuan</t>
  </si>
  <si>
    <t>Leisure Crafting and Pro-Environmental Behavior: The Potential Mediating Role of Engagement</t>
  </si>
  <si>
    <t>LEISURE SCIENCES</t>
  </si>
  <si>
    <t>engagement; leisure crafting; mediated model; mountaineers; pro-environmental behavior</t>
  </si>
  <si>
    <t>PLACE ATTACHMENT; RECREATION SPECIALIZATION; CONSTRAINTS NEGOTIATION; STRUCTURAL MODEL; INVOLVEMENT; WORK; MOTIVATIONS; EXPERIENCES; PREDICTORS; COMMITMENT</t>
  </si>
  <si>
    <t>Exploring the connection between leisure activities and environmental behavior is crucial to help leisure destination managers understand leisure participants' behavior and reduce environmental damage. This study aimed to examine the relationship between leisure crafting and pro-environmental behavior. The mediating role of engagement was also examined. Precisely, 535 mountaineers were surveyed on the Tashan trail in Alishan, Taiwan. The results demonstrated that leisure crafting is positively associated with engagement, while engagement is positively associated with pro-environmental behavior. Additionally, engagement mediates the relationship between leisure crafting and pro-environmental behavior. Based on these findings, the study presented theoretical and practical implications as well as suggestions for future studies.</t>
  </si>
  <si>
    <t>[Tsaur, Sheng-Hshiung; Yen, Hui-Hsuan] Natl Chiayi Univ, Dept Mkt &amp; Tourism Management, Chiayi, Taiwan</t>
  </si>
  <si>
    <t>National Chiayi University</t>
  </si>
  <si>
    <t>Yen, HH (corresponding author), Natl Chiayi Univ, Dept Mkt &amp; Tourism Management, Chiayi, Taiwan.</t>
  </si>
  <si>
    <t>huihsyen@gmail.com</t>
  </si>
  <si>
    <t>Tsaur, Sheng-Hshiung/0000-0003-0670-9056</t>
  </si>
  <si>
    <t>National Science and Technology Council, Taiwan [110-2424-H-415 - 001-DR]; Ministry of Science and Technology, Taiwan; National Science Council; National Science and Technology Council, Taiwan (R.O.C.) [107-2410-H-415-017-SS2]</t>
  </si>
  <si>
    <t>National Science and Technology Council, Taiwan; Ministry of Science and Technology, Taiwan(Ministry of Science and Technology, Taiwan); National Science Council(Ministry of Science and Technology, Taiwan); National Science and Technology Council, Taiwan (R.O.C.)</t>
  </si>
  <si>
    <t>This work was supported by the National Science and Technology Council, Taiwan (R.O.C.) (Program ID: 110-2424-H-415 - 001-DR). Ministry of Science and Technology, Taiwan; National Science Council, the National Science and Technology Council, Taiwan (R.O.C.) (Program ID:107-2410-H-415-017-SS2).</t>
  </si>
  <si>
    <t>0149-0400</t>
  </si>
  <si>
    <t>1521-0588</t>
  </si>
  <si>
    <t>LEISURE SCI</t>
  </si>
  <si>
    <t>Leis. Sci.</t>
  </si>
  <si>
    <t>2023 AUG 27</t>
  </si>
  <si>
    <t>10.1080/01490400.2023.2253232</t>
  </si>
  <si>
    <t>R5VM4</t>
  </si>
  <si>
    <t>WOS:001065028400001</t>
  </si>
  <si>
    <t>Bhowmik, D; Bhuyan, A; Gunalan, S; Kothandan, G; Kumar, D</t>
  </si>
  <si>
    <t>Bhowmik, Deep; Bhuyan, Achyut; Gunalan, Seshan; Kothandan, Gugan; Kumar, Diwakar</t>
  </si>
  <si>
    <t>In silico and immunoinformatics based multiepitope subunit vaccine design for protection against visceral leishmaniasis</t>
  </si>
  <si>
    <t>Visceral leishmaniasis; immunoinformatics; multiepitope; subunit vaccine; TLR</t>
  </si>
  <si>
    <t>B-CELL EPITOPES; WEB SERVER; DNA-REPLICATION; PROTEIN; PREDICTION; DONOVANI; IDENTIFICATION; ADJUVANTS; TARGET; DRUG</t>
  </si>
  <si>
    <t>Visceral leishmaniasis (VL) is a vector-borne neglected tropical protozoan disease with high fatality and no certified vaccine. Conventional vaccine preparation is challenging and tedious. Here in this work, we created a global multiepitope subunit vaccination against VL utilizing innovative immunoinformatics technique based on the extensively conserved epitopic regions of the PrimPol protein of Leishmania donovani consisting of four subunits which were analyzed and studied, out of which DNA primase large subunit and DNA polymerase a subunit B were evaluated as antigens by Vaxijen 2.0. The multiepitope vaccine design includes a single adjuvant b-defensins, eight CTL epitopes, eight HTL epitopes, seven linear BCL epitopes and one discontinuous BCL epitope to induce innate, cellular and humoral immune responses against VL. The Expasy ProtParam tool characterized the physiochemical parameters of the vaccine. At the same time, SOLpro evaluated our vaccine constructs to be soluble upon expression. We also modeled the stable tertiary structure of our vaccine construct through Robetta modeling for molecular docking studies with toll-like receptor proteins through HADDOCK 2.4. Simulations based on molecular dynamics revealed an intact vaccine and TLR8 complex, supporting our vaccine design's immunogenicity. Also, the immune simulation of our vaccine by the CImmSim server demonstrated the potency of the multiepitope vaccine construct to induce proper immune response for host defense. Codon optimization and in silico cloning of our vaccine further assured high expression. The outcomes of our study on multiepitope vaccine design significantly produced a potential candidate against VL and can potentially eradicate the disease in the future after clinical investigations.</t>
  </si>
  <si>
    <t>[Bhowmik, Deep; Bhuyan, Achyut; Kumar, Diwakar] Assam Univ, Dept Microbiol, Silchar, Assam, India; [Gunalan, Seshan; Kothandan, Gugan] Univ Madras, Ctr Adv Study Crystallog &amp; Biophys, Biopolymer Modelling Lab, Guindy Campus, Chennai, India; [Kumar, Diwakar] Assam Univ, Dept Microbiol, Silchar 788011, Assam, India</t>
  </si>
  <si>
    <t>Assam University; University of Madras; Assam University</t>
  </si>
  <si>
    <t>Kumar, D (corresponding author), Assam Univ, Dept Microbiol, Silchar 788011, Assam, India.</t>
  </si>
  <si>
    <t>diwakar11@gmail.com</t>
  </si>
  <si>
    <t>ICMR [95/2022-ECD-II]</t>
  </si>
  <si>
    <t>ICMR(Indian Council of Medical Research (ICMR))</t>
  </si>
  <si>
    <t>Deep Bhowmik received the financial support from ICMR (Fellowship/95/2022-ECD-II).</t>
  </si>
  <si>
    <t>2023 AUG 26</t>
  </si>
  <si>
    <t>10.1080/07391102.2023.2252901</t>
  </si>
  <si>
    <t>Q8RU4</t>
  </si>
  <si>
    <t>WOS:001060146200001</t>
  </si>
  <si>
    <t>Futamura, I; Shima, Y</t>
  </si>
  <si>
    <t>Futamura, Ikumi; Shima, Yoshihiro</t>
  </si>
  <si>
    <t>Young children's behaviour predictions in direct reciprocal situations</t>
  </si>
  <si>
    <t>EUROPEAN JOURNAL OF DEVELOPMENTAL PSYCHOLOGY</t>
  </si>
  <si>
    <t>Prosocial behaviour; direct reciprocity; young children; behaviour prediction</t>
  </si>
  <si>
    <t>CONTINGENT RECIPROCITY; EVOLUTION; EMERGENCE; RESOURCES</t>
  </si>
  <si>
    <t>This study examined young children's behaviour predictions in direct reciprocal prosocial situations. Participants aged 4-6 years (N = 60) listened to four stories that addressed the actor's previous behaviour (prosocial/non-prosocial) combined with the partner's behaviour (prosocial/non-prosocial). Then, they made predictions regarding the actor's future behaviour. Children's predictions of a prosocial actor's behaviour were consistent with the tit-for-tat strategy. Regarding the behavioural predictions of the actor who had behaved non-prosocially, children did not predict that the actor would repeat non-prosocial behaviour, even if the partner did not behave prosocially. When the partner behaved prosocially, children predicted that the non-prosocial actor would behave prosocially the next time. Young children assumed that a partner's generous response could influence the future behaviour of the actor who had not behaved prosocially to behave prosocially the next time.</t>
  </si>
  <si>
    <t>[Futamura, Ikumi] Univ Tokyo, Grad Sch Educ, Tokyo, Japan; [Futamura, Ikumi] Japan Soc Promot Sci, Chiyoda ku, Tokyo, Japan; [Shima, Yoshihiro] Kagoshima Univ, Fac Educ, Kagoshima, Japan; [Futamura, Ikumi] Univ Tokyo, Grad Sch Educ, 7-3-1, Hongo, Bunkyo ku, Tokyo 1130033, Japan</t>
  </si>
  <si>
    <t>University of Tokyo; Japan Society for the Promotion of Science; Kagoshima University; University of Tokyo</t>
  </si>
  <si>
    <t>Futamura, I (corresponding author), Univ Tokyo, Grad Sch Educ, 7-3-1, Hongo, Bunkyo ku, Tokyo 1130033, Japan.</t>
  </si>
  <si>
    <t>ifutamura19@gmail.com</t>
  </si>
  <si>
    <t>Japan Society for the Promotion of Science (JSPS) [22J40011, 19K23360]</t>
  </si>
  <si>
    <t>Japan Society for the Promotion of Science (JSPS)(Ministry of Education, Culture, Sports, Science and Technology, Japan (MEXT)Japan Society for the Promotion of Science)</t>
  </si>
  <si>
    <t>The work was supported by a Grant-in-Aid for Japan Society for the Promotion of Science (JSPS) fellows (22J40011) and Grant-in-Aid for Research Activity Start-up (19K23360).</t>
  </si>
  <si>
    <t>1740-5629</t>
  </si>
  <si>
    <t>1740-5610</t>
  </si>
  <si>
    <t>EUR J DEV PSYCHOL</t>
  </si>
  <si>
    <t>Eur. J. Dev. Psychol.</t>
  </si>
  <si>
    <t>10.1080/17405629.2023.2250125</t>
  </si>
  <si>
    <t>Psychology, Developmental</t>
  </si>
  <si>
    <t>Q8TC2</t>
  </si>
  <si>
    <t>WOS:001060180000001</t>
  </si>
  <si>
    <t>Granhag, PA</t>
  </si>
  <si>
    <t>Granhag, Par Anders</t>
  </si>
  <si>
    <t>Training Intelligence Officers to Detect Deception and Elicit Information</t>
  </si>
  <si>
    <t>INTERNATIONAL JOURNAL OF INTELLIGENCE AND COUNTERINTELLIGENCE</t>
  </si>
  <si>
    <t>STRATEGIC USE; ACCURACY; MARKERS; TACTICS; LIES; TRUE; FAIL</t>
  </si>
  <si>
    <t>Researchers from psychology have proposed interrogation techniques that draw on established theoretical principles and empirical examinations and have tested these techniques using experimental methods. From this, they have inferred that technique A is more effective than technique B. But, to make a difference outside the laboratory, researchers must know if their proposed techniques can be taught to practitioners. And, if so, whether the new techniques are more effective than the ones already in use. This article will present an overview of studies where experienced police officers, handlers, and intelligence officers were trained in interrogation techniques for different situations relevant to human intelligence collection and counterintelligence. The main conclusion was that, irrespective of whether the training concerned how to detect deception, to discriminate between true and false intentions, or subtly elicit information from human sources, the studies reviewed showed that the trained professionals outperformed their untrained colleagues.</t>
  </si>
  <si>
    <t>[Granhag, Par Anders] Univ Gothenburg, Dept Psychol, Gothenburg, Sweden</t>
  </si>
  <si>
    <t>University of Gothenburg</t>
  </si>
  <si>
    <t>Granhag, PA (corresponding author), Univ Gothenburg, Dept Psychol, Gothenburg, Sweden.</t>
  </si>
  <si>
    <t>pag@psy.gu.se</t>
  </si>
  <si>
    <t>0885-0607</t>
  </si>
  <si>
    <t>1521-0561</t>
  </si>
  <si>
    <t>INT J INTELL COUNTER</t>
  </si>
  <si>
    <t>Int. J. Intell. Counterintelligence</t>
  </si>
  <si>
    <t>10.1080/08850607.2023.2241307</t>
  </si>
  <si>
    <t>Q8ZD5</t>
  </si>
  <si>
    <t>WOS:001060337400001</t>
  </si>
  <si>
    <t>Lee, HS; Miller, VJ; Myers, L</t>
  </si>
  <si>
    <t>Lee, HeeSoon; Miller, Vivian J.; Myers, Lisa</t>
  </si>
  <si>
    <t>Getting Along During COVID-19: Older Adults' Stress and Coping</t>
  </si>
  <si>
    <t>ACTIVITIES ADAPTATION &amp; AGING</t>
  </si>
  <si>
    <t>COVID-19; stress; coping; older adults; Q-methodology</t>
  </si>
  <si>
    <t>Q-METHODOLOGY; LONELINESS; CONTEXT</t>
  </si>
  <si>
    <t>Older adults have been at greater risk for developing severe illness as a result of COVID-19. The intense shift toward a six-foot-distancing and orders to shelter-in-place was found to result in social isolation, potentially deteriorating the overall well-being of older adults. This study was to identify and categorize stress and coping strategies of older adults in the context of COVID-19. Using the Q-methodology, data were collected in partnership with a local community center from 40 participants (N = 40) aged 65 and older. Participants had a mean age of 73 (SD = 9.27); nearly all were female (85%), most (95%) were White, and over half lived alone (58%). Based on the results, participants were categorized into two factors (groups) using by-person factor analysis. Group one was found to adapt to a new routine despite feeling alone. Group two relied largely on religion and behavioral disengagement. Even with the homogenous sample, findings suggest an increased need for services in community centers, church groups, and assisted livings. Furthermore, future research ought to consider stress and coping strategies among men and/or persons of color, as findings from this study may have significant practice and policy implications.</t>
  </si>
  <si>
    <t>[Lee, HeeSoon; Miller, Vivian J.] Bowling Green State Univ, Human Serv, Bowling Green, OH 43402 USA; [Myers, Lisa] Wood Cty Comm Aging Inc, Social Serv, Bowling Green, OH USA</t>
  </si>
  <si>
    <t>University System of Ohio; Bowling Green State University</t>
  </si>
  <si>
    <t>Lee, HS (corresponding author), Bowling Green State Univ, Human Serv, Bowling Green, OH 43402 USA.</t>
  </si>
  <si>
    <t>leeh@bgsu.edu</t>
  </si>
  <si>
    <t>0192-4788</t>
  </si>
  <si>
    <t>1544-4368</t>
  </si>
  <si>
    <t>ACT ADAPT AGING</t>
  </si>
  <si>
    <t>Act. Adapt. Aging</t>
  </si>
  <si>
    <t>10.1080/01924788.2023.2249741</t>
  </si>
  <si>
    <t>Gerontology</t>
  </si>
  <si>
    <t>Geriatrics &amp; Gerontology</t>
  </si>
  <si>
    <t>Q8TI0</t>
  </si>
  <si>
    <t>WOS:001060185800001</t>
  </si>
  <si>
    <t>Noad, R; Newman, C; Chynoweth, J; Mayes, J; Hall, S; Murphy, D</t>
  </si>
  <si>
    <t>Noad, Rupert; Newman, Craig; Chynoweth, Jade; Mayes, Jacob; Hall, Stephen; Murphy, Donnchadh</t>
  </si>
  <si>
    <t>A pilot examination of the validity of stylus and finger drawing on visuomotor-mediated tests on ACEmobile</t>
  </si>
  <si>
    <t>JOURNAL OF CLINICAL AND EXPERIMENTAL NEUROPSYCHOLOGY</t>
  </si>
  <si>
    <t>ACE-III; computerized cognitive assessment; cognitive screening; dementia; neuropsychology</t>
  </si>
  <si>
    <t>MONTREAL COGNITIVE ASSESSMENT; VALIDATION</t>
  </si>
  <si>
    <t>Introduction Cognitive assessments, such as the Addenbrooke's Cognitive Examination (ACE-III) and Montreal Cognitive Assessment (MoCA), have been modified for administration using tablet computers. While this offers important advantages for practice, it may also threaten the test validity. The current study sought to test whether administering visuospatial and writing tests using a tablet (finger or stylus drawing), would demonstrate equivalence to traditional pencil and paper administration on ACEmobile.Method This study recruited 26 participants with Alzheimer's disease and 23 healthy older adults. Most participants had low familiarity with using a tablet computer. Participants completed ACEmobile in its entirety, after which they repeated the infinity loops, cube, and clock drawing and sentence writing tests by drawing with a stylus and their finger onto an iPad. Performance on the drawing and writing tests using a stylus, finger, and pencil were compared.Results Statistically significant differences were observed between the finger and pencil administration on the ACEmobile, with participants performing worse on the finger drawing trials. Differences in scores were most apparent on the sentence writing task. In contrast, no statistical differences were observed between the pencil and stylus administration.Discussion The findings of this pilot study have important implications for clinical neuropsychology and demonstrate that administering ACEmobile drawing tests with finger drawing is invalid. However, due to the small sample size, a lack of counterbalancing and the narrow range of scores of the dependent variable, we are unable to confidently interpret the validity of stylus drawing. This is an important consideration for future research.</t>
  </si>
  <si>
    <t>[Noad, Rupert; Chynoweth, Jade; Mayes, Jacob; Hall, Stephen; Murphy, Donnchadh] Univ Plymouth, Fac Hlth, Plymouth, England; [Noad, Rupert] Univ Hosp Plymouth, Clin Neuropsychol, Plymouth, England; [Newman, Craig] UXC Grp, York, England; [Murphy, Donnchadh] Livewell Southwest, Clin Neuropsychol, Plymouth, England</t>
  </si>
  <si>
    <t>University of Plymouth</t>
  </si>
  <si>
    <t>Murphy, D (corresponding author), Univ Plymouth, Fac Hlth, Plymouth, England.</t>
  </si>
  <si>
    <t>donnchadh.murphy@plymouth.ac.uk</t>
  </si>
  <si>
    <t>1380-3395</t>
  </si>
  <si>
    <t>1744-411X</t>
  </si>
  <si>
    <t>J CLIN EXP NEUROPSYC</t>
  </si>
  <si>
    <t>J. Clin. Exp. Neuropsychol.</t>
  </si>
  <si>
    <t>AUG 26</t>
  </si>
  <si>
    <t>10.1080/13803395.2023.2249167</t>
  </si>
  <si>
    <t>Psychology, Clinical; Clinical Neurology; Psychology</t>
  </si>
  <si>
    <t>Psychology; Neurosciences &amp; Neurology</t>
  </si>
  <si>
    <t>Q0UH4</t>
  </si>
  <si>
    <t>WOS:001054747600001</t>
  </si>
  <si>
    <t>Wei, TP; Liu, WP; Yang, W; Zeng, SJ; Yan, XL; Guo, JQ</t>
  </si>
  <si>
    <t>Wei, Tieping; Liu, Wanpeng; Yang, Wu; Zeng, Shoujin; Yan, Xiaolei; Guo, Jinquan</t>
  </si>
  <si>
    <t>Structural design and self-locking performance verification of the snap-fit spatial self-locking energy absorption system under the impact loading</t>
  </si>
  <si>
    <t>INTERNATIONAL JOURNAL OF CRASHWORTHINESS</t>
  </si>
  <si>
    <t>Energy-absorption system; spatial self-locking; editable; finite element analysis; impact loading; COPRAS method</t>
  </si>
  <si>
    <t>CRASHWORTHINESS OPTIMIZATION; CRUSHING BEHAVIOR; TUBE SYSTEM; OBLONG TUBE; ABSORBERS; COMPOSITE; SELECTION</t>
  </si>
  <si>
    <t>There are increasingly high performance requirements of energy-absorbing systems in aerospace, defense and military, transportation and other fields, especially in the field of emergency protection where the study of self-locking characteristics is of great significance. In this paper, an energy absorption system is designed by snap-fit thin-walled tubes, which can be edited, easy to assemble quickly and spatial omnidirectional self-locking, and the spatial self-locking characteristic of the system was verified by numerical simulation under the uniform/concentrated impact loadings. The results show that the energy-absorbing system can withstand the uniform/concentrated impact loadings in all directions in space. Furthermore, the good comprehensive performance of the loading condition in direction 3 (&amp; alpha; = 90 deg, &amp; beta; = 0 deg) was verified by the quantitative analysis of the complex proportional assessment (COPRAS) method and the qualitative analysis of Radar Diagram method.</t>
  </si>
  <si>
    <t>[Wei, Tieping; Liu, Wanpeng; Yang, Wu; Zeng, Shoujin; Yan, Xiaolei] Fujian Univ Technol, Fujian Key Lab Intelligent Machining Technol &amp; Equ, Fuzhou, Peoples R China; [Wei, Tieping] Hunan Univ, State Key Lab Adv Design &amp; Manufacture Vehicle Bod, Changsha, Peoples R China; [Wei, Tieping; Liu, Wanpeng; Yang, Wu; Zeng, Shoujin; Yan, Xiaolei] Fujian Univ Technol, Sch Mech &amp; Automot Engn, Fuzhou, Peoples R China; [Guo, Jinquan] Fuzhou Univ, Sch Mech Engn &amp; Automat, Fuzhou, Peoples R China</t>
  </si>
  <si>
    <t>Fujian University of Technology; Hunan University; Fujian University of Technology; Fuzhou University</t>
  </si>
  <si>
    <t>Wei, TP (corresponding author), Fujian Univ Technol, Fujian Key Lab Intelligent Machining Technol &amp; Equ, Fuzhou, Peoples R China.;Wei, TP (corresponding author), Hunan Univ, State Key Lab Adv Design &amp; Manufacture Vehicle Bod, Changsha, Peoples R China.;Wei, TP (corresponding author), Fujian Univ Technol, Sch Mech &amp; Automot Engn, Fuzhou, Peoples R China.</t>
  </si>
  <si>
    <t>wtp12312@sina.com</t>
  </si>
  <si>
    <t>Natural Science Foundation of Fujian Province [2021J011050]; Open Fund of Fujian Key Laboratory of Force Measurement (Fujian Institute of Metrology) [FJLZSYS20210]</t>
  </si>
  <si>
    <t>Natural Science Foundation of Fujian Province(Natural Science Foundation of Fujian Province); Open Fund of Fujian Key Laboratory of Force Measurement (Fujian Institute of Metrology)</t>
  </si>
  <si>
    <t>This work was gratefully supported by the Natural Science Foundation of Fujian Province [grant number 2021J011050] and the Open Fund of Fujian Key Laboratory of Force Measurement (Fujian Institute of Metrology) [grant number FJLZSYS20210].</t>
  </si>
  <si>
    <t>1358-8265</t>
  </si>
  <si>
    <t>1754-2111</t>
  </si>
  <si>
    <t>INT J CRASHWORTHINES</t>
  </si>
  <si>
    <t>Int. J. Crashworthiness</t>
  </si>
  <si>
    <t>10.1080/13588265.2023.2253040</t>
  </si>
  <si>
    <t>Engineering, Manufacturing; Engineering, Mechanical</t>
  </si>
  <si>
    <t>R5IZ6</t>
  </si>
  <si>
    <t>WOS:001064699700001</t>
  </si>
  <si>
    <t>Chang, MC</t>
  </si>
  <si>
    <t>Chang, Ming-Chung</t>
  </si>
  <si>
    <t>Bayesian-inspired minimum contamination designs under a double-pair conditional effect model</t>
  </si>
  <si>
    <t>Minimum aberration; two-level factorials; effect hierarchy; functional prior</t>
  </si>
  <si>
    <t>ABERRATION DESIGNS; FACTORIAL-DESIGNS; 2-LEVEL; FRACTIONS; SELECTION</t>
  </si>
  <si>
    <t>In two-level fractional factorial designs, conditional main effects can provide insights by which to analyze factorial effects and facilitate the de-aliasing of fully aliased two-factor interactions. Conditional main effects are of particular interest in situations where some factors are nested within others. Most of the relevant literature has focussed on the development of data analysis tools that use conditional main effects, while the issue of optimal factorial design for a given linear model involving conditional main effects has been largely overlooked. Mukerjee, Wu and Chang [Statist. Sinica 27 (2017) 997-1016] established a framework by which to optimize designs under a conditional effect model. Although theoretically sound, their results were limited to a single pair of conditional and conditioning factors. In this paper, we extend the applicability of their framework to double pairs of conditional and conditioning factors by providing the corresponding parameterization and effect hierarchy. We propose a minimum contamination-based criterion by which to evaluate designs and develop a complementary set theory to facilitate the search of minimum contamination designs. The catalogues of 16- and 32-run minimum contamination designs are provided. For five to twelve factors, we show that all 16-run minimum contamination designs under the conditional effect model are also minimum aberration according to Fries and Hunter [Technometrics 22 (1980) 601-608].</t>
  </si>
  <si>
    <t>[Chang, Ming-Chung] Acad Sinica, Inst Stat Sci, Taipei, Taiwan; [Chang, Ming-Chung] Acad Sinica, Inst Stat Sci, Taipei 11529, Taiwan</t>
  </si>
  <si>
    <t>Academia Sinica - Taiwan; Academia Sinica - Taiwan</t>
  </si>
  <si>
    <t>Chang, MC (corresponding author), Acad Sinica, Inst Stat Sci, Taipei 11529, Taiwan.</t>
  </si>
  <si>
    <t>mcchang@stat.sinica.edu.tw</t>
  </si>
  <si>
    <t>We thank the Editor and two Reviewers for their constructive comments and suggestions, which have helped us to improve the article.</t>
  </si>
  <si>
    <t>2023 AUG 25</t>
  </si>
  <si>
    <t>10.1080/24754269.2023.2250237</t>
  </si>
  <si>
    <t>R0QF4</t>
  </si>
  <si>
    <t>WOS:001061467700001</t>
  </si>
  <si>
    <t>Changlani, S; Jenkins, L; Yang, YY</t>
  </si>
  <si>
    <t>Changlani, Suravi; Jenkins, Lyndsay; Yang, Yanyun</t>
  </si>
  <si>
    <t>Dimensions of Empathy and Bystander Intervention Action in Bullying Across Age</t>
  </si>
  <si>
    <t>JOURNAL OF SCHOOL VIOLENCE</t>
  </si>
  <si>
    <t>bullying; peer victimization; bystander intervention; empathy; bystander actions</t>
  </si>
  <si>
    <t>INVOLVEMENT; PROGRAMS; CHILDREN; METAANALYSIS; ADOLESCENTS; PREDICTORS; BEHAVIOR; GENDER</t>
  </si>
  <si>
    <t>This study aimed to extend the literature by examining how bystander intervention (i.e. when a witness to a bullying episodes does something to address the situation) varies with respect to the type of bystander intervention (i.e. direct intervention, emotional intervention, involving an adult, ignore) across victim status (friend, unknown), intervener age (elementary, high school), and dimensions of empathy (affective, cognitive) in the intervener. Given substantive differences in both empathy (especially cognitive empathy) and bystander intervention when comparing children to older adolescents, the association between empathy and intervening may differ across age groups. Self-report survey data were collected from 370 racially diverse participants in grades 3-5 ; (n = 158) and grades 9-12 (n = 212) in the southeastern area of the United States. Multi-group path analysis was conducted. Results varied by intervener age, type of intervention, and type of empathy. Affective empathy for high school students was not related to intervention at all, but affective empathy for elementary students was related to emotional intervention. For both age groups, cognitive empathy was related to emotional intervention and reporting to adults for all unknown victims, as well as for known victims in high school students. For known victims, no clear pattern emerged for age groups and how empathy was associated with each type of intervention. Overall, the findings suggest that bystander intervention in bullying is not a one size fits all behavior. Bystander intervention programs for bullying should provide more nuanced training regarding types of interventions and encourage empathy and action for both known and unknown victims.</t>
  </si>
  <si>
    <t>[Changlani, Suravi; Jenkins, Lyndsay; Yang, Yanyun] Florida State Univ, Educ Psychol &amp; Learning Syst, Tallahassee, FL USA; [Jenkins, Lyndsay] Florida State Univ, Educ Psychol &amp; Learning Syst, 1114 West Call St,STB 3210, Tallahassee, FL 32306 USA</t>
  </si>
  <si>
    <t>State University System of Florida; Florida State University; State University System of Florida; Florida State University</t>
  </si>
  <si>
    <t>Jenkins, L (corresponding author), Florida State Univ, Educ Psychol &amp; Learning Syst, 1114 West Call St,STB 3210, Tallahassee, FL 32306 USA.</t>
  </si>
  <si>
    <t>lnjenkins@fsu.edu</t>
  </si>
  <si>
    <t>1538-8220</t>
  </si>
  <si>
    <t>1538-8239</t>
  </si>
  <si>
    <t>J SCH VIOLENCE</t>
  </si>
  <si>
    <t>J. Sch. Violence</t>
  </si>
  <si>
    <t>AUG 25</t>
  </si>
  <si>
    <t>10.1080/15388220.2023.2248870</t>
  </si>
  <si>
    <t>Criminology &amp; Penology; Education &amp; Educational Research; Psychology, Educational; Psychology, Developmental</t>
  </si>
  <si>
    <t>Criminology &amp; Penology; Education &amp; Educational Research; Psychology</t>
  </si>
  <si>
    <t>P8XY8</t>
  </si>
  <si>
    <t>WOS:001053462200001</t>
  </si>
  <si>
    <t>Fuxench, GAG; Rodriguez, SCA; Guardiola, G; Ramos, F; Pappaterra-Rodriguez, MP; Figueroa, GAR; Llop, SM; Santiago, LA; Santos, C; Oliver, AL</t>
  </si>
  <si>
    <t>Fuxench, Gabriela A. Gorbea; Rodriguez, Sofia C. Ayala; Guardiola, Gabriel; Ramos, Fabiola; Pappaterra-Rodriguez, Mariella; Figueroa, Guillermo A. Requejo; Llop, Stephanie M.; Santiago, Luis A.; Santos, Carmen; Oliver, Armando L.</t>
  </si>
  <si>
    <t>Bilateral Acute Iris Transillumination Associated with Moxifloxacin Antibiotic Use</t>
  </si>
  <si>
    <t>Bilateral acute iris transillumination; BAIT syndrome; moxifloxacin; uveitis; glaucoma</t>
  </si>
  <si>
    <t>PurposeTo describe the clinical and demographic characteristics and associated factors leading to bilateral acute iris transillumination (BAIT) syndrome.MethodsA retrospective review of patients with BAIT syndrome was performed.ResultsThirty-five patients with a diagnosis of BAIT were identified. The median age at presentation was 53 years; 80% of the patients were female. Twenty-six patients (74%) had recent histories of systemic antibiotic treatment. Of those with such a history, 24 patients (92%) had been receiving moxifloxacin. Two patients within our cohort were prescribed moxifloxacin prophylactically prior to a systemic surgical procedure and had no evidence of systemic illness or recent viral illness.ConclusionsOur data support the notion that moxifloxacin might be associated with the onset of BAIT syndrome. Notably, within our cohort, two patients received moxifloxacin as surgical prophylaxis and subsequently developed BAIT syndrome. This could suggest a potential association between moxifloxacin and the onset of BAIT, though further studies are needed to confirm this finding.</t>
  </si>
  <si>
    <t>[Fuxench, Gabriela A. Gorbea; Rodriguez, Sofia C. Ayala; Guardiola, Gabriel; Ramos, Fabiola; Pappaterra-Rodriguez, Mariella; Figueroa, Guillermo A. Requejo; Llop, Stephanie M.; Santiago, Luis A.; Santos, Carmen; Oliver, Armando L.] Univ Puerto Rico, Dept Ophthalmol, Sch Med, Med Sci Campus,POB 365067, San Juan, PR 00936 USA</t>
  </si>
  <si>
    <t>University of Puerto Rico; University of Puerto Rico Medical Sciences Campus</t>
  </si>
  <si>
    <t>Oliver, AL (corresponding author), Univ Puerto Rico, Dept Ophthalmol, Sch Med, Med Sci Campus,POB 365067, San Juan, PR 00936 USA.</t>
  </si>
  <si>
    <t>armando.oliver@upr.edu</t>
  </si>
  <si>
    <t>Oliver, Armando L./0000-0001-7533-6121</t>
  </si>
  <si>
    <t>10.1080/09273948.2023.2246543</t>
  </si>
  <si>
    <t>Q3YP6</t>
  </si>
  <si>
    <t>WOS:001056911000001</t>
  </si>
  <si>
    <t>Gan, JX</t>
  </si>
  <si>
    <t>Gan, Jingxian</t>
  </si>
  <si>
    <t>Impact of the combination intensity and balance of patent policy on firm patent quality</t>
  </si>
  <si>
    <t>ECONOMICS OF INNOVATION AND NEW TECHNOLOGY</t>
  </si>
  <si>
    <t>Patent policy; policy combination; policy balance; patent quality</t>
  </si>
  <si>
    <t>RESEARCH-AND-DEVELOPMENT; INTELLECTUAL PROPERTY-RIGHTS; INNOVATION EVIDENCE; PROTECTION; KNOWLEDGE; COMMERCIALIZATION; PRODUCTIVITY; INVESTMENT; INDUSTRIAL; CITATIONS</t>
  </si>
  <si>
    <t>This paper examines the impact of patent policy combination intensity and balance on patent quality, using a sample of 651 patent policy texts and enterprise patents from each province in China between 1992 and 2012. Textual analysis methods are applied to measure the strength of four types of patent policies and assess patent quality. By conducting panel regression and robustness tests, the study reveals significant variations in the effects of different types of patent policies on various aspects of patents. Moreover, it highlights that solely considering the combination intensity of policies while disregarding their balance would result in a decline in patent quality. The findings of this study provide valuable insights for policymakers aiming to develop policies that effectively enhance patent quality in their respective regions.</t>
  </si>
  <si>
    <t>[Gan, Jingxian] Dalian Univ Technol, Sch Intellectual Property, Dalian, Peoples R China</t>
  </si>
  <si>
    <t>Dalian University of Technology</t>
  </si>
  <si>
    <t>Gan, JX (corresponding author), Dalian Univ Technol, Sch Intellectual Property, Dalian, Peoples R China.</t>
  </si>
  <si>
    <t>ganjingxian@dlut.edu.cn</t>
  </si>
  <si>
    <t>National Natural Science Foundation of China [72202026]</t>
  </si>
  <si>
    <t>This work was supported by National Natural Science Foundation of China [grant number 72202026].</t>
  </si>
  <si>
    <t>1043-8599</t>
  </si>
  <si>
    <t>1476-8364</t>
  </si>
  <si>
    <t>ECON INNOV NEW TECH</t>
  </si>
  <si>
    <t>Econ. Innov. New Technol.</t>
  </si>
  <si>
    <t>10.1080/10438599.2023.2251004</t>
  </si>
  <si>
    <t>P9UP8</t>
  </si>
  <si>
    <t>WOS:001054061900001</t>
  </si>
  <si>
    <t>Lai, PH; Westland, S; Booth, SA</t>
  </si>
  <si>
    <t>Lai, Peihua; Westland, Stephen; Booth, Sally Angharad</t>
  </si>
  <si>
    <t>Pixel-based object recognition in fashion images to generate colour palettes</t>
  </si>
  <si>
    <t>INTERNATIONAL JOURNAL OF FASHION DESIGN TECHNOLOGY AND EDUCATION</t>
  </si>
  <si>
    <t>Colour; machine learning; fashion images; trends</t>
  </si>
  <si>
    <t>There is growing interest in being able to automatically extract colours of garments from images. Automatic image analysis may allow the development of data-driven approaches to, for example, colour forecasting. A neural network (pix2pix) was trained on streetstyle fashion images to predict the semantic class of each pixel in the image. The trained network was able to correctly identify the class of each pixel in 93% of cases. A total of 10 participants were each asked to select three colours from each of 10 additional images to represent the clothes being worn. Colour palettes were extracted from the images using cluster analysis of those pixels identified by pix2pix as being clothes and compared with cluster analysis of the whole image. The work shows that pixel-based semantic analysis is effective for automatically generating colour palettes for clothes in digital images. This approach can provide effective software tools for colour designers.</t>
  </si>
  <si>
    <t>[Lai, Peihua; Westland, Stephen; Booth, Sally Angharad] Univ Leeds, Leeds Inst Text &amp; Colour, Sch Design, Woodhouse Lane, Leeds LS2 9JT, England</t>
  </si>
  <si>
    <t>University of Leeds</t>
  </si>
  <si>
    <t>Westland, S (corresponding author), Univ Leeds, Leeds Inst Text &amp; Colour, Sch Design, Woodhouse Lane, Leeds LS2 9JT, England.</t>
  </si>
  <si>
    <t>s.westland@leed.ac.uk</t>
  </si>
  <si>
    <t>Angharad, Sally/0009-0003-4593-0981</t>
  </si>
  <si>
    <t>1754-3266</t>
  </si>
  <si>
    <t>1754-3274</t>
  </si>
  <si>
    <t>INT J FASH DES TECHN</t>
  </si>
  <si>
    <t>Int. J. Fash. Des. Technol. Educ.</t>
  </si>
  <si>
    <t>10.1080/17543266.2023.2250820</t>
  </si>
  <si>
    <t>Business; Materials Science, Textiles</t>
  </si>
  <si>
    <t>Business &amp; Economics; Materials Science</t>
  </si>
  <si>
    <t>Q6TT3</t>
  </si>
  <si>
    <t>WOS:001058836500001</t>
  </si>
  <si>
    <t>Manan, MR; Nawaz, I; Rahman, S; Manan, H</t>
  </si>
  <si>
    <t>Manan, Muhammad Romail; Nawaz, Iqra; Rahman, Sara; Manan, Hamna</t>
  </si>
  <si>
    <t>Diversity, equity, and inclusion in medical education journals: An evaluation of editorial board composition</t>
  </si>
  <si>
    <t>MEDICAL TEACHER</t>
  </si>
  <si>
    <t>Medical education; multiculturalism; gender equity; leadership</t>
  </si>
  <si>
    <t>GENDER</t>
  </si>
  <si>
    <t>Purpose of the articleAs editorial boards (EBs) of medical education journals (MEJs) hold substantial control over framing current medical education scholarship, we aimed to evaluate representation of women as well as geographic and socioeconomic diversity on EBs of these journals.Materials and methodsIn our cross-sectional study, Composite Editorial Board Diversity Score (CEBDS) was used to evaluate diversity at gender, geographic region, and country income level. Websites of MEJs were screened for relevant information. Job titles were categorized into 3 editorial roles and data were analyzed using SPSS version 26.ResultsOut of 42 MEJs, 19 journals (45.2%) were published from the Global South. Among 1219 editors, 57.5% were men. Out of 46 editors in chief (EICs), 34.7% were women, and 60.9% were based in high income countries. No EIC belonged to low-income country. The proportion of female advisory board members was found to be positively correlated with the presence of a female EIC. Moreover, 2 journals achieved the maximum CEBDS. All editors belonged to the same World Bank income group and geographic region for 12 and 8 journals respectively.ConclusionsIn order to allow a truly global perspective in medical education to prevail, diversity and inclusivity on these journals become important parameters to address. Thus, promoting policies centered on improving diversity in all aspects should become a top priority.</t>
  </si>
  <si>
    <t>[Manan, Muhammad Romail; Rahman, Sara] Serv Inst Med Sci, Fac Med, Lahore, Pakistan; [Nawaz, Iqra] Quaid E Azam Med Coll, Fac Med, Bahawalpur, Pakistan; [Manan, Hamna] Jinnah Hosp, Dept Med, Lahore, Pakistan; [Manan, Hamna] Masood Hosp, Lahore, Pakistan</t>
  </si>
  <si>
    <t>Manan, MR (corresponding author), Serv Inst Med Sci, Fac Med, Lahore, Pakistan.</t>
  </si>
  <si>
    <t>romailmanan1@gmail.com</t>
  </si>
  <si>
    <t>Nawaz, Iqra/0000-0001-9295-6058; Manan, Muhammad Romail/0000-0002-3436-5206</t>
  </si>
  <si>
    <t>0142-159X</t>
  </si>
  <si>
    <t>1466-187X</t>
  </si>
  <si>
    <t>MED TEACH</t>
  </si>
  <si>
    <t>Med. Teach.</t>
  </si>
  <si>
    <t>10.1080/0142159X.2023.2249212</t>
  </si>
  <si>
    <t>Education, Scientific Disciplines; Health Care Sciences &amp; Services</t>
  </si>
  <si>
    <t>Education &amp; Educational Research; Health Care Sciences &amp; Services</t>
  </si>
  <si>
    <t>Q8MD7</t>
  </si>
  <si>
    <t>WOS:001059999500001</t>
  </si>
  <si>
    <t>Silva, DAS; de Lima, TR; Lavie, CJ; Sui, XM</t>
  </si>
  <si>
    <t>Santos Silva, Diego Augusto; de Lima, Tiago Rodrigues; Lavie, Carl J.; Sui, Xuemei</t>
  </si>
  <si>
    <t>Association between cardiorespiratory fitness and low back pain is anxiety-dependent: A prospective cohort study among adults and older adults</t>
  </si>
  <si>
    <t>JOURNAL OF SPORTS SCIENCES</t>
  </si>
  <si>
    <t>Adult; aged; mental health; longitudinal studies; exercise</t>
  </si>
  <si>
    <t>ALL-CAUSE MORTALITY; TIME PHYSICAL-ACTIVITY; AEROBIC FITNESS; CARDIOVASCULAR-DISEASE; EXERCISE; HEALTH; RISK; MEN; DETERMINANTS; DEPRESSION</t>
  </si>
  <si>
    <t>To investigate the relationship between low back pain and cardiorespiratory fitness (CRF) among participants with and without self-report anxiety. Participants were 13,080 individuals (86.6% men; 44.7 &amp; PLUSMN; 9.3 years). CRF was quantified as maximal treadmill test duration and was grouped for analysis as low (lowest 20% of treadmill test duration), moderate (middle 40%), and high (upper 40%). Cox regression analysis was used to estimate hazard ratios (HRs) and 95% confidence intervals (CIs) between low back pain and CRF according to the presence/absence of self-report anxiety. During an average of 5.7 &amp; PLUSMN; 5.1 years of follow-up, 2,965 cases of low back pain were identified. Participants with self-report anxiety and low CRF had 3.7 times (HR: 3.7; 95%CI: 1.7-8.2) more risk for having low back pain when compared with participants with self-report anxiety and high CRF. Additionally, among participants with self-reported anxiety, moderate CRF was associated with an 70% greater risk of having low back pain than those with high CRF (HR: 1.7; 95%CI: 1.1-3.2). For participants without self-reported anxiety, no association was found between the risk of having low back pain and CRF. According to the results identified in the present study, participants with self-reported anxiety who had low and moderate CRF had higher risks of low back pain than those with high CRF.</t>
  </si>
  <si>
    <t>[Santos Silva, Diego Augusto; de Lima, Tiago Rodrigues] Univ Fed Santa Catarina, Sports Ctr, Florianopolis, SC, Brazil; [Lavie, Carl J.] Univ Queensland, John Ochsner Heart &amp; Vasc Inst, Ochsner Clin Sch, Dept Cardiovasc Dis,Sch Med, New Orleans, LA USA; [Sui, Xuemei] Univ South Carolina, Arnold Sch Publ Hlth, Dept Exercise Sci, Columbia, SC USA; [Santos Silva, Diego Augusto] Univ Fed Santa Catarina, Sports Ctr, Univ Campus, BR-88040000 Florianopolis, SC, Brazil</t>
  </si>
  <si>
    <t>Universidade Federal de Santa Catarina (UFSC); Ochsner Health System; University of Queensland; University of South Carolina System; University of South Carolina Columbia; Universidade Federal de Santa Catarina (UFSC)</t>
  </si>
  <si>
    <t>Silva, DAS (corresponding author), Univ Fed Santa Catarina, Sports Ctr, Univ Campus, BR-88040000 Florianopolis, SC, Brazil.</t>
  </si>
  <si>
    <t>diegoaugustoss@yahoo.com.br</t>
  </si>
  <si>
    <t>Silva, Diego Augusto Santos/AAB-9249-2020</t>
  </si>
  <si>
    <t>Silva, Diego Augusto Santos/0000-0002-0489-7906</t>
  </si>
  <si>
    <t>Coordenacao de Aperfeicoamento de Pessoal de Nivel Superior (CAPES)-Brazil [001]; Conselho Nacional de Desenvolvimento Cientifico e Tecnologico (CNPq)-Brazil [309589/2021-5]</t>
  </si>
  <si>
    <t>Coordenacao de Aperfeicoamento de Pessoal de Nivel Superior (CAPES)-Brazil(Coordenacao de Aperfeicoamento de Pessoal de Nivel Superior (CAPES)); Conselho Nacional de Desenvolvimento Cientifico e Tecnologico (CNPq)-Brazil(Conselho Nacional de Desenvolvimento Cientifico e Tecnologico (CNPQ))</t>
  </si>
  <si>
    <t>The authors thank the staff from the Aerobics Center Longitudinal Study (ACLS), who undertook the data collection. DASS was financed in part by the Coordenacao de Aperfeicoamento de Pessoal de Nivel Superior (CAPES)-Brazil-Finance Code 001 and DASS is supported in part by Conselho Nacional de Desenvolvimento Cientifico e Tecnologico (CNPq)-Brazil-no 309589/2021-5.</t>
  </si>
  <si>
    <t>0264-0414</t>
  </si>
  <si>
    <t>1466-447X</t>
  </si>
  <si>
    <t>J SPORT SCI</t>
  </si>
  <si>
    <t>J. Sports Sci.</t>
  </si>
  <si>
    <t>10.1080/02640414.2023.2249756</t>
  </si>
  <si>
    <t>Sport Sciences</t>
  </si>
  <si>
    <t>Q8UA2</t>
  </si>
  <si>
    <t>WOS:001060204000001</t>
  </si>
  <si>
    <t>Tsai, CH</t>
  </si>
  <si>
    <t>Tsai, Cheng-Hsiu</t>
  </si>
  <si>
    <t>In search of the origin of crown Mysticeti</t>
  </si>
  <si>
    <t>JOURNAL OF THE ROYAL SOCIETY OF NEW ZEALAND</t>
  </si>
  <si>
    <t>Toothed mysticete; Baleen whale; Phylogeny; Oligocene; New Zealand</t>
  </si>
  <si>
    <t>ARCHAIC BALEEN WHALE; CETACEA MYSTICETI; LATE OLIGOCENE; EVOLUTION; EOMYSTICETIDAE; TRANSITION; MAMMALIA; TEETH</t>
  </si>
  <si>
    <t>Recent research on mysticete fossils from the Late Eocene and Oligocene has revolutionised our understanding of the diversity and evolutionary scenarios for early baleen whales. For example, aetiocetids are a possible, though controversial, lineage that bridges the gap between the toothed and baleen-bearing mysticetes, and eomysticetids show a further transitional step towards the baleen-bearing status, with the presence of non-functional dentition in adults. However, information about the origin of crown mysticetes, including the most recent common ancestor of all extant lineages and its descendants, is critical to further understanding the evolution of baleen whales. The phylogenetic positions of the Oligocene Toipahautea, Whakakai, Horopeta, and Mauicetus from New Zealand remain unresolved and problematic, but all four genera show a close relationship with crown mysticetes. The original and subsequent cladistic analyses have consistently revealed a sister relationship between the Toipahautea-to-Mauicetus grade and crown mysticetes, and Horopeta has been placed close to the cetotheriids within the crown group. This review aims to stimulate more research on this topic by elucidating the origin of crown mysticetes, which likely experienced a poorly known radiation event during the Oligocene that established the modern lineages.</t>
  </si>
  <si>
    <t>[Tsai, Cheng-Hsiu] Natl Taiwan Univ, Inst Ecol &amp; Evolutionary Biol, Dept Life Sci, Taipei, Taiwan; [Tsai, Cheng-Hsiu] Natl Taiwan Univ, Museum Zool, Taipei, Taiwan</t>
  </si>
  <si>
    <t>National Taiwan University; National Taiwan University</t>
  </si>
  <si>
    <t>Tsai, CH (corresponding author), Natl Taiwan Univ, Inst Ecol &amp; Evolutionary Biol, Dept Life Sci, Taipei, Taiwan.;Tsai, CH (corresponding author), Natl Taiwan Univ, Museum Zool, Taipei, Taiwan.</t>
  </si>
  <si>
    <t>whaletsai@ntu.edu.tw</t>
  </si>
  <si>
    <t>Tsai, Cheng-Hsiu/0000-0003-3617-366X</t>
  </si>
  <si>
    <t>I thank Ewan Fordyce for being my always supportive PhD supervisor and lifelong colleague; all my Otago and overseas colleagues for various help and discussion about whale evolution; and the handling editor Daniel Thomas and two reviewers for constructive</t>
  </si>
  <si>
    <t>I thank Ewan Fordyce for being my always supportive PhD supervisor and lifelong colleague; all my Otago and overseas colleagues for various help and discussion about whale evolution; and the handling editor Daniel Thomas and two reviewers for constructive comments and suggestions.</t>
  </si>
  <si>
    <t>0303-6758</t>
  </si>
  <si>
    <t>1175-8899</t>
  </si>
  <si>
    <t>J ROY SOC NEW ZEAL</t>
  </si>
  <si>
    <t>J. R. Soc. N.Z.</t>
  </si>
  <si>
    <t>10.1080/03036758.2023.2249410</t>
  </si>
  <si>
    <t>P9RR8</t>
  </si>
  <si>
    <t>WOS:001053984100001</t>
  </si>
  <si>
    <t>Wilkinson, DA; Edwards, M; Shum, C; Moinet, M; Anderson, NE; Benschop, J; Nisa, S</t>
  </si>
  <si>
    <t>Wilkinson, D. A.; Edwards, M.; Shum, C.; Moinet, M.; Anderson, N. E.; Benschop, J.; Nisa, S.</t>
  </si>
  <si>
    <t>Molecular typing of Leptospira spp. in farmed and wild mammals reveals new host-serovar associations in New Zealand</t>
  </si>
  <si>
    <t>NEW ZEALAND VETERINARY JOURNAL</t>
  </si>
  <si>
    <t>Leptospirosis; molecular typing; livestock; wildlife; New Zealand</t>
  </si>
  <si>
    <t>CULTURAL PREVALENCE; HARDJO; SHEEP; BALCANICA; DIFFERENTIATION; INFECTIONS; TARASSOVI; POMONA</t>
  </si>
  <si>
    <t>Aims: To apply molecular typing to DNA isolated from historical samples to determine Leptospira spp. infecting farmed and wild mammals in New Zealand.Materials and methods: DNA samples used in this study were extracted from urine, serum or kidney samples (or Leptospira spp. cultures isolated from them) collected between 2007 and 2017 from a range of domestic and wildlife mammalian species as part of different research projects at Massey University. Samples were included in the study if they met one of three criteria: samples that tested positive with a lipL32 PCR for pathogenic Leptospira; samples that tested negative by lipL32 PCR but were recorded as positive to PCR for pathogenic Leptospira in the previous studies; or samples that were PCR-negative in all studies but were from animals with positive agglutination titres against serogroup Tarassovi. DNA samples were typed using PCR that targeted either the glmU or gyrB genetic loci. The resulting amplicons were sequenced and typed relative to reference sequences.Results: We identified several associations between mammalian hosts and Leptospira strains/serovars that had not been previously reported in New Zealand. Leptospira borgpetersenii strain Pacifica was found in farmed red deer (Cervus elaphus) samples, L. borgpetersenii serovars Balcanica and Ballum were found in wild red deer samples, Leptospira interrogans serovar Copenhageni was found in stoats (Mustela erminea) and brushtail possums (Trichosurus vulpecula), and L. borgpetersenii was found in a ferret (Mustela putorius furo). Furthermore, we reconfirmed previously described associations including dairy cattle with L. interrogans serovars Copenhageni and Pomona and L. borgpetersenii serovars Ballum, Hardjo type bovis and strain Pacifica, sheep with L. interrogans serovar Pomona and L. borgpetersenii serovar Hardjo type bovis, brushtail possum with L. borgpetersenii serovar Balcanica, farmed deer with L. borgpetersenii serovar Hardjo type bovis and hedgehogs (Erinaceus europaeus) with L. borgpetersenii serovar Ballum.Conclusions: This study provides an updated summary of host-Leptospira associations in New Zealand and highlights the importance of molecular typing. Furthermore, strain Pacifica, which was first identified as Tarassovi using serological methods in dairy cattle in 2016, has circulated in animal communities since at least 2007 but remained undetected as serology is unable to distinguish the different genotypes.Clinical relevance: To date, leptospirosis in New Zealand has been diagnosed with serological typing, which is deficient in typing all strains in circulation. Molecular methods are necessary to accurately type strains of Leptospira spp. infecting mammals in New Zealand.</t>
  </si>
  <si>
    <t>[Wilkinson, D. A.; Edwards, M.; Shum, C.; Moinet, M.; Benschop, J.; Nisa, S.] Massey Univ, Tawharau Ora Sch Vet Sci, Mol Epidemiol &amp; Publ Hlth Lab, Palmerston North, New Zealand; [Edwards, M.; Anderson, N. E.] Univ Edinburgh, Royal Dick Sch Vet Studies, Roslin, Scotland; [Edwards, M.; Anderson, N. E.] Univ Edinburgh, Roslin Inst, Roslin, Scotland; [Wilkinson, D. A.] Univ Montpellier, INRAE, Plateforme Technol CYROI, UMR ASTRE,CIRAD, St Clotilde, La Reunion, France; [Shum, C.] Univ Florida, Coll Vet Med, Gainesville, FL USA; [Moinet, M.] AgResearch Ltd, Hopkirk Res Inst, Food Syst Integr, Palmerston North, New Zealand</t>
  </si>
  <si>
    <t>Massey University; University of Edinburgh; University of Edinburgh; UK Research &amp; Innovation (UKRI); Biotechnology and Biological Sciences Research Council (BBSRC); Roslin Institute; INRAE; CIRAD; Universite de Montpellier; State University System of Florida; University of Florida; AgResearch - New Zealand</t>
  </si>
  <si>
    <t>Nisa, S (corresponding author), Massey Univ, Tawharau Ora Sch Vet Sci, Mol Epidemiol &amp; Publ Hlth Lab, Palmerston North, New Zealand.</t>
  </si>
  <si>
    <t>s.nisa@massey.ac.nz</t>
  </si>
  <si>
    <t>Anderson, Neil/0000-0001-7192-7717; Moinet, Marie/0000-0002-8833-2717; Benschop, Jackie/0000-0002-7814-4341; Nisa, Shahista/0000-0003-1721-0808</t>
  </si>
  <si>
    <t>Palmerston North Medical Research Foundation [20817]; Massey University SOVS Summer Scholarship</t>
  </si>
  <si>
    <t>Palmerston North Medical Research Foundation; Massey University SOVS Summer Scholarship</t>
  </si>
  <si>
    <t>We would like to thank Neville Haack, Emilie Vallee, Yuni Yupiana, Jennifer Parramore, Ruth Meenks, Supatsak Subharat, Mark van de Pol, Fang Fang, Grace Miller, Bernard Bangham, Daniel Ritchie, and David Wiessing for collecting samples from the mammals tested in this study, and Julie Collins-Emerson and Cord Heuer for supervision of the students. This project was funded by the Palmerston North Medical Research Foundation [grant number 20817] and supported by a Massey University SOVS Summer Scholarship.</t>
  </si>
  <si>
    <t>0048-0169</t>
  </si>
  <si>
    <t>1176-0710</t>
  </si>
  <si>
    <t>NEW ZEAL VET J</t>
  </si>
  <si>
    <t>N. Z. Vet. J.</t>
  </si>
  <si>
    <t>10.1080/00480169.2023.2248930</t>
  </si>
  <si>
    <t>Q9WI8</t>
  </si>
  <si>
    <t>WOS:001060943900001</t>
  </si>
  <si>
    <t>Ran, SM; Shu, QX; Gao, X</t>
  </si>
  <si>
    <t>Ran, Shengming; Shu, Qinxin; Gao, Xu</t>
  </si>
  <si>
    <t>Dermatophagoides Pteronyssinus 1 (DerP1) May Trigger NLRP3-Mediated Corneal Epithelial Cell Pyroptosis by Elevating Interleukin-33 Expression Levels</t>
  </si>
  <si>
    <t>Dermatophagoides pteronyssinus 1 (DerP1); NLRP3; corneal epithelial cell; pyroptosis; interleukin-33</t>
  </si>
  <si>
    <t>INNATE LYMPHOID-CELLS; IL-33; ACTIVATION; INFLAMMATION; MECHANISMS; INDUCTION; CYTOKINE; CLEAVAGE; ASTHMA; GSDMD</t>
  </si>
  <si>
    <t>Purpose: To characterize the in vivo effects of Dermatophagoides pteronyssinus 1 (DerP1) in mice and determine the underlying NLRP3 inflammasome-mediated pyroptosis signaling mechanisms in the human corneal epithelial cells (HCECs). Methods: DerP1 was used to induce allergic conjunctivitis in C57 mice. HCECs were sensitized with DerP1 in vitro to mimic their condition observed in allergic conjunctivitis in vivo. Transmission electron microscopy was used to evaluate pyroptosis in the HCECs, enzyme-linked immunosorbent assays to assess interleukin (IL)-33, IL-1 beta and IL-4 levels, flow cytometry to detect the proportion of Th2 cells, MTT assays to assess cell metabolic activity, immunofluorescence to evaluate the effects of DerP1 on functional HCEC phenotypes, and Western blot assays to detect the expression of NOD-like receptor family pyrin domain-containing 3 (NLRP3), gasdermin D (GSDMD), N-terminal fragment of GSDMD (GSDMD-N), pro-caspase-1, cleaved caspase-1, IL-1 beta, and IL-33. IL-33 expression in the HCECs was knocked down via lentivirus transfection. Results: In vivo, DerP1 promotes pyroptosis, production of Th2 inflammatory cytokines and IL-33, and NLRP3 activation in mouse corneas. In vitro, pyroptotic bodies were found in the HCECs after sensitization with DerP1. Various concentrations of DerP1 increased the expression levels of NLRP3, GSDMD, GSDMD-N, pro-caspase-1, cleaved caspase-1, and IL-1 beta in the HCECs, with the largest increase observed after exposure to 20 mu M DerP1. In vitro, recombinant human IL-33 mediated the expression of pyroptotic biomarkers in the HCECs, whereas IL-33 silencing diminished 20 mu M DerP1-induced increase in their expression levels. Conclusions: DerP1 induces pyroptosis and allergic conjunctivitis, the expression of Th2 inflammatory cytokines, NLRP3 activation, and IL-33 in mouse corneas in our model. These effects would attribute to its activating NLRP3-GSDMD signaling pathway axis via enhancing IL-33 expression in HCECs.</t>
  </si>
  <si>
    <t>[Ran, Shengming] Sun Yat Sen Univ, Sun Yat Sen Mem Hosp, Dept Urol, Guangzhou, Peoples R China; [Shu, Qinxin] Chongqing Med Univ, Affiliated Hosp 1, Chongqing, Peoples R China; [Gao, Xu] Bishan Hosp Chongqing Med Univ, Bishan Hosp Chongqing, Dept Ophthalmol, Chongqing, Peoples R China</t>
  </si>
  <si>
    <t>Sun Yat Sen University; Chongqing Medical University</t>
  </si>
  <si>
    <t>Gao, X (corresponding author), Bishan Hosp Chongqing Med Univ, Bishan Hosp Chongqing, Dept Ophthalmol, Chongqing, Peoples R China.</t>
  </si>
  <si>
    <t>gaoxu61466850@qq.com</t>
  </si>
  <si>
    <t>The authors wish to thank Professors Peizeng Yang, Shengping Hou, Hui Peng, and Ning Hu for their assistance.</t>
  </si>
  <si>
    <t>AUG 24</t>
  </si>
  <si>
    <t>10.1080/02713683.2023.2250583</t>
  </si>
  <si>
    <t>Q0GN6</t>
  </si>
  <si>
    <t>WOS:001054380300001</t>
  </si>
  <si>
    <t>Sawires, R; Pelaez, JA; Santoyo, MA</t>
  </si>
  <si>
    <t>Sawires, Rashad; Pelaez, Jose A.; Santoyo, Miguel A.</t>
  </si>
  <si>
    <t>Deaggregation of probabilistic seismic hazard results for some selected cities in Western Mexico</t>
  </si>
  <si>
    <t>GEORISK-ASSESSMENT AND MANAGEMENT OF RISK FOR ENGINEERED SYSTEMS AND GEOHAZARDS</t>
  </si>
  <si>
    <t>Seismic hazard deaggregation; Seismic sources contribution; Peak ground acceleration; Spectral acceleration; National building code; Mexico</t>
  </si>
  <si>
    <t>MOTION PREDICTION EQUATIONS; VOLCANIC BELT; EARTHQUAKES; DISAGGREGATION; LIQUEFACTION; CALIFORNIA; MAGNITUDE; VALUES; MODEL; ZONES</t>
  </si>
  <si>
    <t>Here we present a deaggregation appraisal conducted for 15 selected significant cities in Western Mexico, for four oscillation periods (PGA, SA (0.2 s), SA (1.0 s), and SA (2.0 s)), also considering a different input for the soil condition (for B, B/C and C NEHRP site classes), and for two return periods (475 and 975 years). This study is based on a previous complete recently published seismic hazard evaluation for the region. An area source model consisting of thirty-seven seismic sources has been used alternatively in a logic tree with a spatially smoothed seismicity model for the same region. The obtained hazard deaggregation results prove that for most of the studied cities -those located along the Pacific coast-, nearby seismic sources are contributing most to the seismic hazard at the studied location, especially for lower periods (PGA and SA (0.2 s)). However, for a few cities far from the Middle America Trench, distant large-magnitude earthquakes contribute more to the seismic hazard, especially at larger spectral periods (SA (1.0 s) and SA (2.0 s)). Additionally, this study shows that the differences in the soil conditions for the computed return periods, have a little influence on the obtained deaggregation results.</t>
  </si>
  <si>
    <t>[Sawires, Rashad] Assiut Univ, Fac Sci, Dept Geol, Assiut, Egypt; [Pelaez, Jose A.] Univ Jaen, Dept Phys, Jaen, Spain; [Santoyo, Miguel A.] Natl Autonomous Univ Mexico UNAM, Inst Geophys, Ave Univ, Mexico City, Mexico</t>
  </si>
  <si>
    <t>Egyptian Knowledge Bank (EKB); Assiut University; Universidad de Jaen; Universidad Nacional Autonoma de Mexico</t>
  </si>
  <si>
    <t>Sawires, R (corresponding author), Assiut Univ, Fac Sci, Dept Geol, Assiut, Egypt.</t>
  </si>
  <si>
    <t>rashad.sawires@aun.edu.eg</t>
  </si>
  <si>
    <t>Peláez, José A./D-6992-2013</t>
  </si>
  <si>
    <t>Peláez, José A./0000-0002-6711-4147</t>
  </si>
  <si>
    <t>We extend our gratitude to the Editor-in-Chief and the anonymous reviewers for their considerate observations and priceless feedback. The first author wishes to express special appreciation to his wife Ereny and his sons for their unwavering encouragemen; Spanish project; [PID2022-136678NB-I00 AEI/FEDER]</t>
  </si>
  <si>
    <t>We extend our gratitude to the Editor-in-Chief and the anonymous reviewers for their considerate observations and priceless feedback. The first author wishes to express special appreciation to his wife Ereny and his sons for their unwavering encouragemen; Spanish project(Spanish Government);</t>
  </si>
  <si>
    <t>We extend our gratitude to the Editor-in-Chief and the anonymous reviewers for their considerate observations and priceless feedback. The first author wishes to express special appreciation to his wife Ereny and his sons for their unwavering encouragement and comprehension throughout the course of this research endeavor. The second author has received partial support through the Spanish project PID2022-136678NB-I00 AEI/FEDER.</t>
  </si>
  <si>
    <t>1749-9518</t>
  </si>
  <si>
    <t>1749-9526</t>
  </si>
  <si>
    <t>GEORISK</t>
  </si>
  <si>
    <t>Georisk</t>
  </si>
  <si>
    <t>10.1080/17499518.2023.2251125</t>
  </si>
  <si>
    <t>Engineering, Geological; Geosciences, Multidisciplinary</t>
  </si>
  <si>
    <t>Engineering; Geology</t>
  </si>
  <si>
    <t>P9RU9</t>
  </si>
  <si>
    <t>WOS:001053987400001</t>
  </si>
  <si>
    <t>Schmidt, KI; Somek, A</t>
  </si>
  <si>
    <t>Schmidt, Katharina Isabel; Somek, Alexander</t>
  </si>
  <si>
    <t>Un-knowing what the law is</t>
  </si>
  <si>
    <t>JURISPRUDENCE-AN INTERNATIONAL JOURNAL OF LEGAL AND POLITICAL THOUGHT</t>
  </si>
  <si>
    <t>[Schmidt, Katharina Isabel] Max Planck Inst Comparat &amp; Int Private Law, Hamburg, Germany</t>
  </si>
  <si>
    <t>Max Planck Society</t>
  </si>
  <si>
    <t>Schmidt, KI (corresponding author), Max Planck Inst Comparat &amp; Int Private Law, Hamburg, Germany.</t>
  </si>
  <si>
    <t>k.schmidt@mpipriv.de</t>
  </si>
  <si>
    <t>Somekj, Alexander/JGD-8234-2023</t>
  </si>
  <si>
    <t>2040-3313</t>
  </si>
  <si>
    <t>2040-3321</t>
  </si>
  <si>
    <t>JURISPRUDENCE</t>
  </si>
  <si>
    <t>Jurisprudence</t>
  </si>
  <si>
    <t>10.1080/20403313.2023.2235915</t>
  </si>
  <si>
    <t>P9CG5</t>
  </si>
  <si>
    <t>WOS:001053575300001</t>
  </si>
  <si>
    <t>Silva-Cardoso, GK; N'Gouemo, P</t>
  </si>
  <si>
    <t>Silva-Cardoso, Gleice Kelli; N'Gouemo, Prosper</t>
  </si>
  <si>
    <t>Seizure-suppressor genes: can they help spearhead the discovery of novel therapeutic targets for epilepsy?</t>
  </si>
  <si>
    <t>EXPERT OPINION ON THERAPEUTIC TARGETS</t>
  </si>
  <si>
    <t>Genetic epilepsy; gene mutation; seizure-suppressor gene; anticonvulsant; Drosophila; &gt;</t>
  </si>
  <si>
    <t>SYNAPTIC CALCIUM-CHANNEL; KNOCK-IN MODEL; BEHAVIORAL MUTANTS; DROSOPHILA; MUTATION; GENETICS; DNA; SUSCEPTIBILITY; EXCITABILITY; EXPRESSION</t>
  </si>
  <si>
    <t>IntroductionEpilepsies are disorders of neuronal excitability characterized by spontaneously recurrent focal and generalized seizures, some of which result from genetic mutations. Despite the availability of antiseizure medications, pharmaco-resistant epilepsy is seen in about 23% of epileptic patients worldwide. Therefore, there is an urgent need to develop novel therapeutic strategies for epilepsies. Several epilepsy-associated genes have been found in humans. Seizure susceptibility can also be induced in Drosophila mutants, some showing features resembling human epilepsies. Interestingly, several second-site mutation gene products have been found to suppress seizure susceptibility in the seizure genetic model Drosophila. Thus, these so-called 'seizure-suppressor' gene variants may lead to developing a novel class of antiseizure medications.Area coveredThis review evaluates the potential therapeutic of seizure-suppressor gene variants.Expert opinionStudies on epilepsy-associated genes have allowed analyses of mutations linked to human epilepsy by reproducing these mutations in Drosophila using reverse genetics to generate potential antiseizure therapeutics. As a result, about fifteen seizure-suppressor gene mutants have been identified. Furthermore, some of these epilepsy gene mutations affect ligand-and voltage-gated ion channels. Therefore, a better understanding of the antiseizure activity of seizure-suppressor genes is essential in advancing gene therapy and precision medicine for epilepsy.</t>
  </si>
  <si>
    <t>[Silva-Cardoso, Gleice Kelli; N'Gouemo, Prosper] Howard Univ, Coll Med, Dept Physiol &amp; Biophys, Washington, DC USA; [N'Gouemo, Prosper] Howard Univ, Coll Med, Dept Physiol &amp; Biophys, Washington, DC 20059 USA</t>
  </si>
  <si>
    <t>Howard University; Howard University</t>
  </si>
  <si>
    <t>N'Gouemo, P (corresponding author), Howard Univ, Coll Med, Dept Physiol &amp; Biophys, Washington, DC 20059 USA.</t>
  </si>
  <si>
    <t>prosper.ngouemo@howard.edu</t>
  </si>
  <si>
    <t>N'Gouemo, Prosper/0000-0002-7829-7292</t>
  </si>
  <si>
    <t>National Institute of Alcoholism and Alcohol Abuse [R01AA027660]</t>
  </si>
  <si>
    <t>National Institute of Alcoholism and Alcohol Abuse(United States Department of Health &amp; Human ServicesNational Institutes of Health (NIH) - USANIH National Institute on Alcohol Abuse &amp; Alcoholism (NIAAA))</t>
  </si>
  <si>
    <t>This manuscript was funded by the National Institute of Alcoholism and Alcohol Abuse under grant R01AA027660 (PN).</t>
  </si>
  <si>
    <t>1472-8222</t>
  </si>
  <si>
    <t>1744-7631</t>
  </si>
  <si>
    <t>EXPERT OPIN THER TAR</t>
  </si>
  <si>
    <t>Expert Opin. Ther. Targets</t>
  </si>
  <si>
    <t>10.1080/14728222.2023.2248375</t>
  </si>
  <si>
    <t>R9IC4</t>
  </si>
  <si>
    <t>WOS:001051727700001</t>
  </si>
  <si>
    <t>Webster, N</t>
  </si>
  <si>
    <t>Webster, Neil</t>
  </si>
  <si>
    <t>Shaping spaces: governance and climate-related mobility in Ethiopia</t>
  </si>
  <si>
    <t>CLIMATE AND DEVELOPMENT</t>
  </si>
  <si>
    <t>Climate change; mobility practices; adaptation; local institutions; local government</t>
  </si>
  <si>
    <t>MIGRATION; AGENCY; ASPIRATIONS</t>
  </si>
  <si>
    <t>Migration is often approached as being a consequence of climate change with a significant degree of causality invoked. The role of government and other institutions, particularly in the local space where households take decisions as they face the effects of slow-onset climate change tends not to be studied. The paper seeks to address the role of these institutions in the local space in which households operate and how they contribute to shaping the context for households' agency with regard to their mobility practices. The paper draws on data collected in Ethiopia as part of a research programme on climate-related mobility.(1) It argues for a more nuanced approach to mobility practices in which the role of government and other institutions, formal and informal, can point to ways for understanding migration and mobility generally as not being a problem, but as a practice to be managed and incorporated into policies for climate change adaptation. In so doing, the paper challenges the approach of many international organizations and NGOs for whom climate change is seen as the cause of migration.</t>
  </si>
  <si>
    <t>[Webster, Neil] Danish Inst Int Studies, Copenhagen, Denmark; [Webster, Neil] Sophus Schandorphs Vej 14, DK-2800 Lyngby, Denmark</t>
  </si>
  <si>
    <t>Aarhus University; Danish Institute for International Studies</t>
  </si>
  <si>
    <t>Webster, N (corresponding author), Sophus Schandorphs Vej 14, DK-2800 Lyngby, Denmark.</t>
  </si>
  <si>
    <t>nwebs@proton.me</t>
  </si>
  <si>
    <t>Danish Ministry of Foreign Affairs though the Consultative Research Committee for Development Research (FFU), Denmark</t>
  </si>
  <si>
    <t>This work was supported by funding from the Danish Ministry of Foreign Affairs provided though the Consultative Research Committee for Development Research (FFU), Denmark.</t>
  </si>
  <si>
    <t>1756-5529</t>
  </si>
  <si>
    <t>1756-5537</t>
  </si>
  <si>
    <t>CLIM DEV</t>
  </si>
  <si>
    <t>Clim. Dev.</t>
  </si>
  <si>
    <t>10.1080/17565529.2023.2227148</t>
  </si>
  <si>
    <t>Development Studies; Environmental Studies</t>
  </si>
  <si>
    <t>Development Studies; Environmental Sciences &amp; Ecology</t>
  </si>
  <si>
    <t>Q5EQ8</t>
  </si>
  <si>
    <t>WOS:001057754000001</t>
  </si>
  <si>
    <t>Afolabi, T; Gallagher, K</t>
  </si>
  <si>
    <t>Afolabi, Taiwo; Gallagher, Kathleen</t>
  </si>
  <si>
    <t>Hope in a collapsing world: youth, theatre, and listening as a political alternative</t>
  </si>
  <si>
    <t>RIDE-THE JOURNAL OF APPLIED THEATRE AND PERFORMANCE</t>
  </si>
  <si>
    <t>[Afolabi, Taiwo] Univ Regina, Regina, SK, Canada</t>
  </si>
  <si>
    <t>University of Regina</t>
  </si>
  <si>
    <t>Afolabi, T (corresponding author), Univ Regina, Regina, SK, Canada.</t>
  </si>
  <si>
    <t>taiwo.afolabi@uregina.ca</t>
  </si>
  <si>
    <t>1356-9783</t>
  </si>
  <si>
    <t>1470-112X</t>
  </si>
  <si>
    <t>RIDE-J APPL THEATRE</t>
  </si>
  <si>
    <t>RIDE-J. Appl. Theatre Perform.</t>
  </si>
  <si>
    <t>AUG 23</t>
  </si>
  <si>
    <t>10.1080/13569783.2023.2248891</t>
  </si>
  <si>
    <t>Education &amp; Educational Research; Theater</t>
  </si>
  <si>
    <t>P9CV5</t>
  </si>
  <si>
    <t>WOS:001053590600001</t>
  </si>
  <si>
    <t>Cho, SL</t>
  </si>
  <si>
    <t>Cho, Seungmi L.</t>
  </si>
  <si>
    <t>Anti-Adopterism as Resistant Knowledge: An Autoethnographic Case Study of Colorblind Distortions in Transracial and International Adoption</t>
  </si>
  <si>
    <t>ADOPTION QUARTERLY</t>
  </si>
  <si>
    <t>anti-adopterism; colorblindness; racism; white supremacy; transracial adoption</t>
  </si>
  <si>
    <t>ETHNIC-IDENTITY; SOCIALIZATION; ADJUSTMENT; CHILDREN</t>
  </si>
  <si>
    <t>This autoethnography presents my adoption as an object lesson in the normalization of racism. I highlight the epistemological conflict between race consciousness and colorblindness-where in pursuit of being a good daughter, I rejected myself to accept my white adoptive family. Clinically, these experiences are diagnosed as depression and post-traumatic stress disorder; however, I locate them as internalized oppression consistent with Black feminism. I find that racism is normalized through distorting displacement as placement and through centering my white adoptive family. I also observed racism as bonding. I posit, therefore, that adoptees' anger might function as anti-racist resistance to colorblindness.</t>
  </si>
  <si>
    <t>[Cho, Seungmi L.] Univ Wisconsin Madison, Madison, WI USA; [Cho, Seungmi L.] Univ Wisconsin Madison, Sandra Rosenbaum Sch Social Work, 1350 Univ Ave, Madison, WI 53706 USA</t>
  </si>
  <si>
    <t>University of Wisconsin System; University of Wisconsin Madison; University of Wisconsin System; University of Wisconsin Madison</t>
  </si>
  <si>
    <t>Cho, SL (corresponding author), Univ Wisconsin Madison, Sandra Rosenbaum Sch Social Work, 1350 Univ Ave, Madison, WI 53706 USA.</t>
  </si>
  <si>
    <t>seungmi.cho@wisc.edu</t>
  </si>
  <si>
    <t>Cho, Seungmi/0000-0002-6972-9794</t>
  </si>
  <si>
    <t>1092-6755</t>
  </si>
  <si>
    <t>1544-452X</t>
  </si>
  <si>
    <t>ADOPT Q</t>
  </si>
  <si>
    <t>Adopt. Q.</t>
  </si>
  <si>
    <t>2023 AUG 23</t>
  </si>
  <si>
    <t>10.1080/10926755.2023.2250773</t>
  </si>
  <si>
    <t>Q8ZR5</t>
  </si>
  <si>
    <t>WOS:001060351400001</t>
  </si>
  <si>
    <t>Glascock, J</t>
  </si>
  <si>
    <t>Glascock, Jack</t>
  </si>
  <si>
    <t>Diversity and Aggression on Police TV Dramas</t>
  </si>
  <si>
    <t>WESTERN JOURNAL OF COMMUNICATION</t>
  </si>
  <si>
    <t>Aggression; Content analysis; Diversity; Police TV dramas; &gt;</t>
  </si>
  <si>
    <t>CRIME; TELEVISION; PERCEPTIONS; PORTRAYALS; MEDIA; RACE</t>
  </si>
  <si>
    <t>A content analysis of TV police dramas was conducted to assess the portrayal of gender, race/ethnicity, and aggression among law enforcement, criminals, and victims. Representations of police personnel appeared more diversified than in past eras, with white personnel no longer overrepresented and some racial minority groups (African and Asian American) now overrepresented relative to consensus data, instead. Women were underrepresented as victims while Hispanic characters were underrepresented in all character categories. Comparable to previous studies was the violent nature of the genre, as violent crimes and cases solved were significantly overrepresented, and police were more physically and verbally aggressive than criminals. Theoretical and practical implications are discussed.</t>
  </si>
  <si>
    <t>[Glascock, Jack] Illinois State Univ, Normal, IL USA; [Glascock, Jack] Illinois State Univ, Sch Commun, Normal, IL 61790 USA</t>
  </si>
  <si>
    <t>Illinois State University; Illinois State University</t>
  </si>
  <si>
    <t>Glascock, J (corresponding author), Illinois State Univ, Sch Commun, Normal, IL 61790 USA.</t>
  </si>
  <si>
    <t>jaglasc@ilstu.edu</t>
  </si>
  <si>
    <t>1057-0314</t>
  </si>
  <si>
    <t>1745-1027</t>
  </si>
  <si>
    <t>WESTERN J COMM</t>
  </si>
  <si>
    <t>West. J. Commun.</t>
  </si>
  <si>
    <t>10.1080/10570314.2023.2244454</t>
  </si>
  <si>
    <t>P7HU7</t>
  </si>
  <si>
    <t>WOS:001052356300001</t>
  </si>
  <si>
    <t>Morley, I</t>
  </si>
  <si>
    <t>Morley, Ian</t>
  </si>
  <si>
    <t>Manila's Architectural Heritage 1571-1960. Volume 1 The Center: Intramuros, Binondo, San Nicolas, Tondo</t>
  </si>
  <si>
    <t>PLANNING PERSPECTIVES</t>
  </si>
  <si>
    <t>[Morley, Ian] Chinese Univ Hong Kong, Hong Kong, Peoples R China</t>
  </si>
  <si>
    <t>Morley, I (corresponding author), Chinese Univ Hong Kong, Hong Kong, Peoples R China.</t>
  </si>
  <si>
    <t>ianmorley@cuhk.edu.hk</t>
  </si>
  <si>
    <t>0266-5433</t>
  </si>
  <si>
    <t>1466-4518</t>
  </si>
  <si>
    <t>PLAN PERSPECT</t>
  </si>
  <si>
    <t>Plan. Perspect.</t>
  </si>
  <si>
    <t>10.1080/02665433.2023.2248731</t>
  </si>
  <si>
    <t>Architecture; History; History Of Social Sciences</t>
  </si>
  <si>
    <t>Architecture; History; Social Sciences - Other Topics</t>
  </si>
  <si>
    <t>P7VO7</t>
  </si>
  <si>
    <t>WOS:001052715100001</t>
  </si>
  <si>
    <t>Schwabe, J; Hennig, F</t>
  </si>
  <si>
    <t>Schwabe, Julian; Hennig, Florian</t>
  </si>
  <si>
    <t>Path dependencies in Turkish olive production: production arrangements of smallholders, middlemen and cooperatives</t>
  </si>
  <si>
    <t>ASIAN GEOGRAPHER</t>
  </si>
  <si>
    <t>News Item</t>
  </si>
  <si>
    <t>Agro-food networks; table olive sector; global value chains; middlemen; smallholders</t>
  </si>
  <si>
    <t>GLOBAL VALUE CHAINS; INTERMEDIARIES; GOVERNANCE</t>
  </si>
  <si>
    <t>Given the relatively low productivity in the Turkish table olive sector, this article characterizes different production arrangements and interrelationships between smallholders, middlemen (komisyoncus and stockus) and cooperatives to explain existing path-dependences of smallholders. It then identifies barriers for smallholders to upgrade their production methods to achieve higher income. The conceptual backdrop of the article are aspects of global value chains (GVC), which characterize the current organization of olive production and explain their implications for smallholders. The article argues that the combination of weak enforcement of standards as well as strong, one-sided dependencies of smallholders to middlemen (in particular komisyoncus) lead to development paths of high fragmentation, low productivity and low smallholder incomes. These development lock-ins are reinforced by state regulations and existing social networks based on established trust. Farmers' cooperatives are one option to integrate value chains and improve the bargaining position of smallholders.</t>
  </si>
  <si>
    <t>[Schwabe, Julian; Hennig, Florian] Univ Marburg, Dept Geog, Working Grp Reg Studies, Marburg, Germany</t>
  </si>
  <si>
    <t>Philipps University Marburg</t>
  </si>
  <si>
    <t>Schwabe, J (corresponding author), Univ Marburg, Dept Geog, Working Grp Reg Studies, Marburg, Germany.</t>
  </si>
  <si>
    <t>julian.schwabe@geo.uni-marburg.de</t>
  </si>
  <si>
    <t>Schwabe, Julian/0000-0001-5999-0588</t>
  </si>
  <si>
    <t>1022-5706</t>
  </si>
  <si>
    <t>2158-1762</t>
  </si>
  <si>
    <t>ASIAN GEOGR</t>
  </si>
  <si>
    <t>Asian Geogr.</t>
  </si>
  <si>
    <t>10.1080/10225706.2023.2248978</t>
  </si>
  <si>
    <t>P9DX5</t>
  </si>
  <si>
    <t>WOS:001053619100001</t>
  </si>
  <si>
    <t>Ganjeh, BJ; Mirrafiei, A; Jayedi, A; Mirmohammadkhani, M; Emadi, A; Ehsani, F; Shab-Bidar, S</t>
  </si>
  <si>
    <t>Ganjeh, Bahareh Jabbarzadeh; Mirrafiei, Amin; Jayedi, Ahmad; Mirmohammadkhani, Majid; Emadi, Alireza; Ehsani, Farzaneh; Shab-Bidar, Sakineh</t>
  </si>
  <si>
    <t>The relationship between adherence to the Mediterranean dietary pattern during early pregnancy and behavioral, mood and cognitive development in children under 1 year of age: a prospective cohort study</t>
  </si>
  <si>
    <t>NUTRITIONAL NEUROSCIENCE</t>
  </si>
  <si>
    <t>Dietary pattern; pregnancy; cognitive development; infancy; Mediterranean diet; age and stage questionnaire; diet</t>
  </si>
  <si>
    <t>NEURODEVELOPMENT; CHILDHOOD; QUALITY; DECLINE</t>
  </si>
  <si>
    <t>Purpose: To investigate the potential relationship between diet quality, represented by the Mediterranean diet score, during early pregnancy and behavioral, mood, and cognitive development in children under 1 year of age in a prospective cohort study in Iran. Methods: 658 Iranian pregnant women and their infants participated in this prospective birth cohort study. The Mediterranean diet score was calculated by using data from a food frequency questionnaire during the first trimester of pregnancy. We assessed the children's development using the Ages and Stages Questionnaire (ASQ) at 6-month age. We used Cox proportional hazard model to calculate the hazard ratio (HR) and 95% confidence interval (CI) of ASQ domains across categories of the Mediterranean diet score. Results: The mean age of the mothers was 28.8 +/- 5.08 years old, and the average follow-up duration was 90 weeks. The mean BMI of the mothers before pregnancy was 25.1 +/- 4.43 kg/m(2). In the multivariable-adjusted model, those infants whose mothers were in the second (HR: 0.44; 95% CI: 0.19, 1.04; P = 0.06) and third (HR: 0.39; 95% CI: 0.17, 0.89; P = 0.03) tertiles of the Mediterranean diet score had a lower risk of communication impairment compared to those who were at the first tertile. There was no association between maternal adherence to the Mediterranean diet during early pregnancy and other domains of the ASQ. Conclusions: Greater adherence to the Mediterranean dietary pattern during the first trimester of pregnancy may be favorably associated with communication abilities at 6-month aged infants. More large-scale cohort studies are needed to confirm our findings.</t>
  </si>
  <si>
    <t>[Ganjeh, Bahareh Jabbarzadeh] Semnan Univ Med Sci, Student Res Comm, Semnan, Iran; [Ganjeh, Bahareh Jabbarzadeh; Mirrafiei, Amin; Shab-Bidar, Sakineh] Univ Tehran Med Sci, Sch Nutr Sci &amp; Dietet, Dept Community Nutr, Tehran, Iran; [Jayedi, Ahmad; Mirmohammadkhani, Majid] Semnan Univ Med Sci, Social Determinants Hlth Res Ctr, Semnan, Iran; [Emadi, Alireza] Semnan Univ Med Sci, Food Safety Res Ctr SALT, Semnan, Iran; [Ehsani, Farzaneh] Semnan Univ Med Sci, Semnan Hlth Ctr, Semnan, Iran; [Shab-Bidar, Sakineh] Univ Tehran Med Sci, Sch Nutr Sci &amp; Dietet, Dept Community Nutr, POB 14155,44 Hojjat Dost Alley,Naderi St,Keshavarz, Tehran, Iran</t>
  </si>
  <si>
    <t>Semnan University of Medical Sciences; Tehran University of Medical Sciences; Semnan University of Medical Sciences; Semnan University of Medical Sciences; Semnan University of Medical Sciences; Tehran University of Medical Sciences</t>
  </si>
  <si>
    <t>Shab-Bidar, S (corresponding author), Univ Tehran Med Sci, Sch Nutr Sci &amp; Dietet, Dept Community Nutr, Tehran, Iran.;Shab-Bidar, S (corresponding author), Univ Tehran Med Sci, Sch Nutr Sci &amp; Dietet, Dept Community Nutr, POB 14155,44 Hojjat Dost Alley,Naderi St,Keshavarz, Tehran, Iran.</t>
  </si>
  <si>
    <t>s_shabbidar@tums.ac.ir</t>
  </si>
  <si>
    <t>Jabbarzadeh Ganjeh, Bahareh/0000-0002-9036-0899</t>
  </si>
  <si>
    <t>We thank all those who participated in this study.</t>
  </si>
  <si>
    <t>1028-415X</t>
  </si>
  <si>
    <t>1476-8305</t>
  </si>
  <si>
    <t>NUTR NEUROSCI</t>
  </si>
  <si>
    <t>Nutr. Neurosci.</t>
  </si>
  <si>
    <t>AUG 22</t>
  </si>
  <si>
    <t>10.1080/1028415X.2023.2249635</t>
  </si>
  <si>
    <t>Neurosciences; Nutrition &amp; Dietetics</t>
  </si>
  <si>
    <t>Neurosciences &amp; Neurology; Nutrition &amp; Dietetics</t>
  </si>
  <si>
    <t>Q0FG6</t>
  </si>
  <si>
    <t>WOS:001054346200001</t>
  </si>
  <si>
    <t>Kapoor, N; Hallford, DJ; Altmann, T</t>
  </si>
  <si>
    <t>Kapoor, Niket; Hallford, David J.; Altmann, Tobias</t>
  </si>
  <si>
    <t>Cognitive dependencies and psychological health correlates of coherence in autobiographical reasoning</t>
  </si>
  <si>
    <t>MEMORY</t>
  </si>
  <si>
    <t>ANIQ; coherence; autobiographical memory; narrative identity; intelligence</t>
  </si>
  <si>
    <t>LIFE NARRATIVES; INTELLIGENCE; DEPRESSION; IDENTITY; MEMORY; ADOLESCENCE; THINKING; EMPATHY; SPAN; FORM</t>
  </si>
  <si>
    <t>Autobiographical reasoning is a process by which an individual creates a coherent life account. The degree of coherence in autobiographical reasoning has been related to psychological health correlates such as depression and self-esteem in previous studies, but with inconsistent findings. Similarly, the basic psychological processes required to achieve coherence have been previously studied with regard to intelligence, but infrequently, and also with mixed findings. In the present study, we first developed and evaluated a German version of the Awareness of Narrative Identity Questionnaire (ANIQ) as an established measure of self-reported coherence. Second, we tested for cognitive dependencies on intelligence and memory indices. Third, we analysed its associations with psychological health correlates. We assessed a sample of 272 participants and thereof 189 participants again two-weeks later. Results supported the assumptions of the German ANIQ's psychometric qualities (factor structure, test-retest reliability, invariance) and validity (with regard to self-consciousness, self-concept clarity, and written accounts of personal turning points). We found coherence to be independent of intelligence and verbal memory, but partially dependent on figural memory. Coherence was related to depression, positivity, self-esteem, and self-esteem stability, but not to anxiety, substantiating its salutogenic effects.</t>
  </si>
  <si>
    <t>[Kapoor, Niket; Altmann, Tobias] Univ Duisburg Essen, Inst Psychol, Univ Str 2, D-45141 Essen, Germany; [Hallford, David J.] Deakin Univ, Sch Psychol, Geelong, Australia</t>
  </si>
  <si>
    <t>University of Duisburg Essen; Deakin University</t>
  </si>
  <si>
    <t>Altmann, T (corresponding author), Univ Duisburg Essen, Inst Psychol, Univ Str 2, D-45141 Essen, Germany.</t>
  </si>
  <si>
    <t>tobias.altmann@uni-due.de</t>
  </si>
  <si>
    <t>Hallford, David/I-7260-2015</t>
  </si>
  <si>
    <t>Hallford, David/0000-0003-1093-8345; Kapoor, Niket/0000-0001-8580-8882; Altmann, Tobias/0000-0001-7294-7808</t>
  </si>
  <si>
    <t>0965-8211</t>
  </si>
  <si>
    <t>1464-0686</t>
  </si>
  <si>
    <t>Memory</t>
  </si>
  <si>
    <t>10.1080/09658211.2023.2249272</t>
  </si>
  <si>
    <t>Psychology, Experimental</t>
  </si>
  <si>
    <t>P9JN9</t>
  </si>
  <si>
    <t>WOS:001053768100001</t>
  </si>
  <si>
    <t>Khedr, WE; Shaheen, MNF; Elmahdy, EM; El Bendary, MA; Hamed, AA; Mohamedin, AH</t>
  </si>
  <si>
    <t>Khedr, Waleed Elsayed; Shaheen, Mohamed N. F.; Elmahdy, Elmahdy M.; El Bendary, Magda A.; Hamed, Ahmed A.; Mohamedin, Attiya Hamed</t>
  </si>
  <si>
    <t>Silver and gold nanoparticles: Eco-friendly synthesis, antibiofilm, antiviral, and anticancer bioactivities</t>
  </si>
  <si>
    <t>PREPARATIVE BIOCHEMISTRY &amp; BIOTECHNOLOGY</t>
  </si>
  <si>
    <t>Antibiofilm; anticancer; antiviral; silver nanoparticles; Cotton seed meal; Fodder yeast extracts; gold nanoparticles</t>
  </si>
  <si>
    <t>GREEN SYNTHESIS; ANTIBACTERIAL ACTIVITY; BIOFILM FORMATION; AQUEOUS EXTRACT; PLANT-EXTRACT; BIOSYNTHESIS; L.</t>
  </si>
  <si>
    <t>For the first time in this study, silver nanoparticles (AgNPs) and gold nanoparticles (AuNPs) were green synthesized by the cost-effective and eco-friendly procedure using Cotton seed meal and Fodder yeast extracts. The biosynthesized NPs were characterized by UV-Vis spectroscopy, dynamic light scattering analysis (DLS), transmission electron microscopy (TEM), selected area electron diffraction (SAED), and fourier-transform infrared (FTIR) spectroscopy. Furthermore, the biosynthesized NPs were tested in vitro against biofilm formation by some pathogenic negative bacteria (Escherichia coli, Proteus mirabilis, Klebsiella sp., Salmonella sp., and Pseudomonas aeruginosa) and negative bacteria (staphylococcus aureus) as well as against human denovirus serotype 5 (HAdV-5) and anticancer activity using HepG2 hepatocarcinoma cells. UV-Vis absorption spectra of reaction mixture of AgNPs and AuNPs exhibited maximum absorbance at 440 nm and 540 nm, respectively. This finding was confirmed by DLS measurements that the highest intensity of the AgNPs and AuNPs were 84 nm and 73.9 nm, respectively. FTIR measurements identified some functional groups detected in Cotton seed meal and Fodder yeast extracts that could be responsible for reduction of silver and gold ions to metallic silver and gold. The morphologies and particle size of AgNPs and AuNPs were confirmed by the TEM and SAED pattern analysis. Biosynthesized AgNPs and AuNPs showed good inhibitory effects against biofilms produced by Escherichia coli, Proteus mirabilis, Klebsiella sp., Salmonella sp., Pseudomonas aeruginosa, and Staphylococcus aureus. In addition, they showed anticancer activities against hepatocellular carcinoma (HepG-2) and antiviral activity against human adenovirus serotype 5 infection in vitro. Finally, the results of this study is expected to be extremely helpful to nano-biotechnology, pharmaceutical, and food packing applications through developing antimicrobial and/or an anticancer drugs from ecofriendly and inexpensive nanoparticles with multi-potentiality.</t>
  </si>
  <si>
    <t>[Khedr, Waleed Elsayed; Mohamedin, Attiya Hamed] Mansoura Univ, Fac Sci, Bot Dept, Mansoura, Egypt; [Shaheen, Mohamed N. F.; Elmahdy, Elmahdy M.] Natl Res Ctr, Environm &amp; Climate Change Res Inst, Water Pollut Res Dept, Environm Virol Lab, Giza, Egypt; [El Bendary, Magda A.; Hamed, Ahmed A.] Natl Res Ctr, Biotechnol Res Inst, Microbial Chem Dept, Giza, Egypt</t>
  </si>
  <si>
    <t>Egyptian Knowledge Bank (EKB); Mansoura University; Egyptian Knowledge Bank (EKB); National Research Centre (NRC); Egyptian Knowledge Bank (EKB); National Research Centre (NRC)</t>
  </si>
  <si>
    <t>Shaheen, MNF (corresponding author), Natl Res Ctr, Environm &amp; Climate Change Res Inst, Water Pollut Res Dept, Environm Virol Lab, Giza, Egypt.</t>
  </si>
  <si>
    <t>m_nrc2007@yahoo.com</t>
  </si>
  <si>
    <t>1082-6068</t>
  </si>
  <si>
    <t>1532-2297</t>
  </si>
  <si>
    <t>PREP BIOCHEM BIOTECH</t>
  </si>
  <si>
    <t>Prep. Biochem. Biotechnol.</t>
  </si>
  <si>
    <t>10.1080/10826068.2023.2248238</t>
  </si>
  <si>
    <t>Biochemical Research Methods; Biochemistry &amp; Molecular Biology; Biotechnology &amp; Applied Microbiology</t>
  </si>
  <si>
    <t>Biochemistry &amp; Molecular Biology; Biotechnology &amp; Applied Microbiology</t>
  </si>
  <si>
    <t>P9CJ5</t>
  </si>
  <si>
    <t>WOS:001053578400001</t>
  </si>
  <si>
    <t>McCrone, F</t>
  </si>
  <si>
    <t>McCrone, Flora</t>
  </si>
  <si>
    <t>'I have opened the land for you': pastoralist politics and election-related violence in Kenya's arid north</t>
  </si>
  <si>
    <t>JOURNAL OF EASTERN AFRICAN STUDIES</t>
  </si>
  <si>
    <t>Election violence; devolution; Kenya; pastoralism; public authority; &gt;</t>
  </si>
  <si>
    <t>GRIEVANCES; ETHNICITY; POWER</t>
  </si>
  <si>
    <t>The shadow of election violence has hung over Kenyan politics since 2008, when post-election violence erupted across the country. These events paved the way for major national reforms, including the devolution of central government, designed to counteract tendencies of ethnic patronage and violence. Kenya's subsequent election cycles have not seen the same explosion of nationwide violence, and therefore little has been written about election violence in Kenya in the post-devolution years. However, this article draws attention to the arid, pastoralist-dominated north, where there have in fact been significant episodes of violence that are election-related. Drawing on ethnographic research, it explores the case of Samburu, Isiolo and Laikipia counties during the 2017 and 2022 election cycles, when mass movements of armed pastoralists and herds forced their way, often violently, into targeted areas of land, resulting in widespread clashes, killings and displacement. The article investigates the endogenous elites and machinations within nomadic Samburu communities involved in and affected by this violence, using a 'public authority lens'. It argues that ongoing governance changes in this region have created opportunities for political elites to mobilise territorial violence for strategic, political ends in advance of elections, including through a previously undocumented practice of vote shipping.</t>
  </si>
  <si>
    <t>[McCrone, Flora] Goldsmiths Univ London, Polit &amp; Int Relat, London, England</t>
  </si>
  <si>
    <t>University of London; Goldsmiths University London</t>
  </si>
  <si>
    <t>McCrone, F (corresponding author), Goldsmiths Univ London, Polit &amp; Int Relat, London, England.</t>
  </si>
  <si>
    <t>floramccrone@gmail.com</t>
  </si>
  <si>
    <t>1753-1055</t>
  </si>
  <si>
    <t>1753-1063</t>
  </si>
  <si>
    <t>J EAST AFR STUD</t>
  </si>
  <si>
    <t>J. East. Afr. Stud.</t>
  </si>
  <si>
    <t>APR 3</t>
  </si>
  <si>
    <t>1-2</t>
  </si>
  <si>
    <t>10.1080/17531055.2023.2245596</t>
  </si>
  <si>
    <t>Area Studies; Social Sciences, Interdisciplinary</t>
  </si>
  <si>
    <t>Area Studies; Social Sciences - Other Topics</t>
  </si>
  <si>
    <t>R2BO0</t>
  </si>
  <si>
    <t>WOS:001050472700001</t>
  </si>
  <si>
    <t>Vijayakumar, S; Vishnu, G; Krishnapura, PR; Iyyaswami, R</t>
  </si>
  <si>
    <t>Vijayakumar, Sahana; Vishnu, G.; Krishnapura, Prajna Rao; Iyyaswami, Regupathi</t>
  </si>
  <si>
    <t>Production of nisin from Lactococcus lactis in acid-whey with nutrient supplementation</t>
  </si>
  <si>
    <t>Acid-whey; bacteriocin; Lactococcus lactis; nisin; &gt;</t>
  </si>
  <si>
    <t>NUTRITIONAL FACTORS; GROWTH; FOOD; BACTERIOCINS; OPTIMIZATION; STRAIN</t>
  </si>
  <si>
    <t>The production of Nisin, an FDA-approved food preservative, was attempted by Lactococcus lactis subsp. lactis ATCC &amp; REG; 11454 using the underutilized milk industry effluent, acid-whey, as a substrate. Nisin production was further improved by studying the effect of supplementation of nutrients and non-nutritional parameters. The addition of yeast extract (6% w/v) as nitrogen source and sucrose (4% w/v) as carbon source were found to be suitable nutrients for the maximum nisin production. The changes in the medium pH due to lactic acid accumulation during batch fermentation and its influence on the production of nisin were analyzed in the optimized whey medium (OWM). The production characteristics in OWM were further compared with the nisin production in MRS media. The influence of nisin as an inducer for its own production was also studied and found that the addition of nisin at 0.22 mg/ml promote the nisin production. The analysis of consumption of various metal ions present in the OWM during the nisin production was also analyzed, and found that the copper ions are the most consumed ion. The highest nisin yield of 2.6 x 10(5) AU/mL was obtained with OWM.</t>
  </si>
  <si>
    <t>[Vijayakumar, Sahana; Vishnu, G.; Krishnapura, Prajna Rao; Iyyaswami, Regupathi] Natl Inst Technol Karnataka, Dept Chem Engn, Mangaluru, Karnataka, India</t>
  </si>
  <si>
    <t>National Institute of Technology (NIT System); National Institute of Technology Karnataka</t>
  </si>
  <si>
    <t>Iyyaswami, R (corresponding author), Natl Inst Technol Karnataka, Dept Chem Engn, Mangaluru, Karnataka, India.</t>
  </si>
  <si>
    <t>regupathi@nitk.edu.in</t>
  </si>
  <si>
    <t>2023 AUG 22</t>
  </si>
  <si>
    <t>10.1080/10826068.2023.2249091</t>
  </si>
  <si>
    <t>P7IS9</t>
  </si>
  <si>
    <t>WOS:001052380500001</t>
  </si>
  <si>
    <t>Baglione, H; Coulombe, V; Martel-Sauvageau, V; Monetta, L</t>
  </si>
  <si>
    <t>Baglione, Heloise; Coulombe, Valerie; Martel-Sauvageau, Vincent; Monetta, Laura</t>
  </si>
  <si>
    <t>The impacts of aging on the comprehension of affective prosody: A systematic review</t>
  </si>
  <si>
    <t>Aging; emotions; prosody; comprehension; systematic review</t>
  </si>
  <si>
    <t>AGE-RELATED DIFFERENCES; MINI-MENTAL-STATE; EMOTION RECOGNITION; WORKING-MEMORY; OLDER-ADULTS; LANGUAGE; BRAIN; EXPRESSIONS; IMPAIRMENTS; LIMITATIONS</t>
  </si>
  <si>
    <t>Recent clinical reports have suggested a possible decline in the ability to understand emotions in speech (affective prosody comprehension) with aging. The present study aims to further examine the differences in performance between older and younger adults in terms of affective prosody comprehension. Following a recent cognitive model dividing affective prosody comprehension into perceptual and lexico-semantic components, a cognitive approach targeting these components was adopted. The influence of emotions' valence and category on aging performance was also investigated. A systematic review of the literature was carried out using six databases. Twenty-one articles, presenting 25 experiments, were included. All experiments analyzed affective prosody comprehension performance of older versus younger adults. The results confirmed that older adults' performance in identifying emotions in speech was reduced compared to younger adults. The results also brought out the fact that affective prosody comprehension abilities could be modulated by the emotion category but not by the emotional valence. Various theories account for this difference in performance, namely auditory perception, brain aging, and socioemotional selectivity theory suggesting that older people tend to neglect negative emotions. However, the explanation of the underlying deficits of the affective prosody decline is still limited.</t>
  </si>
  <si>
    <t>[Baglione, Heloise; Coulombe, Valerie; Martel-Sauvageau, Vincent; Monetta, Laura] Univ Laval, Dept Readaptat, Quebec City, PQ, Canada; [Baglione, Heloise; Coulombe, Valerie; Martel-Sauvageau, Vincent; Monetta, Laura] Ctr Interdisciplinaire Rech Readaptat &amp; Integrat S, Dept Readaptat, Quebec City, PQ, Canada</t>
  </si>
  <si>
    <t>Laval University</t>
  </si>
  <si>
    <t>Monetta, L (corresponding author), Univ Laval, Dept Readaptat, Quebec City, PQ, Canada.</t>
  </si>
  <si>
    <t>laura.monetta@fmed.ulaval.ca</t>
  </si>
  <si>
    <t>Martel-Sauvageau, Vincent/0000-0003-0152-0908</t>
  </si>
  <si>
    <t>SSHRC grant</t>
  </si>
  <si>
    <t>SSHRC grant(Social Sciences and Humanities Research Council of Canada (SSHRC))</t>
  </si>
  <si>
    <t>The work featured in this article is associated with a SSHRC grant</t>
  </si>
  <si>
    <t>AUG 21</t>
  </si>
  <si>
    <t>10.1080/23279095.2023.2245940</t>
  </si>
  <si>
    <t>P9HZ4</t>
  </si>
  <si>
    <t>WOS:001053727300001</t>
  </si>
  <si>
    <t>Chen, X; Wang, X; Xi, TY; Xu, JT</t>
  </si>
  <si>
    <t>Chen, Xing; Wang, Xuan; Xi, Tianyang; Xu, Jintao</t>
  </si>
  <si>
    <t>Estimating the CO2 marginal abatement cost and implications for climate policies in China's industrial sector: A firm-level analysis</t>
  </si>
  <si>
    <t>CHINA ECONOMIC JOURNAL</t>
  </si>
  <si>
    <t>Shadow price; marginal abatement cost curve; directional distance function; climate change; carbon tax</t>
  </si>
  <si>
    <t>CARBON-DIOXIDE; SHADOW PRICE; AIR-POLLUTION; ENERGY; EFFICIENCY; EMISSIONS</t>
  </si>
  <si>
    <t>This paper presents an in-depth analysis of the Marginal Abatement Cost Curve (MACC) for CO2 of China's industrial sector. Leveraging comprehensive firm-level panel data spanning the period 2011-2015, we employ a parameterized directional output distance function to estimate the shadow price of CO2. By doing so, we derive the marginal abatement cost for individual firms across different years, which provides crucial insights into two fundamental aspects: first, the variation in shadow prices as indicators of the economic efficiency of existing climate policies; and second, the carbon price levels necessary to achieve CO2 mitigation targets in the future. Furthermore, we conduct scenario simulations to assess the potential industrial output loss resulting from forthcoming carbon policies, such as the European Union's Carbon Border Adjustment Mechanism (CBAM). Our findings underscore the necessity for a considerably higher tax rate to stimulate pollution reduction in order to meet the desired emission targets.</t>
  </si>
  <si>
    <t>[Chen, Xing] Fudan Univ, Sch Int Relat &amp; Publ Affairs, Shanghai, Peoples R China; [Wang, Xuan; Xi, Tianyang; Xu, Jintao] Peking Univ, Natl Sch Dev, Beijing 100871, Peoples R China</t>
  </si>
  <si>
    <t>Fudan University; Peking University</t>
  </si>
  <si>
    <t>Wang, X (corresponding author), Peking Univ, Natl Sch Dev, Beijing 100871, Peoples R China.</t>
  </si>
  <si>
    <t>xuanwang@nsd.pku.edu.cn</t>
  </si>
  <si>
    <t>1753-8963</t>
  </si>
  <si>
    <t>1753-8971</t>
  </si>
  <si>
    <t>CHINA ECON J</t>
  </si>
  <si>
    <t>China Econ. J.</t>
  </si>
  <si>
    <t>10.1080/17538963.2023.2244281</t>
  </si>
  <si>
    <t>P9II3</t>
  </si>
  <si>
    <t>WOS:001053736500001</t>
  </si>
  <si>
    <t>Mehta, P; Raymond, J; Zhang, YZ; Punjani, R; Han, M; Larson, T; Muravov, O; Lyles, RH; Horton, DK</t>
  </si>
  <si>
    <t>Mehta, Paul; Raymond, Jaime; Zhang, Yuzi; Punjani, Reshma; Han, Moon; Larson, Theodore; Muravov, Oleg; Lyles, Robert H.; Horton, D. Kevin</t>
  </si>
  <si>
    <t>Prevalence of amyotrophic lateral sclerosis in the United States, 2018</t>
  </si>
  <si>
    <t>Amyotrophic lateral sclerosis; prevalence; US; 2018; National ALS Registry</t>
  </si>
  <si>
    <t>RECAPTURE; ALS; MODELS</t>
  </si>
  <si>
    <t>Objective: To estimate prevalent ALS cases in the United States for calendar year 2018. Methods: The National ALS Registry (Registry) compiled data from national administrative databases (from the Centers for Medicare and Medicaid Services, the Veterans Health Administration, and the Veterans Benefits Administration) and enrollment data voluntarily submitted through a web portal (www.cdc.gov/als). We used log-linear capture-recapture (CRC) model-based methodology to estimate the number of cases not ascertained by the Registry. Results: The Registry identified 21,655 cases of ALS in 2018, with an age-adjusted prevalence of 6.6 per 100,000 U.S. population. When CRC methods were used, an estimated 29,824 cases were identified, for an adjusted prevalence of 9.1 per 100,000 U.S. population. The demographics of cases of ALS did not change from previous year's reports. ALS continues to impact Whites, males, and persons over 50 years of age more so than other comparison groups. The results from the present report suggest case ascertainment for the Registry has improved, with the estimate of missing prevalent cases decreasing from 44% in 2017 to 27% in in 2018. Discussion: Consistent with previous estimates that used CRC, ALS prevalence in the United States is about 29,824 cases per year.</t>
  </si>
  <si>
    <t>[Mehta, Paul; Raymond, Jaime; Punjani, Reshma; Larson, Theodore; Muravov, Oleg; Horton, D. Kevin] CDCP, Agcy Tox Subst &amp; Dis Registry, Off Innovat &amp; Analyt, Natl ALS Registry, Atlanta, GA USA; [Zhang, Yuzi; Han, Moon; Lyles, Robert H.] Emory Univ, Rollins Sch Publ Hlth, Dept Biostat &amp; Bioinformat, Atlanta, GA USA; [Mehta, Paul] CDCP, Agcy Tox Subst &amp; Dis Registry, Off Innovat &amp; Analyt, Natl ALS Registry, 4770 Buford Hwy NE, Atlanta, GA 30341 USA</t>
  </si>
  <si>
    <t>Centers for Disease Control &amp; Prevention - USA; Emory University; Rollins School Public Health; Centers for Disease Control &amp; Prevention - USA</t>
  </si>
  <si>
    <t>Mehta, P (corresponding author), CDCP, Agcy Tox Subst &amp; Dis Registry, Off Innovat &amp; Analyt, Natl ALS Registry, 4770 Buford Hwy NE, Atlanta, GA 30341 USA.</t>
  </si>
  <si>
    <t>pum4@cdc.gov</t>
  </si>
  <si>
    <t>Zhang, Yuzi/0000-0003-1805-6910; Mehta MD, Paul/0000-0002-0796-8861</t>
  </si>
  <si>
    <t>10.1080/21678421.2023.2245858</t>
  </si>
  <si>
    <t>P9JS4</t>
  </si>
  <si>
    <t>Green Published, hybrid</t>
  </si>
  <si>
    <t>WOS:001053772600001</t>
  </si>
  <si>
    <t>Van Hove, MYC; Bastero, JB; Delghust, M; Laverge, J</t>
  </si>
  <si>
    <t>Van Hove, Matthias Yvan Chris; Bastero, Josue Borrajo; Delghust, Marc; Laverge, Jelle</t>
  </si>
  <si>
    <t>In-situ empirical validation of common indoor climate parameters in an inhabited multizone dwelling</t>
  </si>
  <si>
    <t>SCIENCE AND TECHNOLOGY FOR THE BUILT ENVIRONMENT</t>
  </si>
  <si>
    <t>HEALTH-RISKS; AIR; ENVIRONMENT; BUILDINGS; QUALITY</t>
  </si>
  <si>
    <t>Combined building indoor climate and energy simulation models only recently gained vast popularity and their application has been moving from the research community to a broader audience. Yet, in-situ empirical validation of this new generation of complex multi-purpose dynamic simulation models has lagged behind. Using a dynamic multizone building indoor climate and energy simulation model in Modelica with the IDEAS library and buoyancy driven airflow components (validated with CONTAM), this research presents model validation results and lessons learned from an in-situ empirical validation study of common indoor climate parameters (i.e., indoor air temperature (Ti), relative humidity (RH) and CO2 concentration (CO2)) for an inhabited and mechanically ventilated case study dwelling in The Netherlands. The simulation results show that the latest generation of building indoor climate and energy models in Modelica have great ability to accurately predict common indoor climate parameters in multizone inhabited dwellings (provided that user behavior info is available). Evaluation metrics for the three studied parameters show excellent calibration criteria (i.e., MAE between 0.60-0.78 &amp; DEG;C (Ti), 3.5-4.6% (RH) and 88-181 ppm (CO2)) and the accompanying graphs corroborate the findings. In the event that no motion sensor data is available, statistically generated occupancy profiles prove good representative alternatives on the condition that basic info is available about the number of inhabitants and the inhabitants' lifestyle. In-situ monitoring for empirical model validation proves to be a real challenge full of (un)foreseen obstacles.</t>
  </si>
  <si>
    <t>[Van Hove, Matthias Yvan Chris; Bastero, Josue Borrajo; Delghust, Marc; Laverge, Jelle] Univ Ghent, Dept Architecture &amp; Urban Planning, Ghent, Oost Vlaanderen, Belgium</t>
  </si>
  <si>
    <t>Ghent University</t>
  </si>
  <si>
    <t>Van Hove, MYC (corresponding author), Univ Ghent, Dept Architecture &amp; Urban Planning, Ghent, Oost Vlaanderen, Belgium.</t>
  </si>
  <si>
    <t>Matthias.VanHove@UGent.be</t>
  </si>
  <si>
    <t>Laverge, Jelle/B-6034-2008</t>
  </si>
  <si>
    <t>Laverge, Jelle/0000-0002-5334-1314; Van Hove, Matthias/0000-0003-1436-5441</t>
  </si>
  <si>
    <t>The authors thank Dr. Hasselaar and family (residents) for their cooperation. The authors thank the partners from DUCO Ventilation amp;amp; Sun Control for providing the technical system data and the useful discussions. The authors thank Mr. Ritchie (Huks; DUCO Ventilation amp;amp; Sun Control</t>
  </si>
  <si>
    <t>The authors thank Dr. Hasselaar and family (residents) for their cooperation. The authors thank the partners from DUCO Ventilation &amp; amp; Sun Control for providing the technical system data and the useful discussions. The authors thank Mr. Ritchie (Hukseflux Thermal Sensors B.V.) for providing the solar irradiance data.</t>
  </si>
  <si>
    <t>2374-4731</t>
  </si>
  <si>
    <t>2374-474X</t>
  </si>
  <si>
    <t>SCI TECHNOL BUILT EN</t>
  </si>
  <si>
    <t>Sci. Technol. Built Environ.</t>
  </si>
  <si>
    <t>2023 AUG 21</t>
  </si>
  <si>
    <t>10.1080/23744731.2023.2247948</t>
  </si>
  <si>
    <t>Thermodynamics; Construction &amp; Building Technology; Engineering, Mechanical</t>
  </si>
  <si>
    <t>Thermodynamics; Construction &amp; Building Technology; Engineering</t>
  </si>
  <si>
    <t>Q5UH8</t>
  </si>
  <si>
    <t>WOS:001058168200001</t>
  </si>
  <si>
    <t>Celenay, ST; Dusgun, ES; Karaaslan, Y; Urus, G; Karadag, M; Ozdemir, E</t>
  </si>
  <si>
    <t>Celenay, Seyda Toprak; Dusgun, Elif Sena; Karaaslan, Yasemin; Urus, Gulcin; Karadag, Mehmet; Ozdemir, Enver</t>
  </si>
  <si>
    <t>Lower urinary tract symptoms and toileting behaviors in Turkish adult women</t>
  </si>
  <si>
    <t>WOMEN &amp; HEALTH</t>
  </si>
  <si>
    <t>Lower urinary tract symptoms; prevalence; Turkish women; urination; women's health; &gt;</t>
  </si>
  <si>
    <t>RISK-FACTORS; OVERACTIVE BLADDER; INCONTINENCE; PREVALENCE; SENSATION; IMPACT</t>
  </si>
  <si>
    <t>This study aimed to investigate lower urinary tract symptoms (LUTS) in Turkish adult women and to compare toileting behaviors in women with and without LUTS. This cross-sectional study was conducted in 815 women. The International Consultation on Incontinence Modular Questionnaire - Female LUTS and a toileting behaviors form, created by the authors, were used in evaluations. Nearly 50 % of the women had at least one LUTS, 45.8 % had storage symptoms, 7.4 % had voiding symptoms, and 20.2 % had incontinence symptoms. The rates of premature urination, straining during urination, delayed urination, and sitting on the toilet while urinating were higher in women with LUTS than in women without LUTS (p &lt; .05). The rate of squatting on the toilet while urinating was lower in women with LUTS than those without LUTS (p &lt; .05). Various LUTS were common in adult women. Some toileting behaviors such as premature urination, straining during urination, delayed urination, and sitting on the toilet while urinating were higher in women with LUTS compared to women without LUTS. Since the rate of unhealthy toilet behaviors is higher in women with LUTS, it is important to know unhealthy toilet behaviors in the management of LUTS and to organize training programs to prevent these behaviors and LUTS.</t>
  </si>
  <si>
    <t>[Celenay, Seyda Toprak] Ankara Yildirim Beyazit Univ, Hlth Sci Fac, Dept Physiotherapy &amp; Rehabil, Ankara, Turkiye; [Dusgun, Elif Sena] Fenerbahce Univ, Vocat Sch Hlth Serv, Dept Physiotherapy, Istanbul, Turkiye; [Karaaslan, Yasemin] Hatay Mustafa Kemal Univ, Hlth Sci Fac, Dept Physiotherapy &amp; Rehabil, Hatay, Turkiye; [Urus, Gulcin] Yozgat Bozok Univ, Cekerek Fuat Oktay Vocat Sch Hlth Serv, Dept Hlth Care Serv, Yozgat, Turkiye; [Karadag, Mehmet] Hatay Mustafa Kemal Univ, Med Fac, Dept Biostat, Hatay, Turkiye; [Ozdemir, Enver] Istanbul Gaziosmanpasa Taksim Training &amp; Res Hosp, Dept Urol, Istanbul, Turkiye; [Celenay, Seyda Toprak] Ankara Yildirim Beyazit Univ, Hlth Sci Fac, Dept Physiotherapy &amp; Rehabil, TR-06760 Ankara, Turkiye</t>
  </si>
  <si>
    <t>Ankara Yildirim Beyazit University; Fenerbahce University; Mustafa Kemal University; Bozok University; Mustafa Kemal University; Istanbul Gaziosmanpasa Taksim Training &amp; Research Hospital; Ankara Yildirim Beyazit University</t>
  </si>
  <si>
    <t>Celenay, ST (corresponding author), Ankara Yildirim Beyazit Univ, Hlth Sci Fac, Dept Physiotherapy &amp; Rehabil, TR-06760 Ankara, Turkiye.</t>
  </si>
  <si>
    <t>sydtoprak@hotmail.com</t>
  </si>
  <si>
    <t>Ozdemir, Enver/0000-0001-8131-9133; Dusgun, Elif Sena/0000-0003-0419-1150; Karadag, Mehmet/0000-0001-9539-4193; Urus, Gulcin/0000-0001-7590-2488</t>
  </si>
  <si>
    <t>0363-0242</t>
  </si>
  <si>
    <t>1541-0331</t>
  </si>
  <si>
    <t>WOMEN HEALTH</t>
  </si>
  <si>
    <t>Women Health</t>
  </si>
  <si>
    <t>2023 AUG 20</t>
  </si>
  <si>
    <t>10.1080/03630242.2023.2248516</t>
  </si>
  <si>
    <t>Public, Environmental &amp; Occupational Health; Women's Studies</t>
  </si>
  <si>
    <t>P4SI9</t>
  </si>
  <si>
    <t>WOS:001050557300001</t>
  </si>
  <si>
    <t>Patka, M; Murry, A; Wallin-Ruschman, J; Sabt, M</t>
  </si>
  <si>
    <t>Patka, Mazna; Murry, Adam; Wallin-Ruschman, Jennifer; Sabt, Maryam</t>
  </si>
  <si>
    <t>Critical Consciousness: The Mixed Effect of Sense of Community on Sociopolitical Action</t>
  </si>
  <si>
    <t>JOURNAL OF STUDENT AFFAIRS RESEARCH AND PRACTICE</t>
  </si>
  <si>
    <t>STUDENTS; EDUCATION; IDENTITY; COLLEGE</t>
  </si>
  <si>
    <t>This study explores whether campus sense of community predicts critical consciousness among students. Analysis of a sample of 197 students showed a mixed relationship between campus sense of community and critical consciousness. Students who felt a sense of belonging were more likely to engage in sociopolitical action, whereas those who perceived their own needs as being met by their campus community were less likely to engage in sociopolitical action. This article discusses implications for research, theory, and practice.</t>
  </si>
  <si>
    <t>[Patka, Mazna; Sabt, Maryam] Zayed Univ, Dubai, U Arab Emirates; [Murry, Adam] Univ Calgary, Calgary, AB, Canada; [Wallin-Ruschman, Jennifer] Coll Idaho, Caldwell, ID USA; [Patka, Mazna] Zayed Univ, Psychol, Dubai, U Arab Emirates</t>
  </si>
  <si>
    <t>Zayed University; University of Calgary; Zayed University</t>
  </si>
  <si>
    <t>Patka, M (corresponding author), Zayed Univ, Psychol, Dubai, U Arab Emirates.</t>
  </si>
  <si>
    <t>mazna.patka@zu.ac.ae</t>
  </si>
  <si>
    <t>Patka, Mazna/0000-0002-3598-0091; Murry, Adam/0000-0002-0266-544X</t>
  </si>
  <si>
    <t>1949-6591</t>
  </si>
  <si>
    <t>1949-6605</t>
  </si>
  <si>
    <t>J STUD AFF RES PRACT</t>
  </si>
  <si>
    <t>J. Stud. Aff. Res. Pract.</t>
  </si>
  <si>
    <t>10.1080/19496591.2023.2218302</t>
  </si>
  <si>
    <t>P3OA9</t>
  </si>
  <si>
    <t>WOS:001049758100001</t>
  </si>
  <si>
    <t>Rivetti, G; Gizzone, P; Di Sessa, A; Guarino, S; Del Giudice, EM; Marzuillo, P</t>
  </si>
  <si>
    <t>Rivetti, Giulio; Gizzone, Pietro; Di Sessa, Anna; Guarino, Stefano; Miraglia Del Giudice, Emanuele; Marzuillo, Pierluigi</t>
  </si>
  <si>
    <t>Renin angiotensin aldosterone inhibitors in the treatment of proteinuria in children with congenital anomalies of the kidney and urinary tract: more evidence needed</t>
  </si>
  <si>
    <t>Congenital anomalies of the kidney and urinary tract; renin-angiotensin-aldosterone system inhibitors; proteinuria; chronic kidney disease; children</t>
  </si>
  <si>
    <t>CONVERTING-ENZYME-INHIBITORS; GLOMERULAR-FILTRATION-RATE; BLOOD-PRESSURE CONTROL; CHRONIC-RENAL-FAILURE; RECEPTOR BLOCKERS; ACE-INHIBITION; PROGRESSION; DISEASE; NEPHROPATHY; CKD</t>
  </si>
  <si>
    <t>Introduction: Congenital anomalies of the kidney and urinary tract (CAKUT) can be associated with proteinuria, possibly leading to a decline in kidney function. The aim of this review is to evaluate evidence on the efficacy of renin-angiotensin-aldosterone system inhibitors (RAASi) in children affected by CAKUT with proteinuria or chronic kidney disease (CKD). Areas covered: We conducted a bibliographic search between 1 December 2022 and 20 February 2023, including randomized controlled trials, case-control studies, observational studies, meta-analyses, and systematic reviews dealing with the efficacy of RAASi in reducing proteinuria and slowing the decline of kidney function in children. Expert opinion: RAASi are effective in reducing proteinuria and slowing CKD progression in many renal conditions; however, the efficacy of these drugs in patients affected by CAKUT with proteinuria is still unknown. While waiting for more evidence, when facing a child with CAKUT with isolated proteinuria or with proteinuria and CKD, a 6-12-month trial with RAASi with gradual increase to the maximal tolerated dose should be considered. If no improvement of proteinuria is obtained, the RAASi should be discontinued.</t>
  </si>
  <si>
    <t>[Rivetti, Giulio; Gizzone, Pietro; Di Sessa, Anna; Guarino, Stefano; Miraglia Del Giudice, Emanuele; Marzuillo, Pierluigi] Univ Campania Luigi Vanvitelli, Dept Woman Child &amp; Gen &amp; Specialized Surg, Naples, Italy; [Marzuillo, Pierluigi] Univ Campania Luigi Vanvitelli, Dept Woman Child &amp; Gen &amp; Specialized Surg, Via Luigi Crecchio 2, I-80138 Naples, Italy</t>
  </si>
  <si>
    <t>Universita della Campania Vanvitelli; Universita della Campania Vanvitelli</t>
  </si>
  <si>
    <t>Marzuillo, P (corresponding author), Univ Campania Luigi Vanvitelli, Dept Woman Child &amp; Gen &amp; Specialized Surg, Via Luigi Crecchio 2, I-80138 Naples, Italy.</t>
  </si>
  <si>
    <t>pierluigi.marzuillo@unicampania.it</t>
  </si>
  <si>
    <t>AUG 20</t>
  </si>
  <si>
    <t>10.1080/17512433.2023.2247985</t>
  </si>
  <si>
    <t>P9IA9</t>
  </si>
  <si>
    <t>WOS:001053728800001</t>
  </si>
  <si>
    <t>Dogan, T; Baydogan, N</t>
  </si>
  <si>
    <t>Dogan, Turkan; Baydogan, Nilgun</t>
  </si>
  <si>
    <t>Modification of gamma transmittance at gamma dose absorbed flexible poly (imide siloxane) block copolymer with high thermal performance feature</t>
  </si>
  <si>
    <t>POLYMER-PLASTICS TECHNOLOGY AND MATERIALS</t>
  </si>
  <si>
    <t>Block copolymer; gamma dose; hybrids; polyimides; radioisotope; siloxane; &gt;</t>
  </si>
  <si>
    <t>Flexible poly (imide siloxane) block copolymer (which was not adhesive feature) was exposed to gamma radiation at 10 kGy by using a certified Co-60 radioisotope for the evaluation of its optimum application condition in gamma irradiation fields with high dose. High gamma dose application has caused to display tuneable high-temperature features as the result of its density development due to radiation hardness effect at 10 kGy. The development of the polysilicon-11 crystallites has caused a decrease in the penetration of gamma photons at the irradiated flexible copolymer due to the gamma absorbed dose. The elimination of the agglomeration by high gamma dose application has assisted the development of the grainy surface at the irradiated flexible copolymer with a more homogeneous structure. The development of the gamma shielding performance of the irradiated polymer has explained the optimum synthesis conditions for the solution of the gamma dose problems at high-temperature applications in contact with the contoured surface (including different heights, depths curvatures on the surface and presenting importance in radiation shielding design and engineering) at high gamma dose areas. A comparison of penetration deepness of gamma photons has indicated its performance (at 0.662 MeV by using the Cs-137 radioisotope and at 1.25 MeV by using the Co-60 radioisotope by using the gamma transmission technique) to determine the details about the density variations of this polymer. The hybrid copolymer was improved to support the development of polymeric instruments for new trend applications in computing and artificial intelligence, biotechnology, and internet of things (for smart monitoring and sensing technology).</t>
  </si>
  <si>
    <t>[Dogan, Turkan; Baydogan, Nilgun] Istanbul Tech Univ, Energy Inst, TR-34469 Istanbul, Turkiye</t>
  </si>
  <si>
    <t>Istanbul Technical University</t>
  </si>
  <si>
    <t>Baydogan, N (corresponding author), Istanbul Tech Univ, Energy Inst, TR-34469 Istanbul, Turkiye.</t>
  </si>
  <si>
    <t>dogannil@itu.edu.tr</t>
  </si>
  <si>
    <t>Baydogan, Nilgun/I-1298-2017</t>
  </si>
  <si>
    <t>Baydogan, Nilgun/0000-0001-9843-1615</t>
  </si>
  <si>
    <t>Istanbul Technical University ITU BAP [37805]</t>
  </si>
  <si>
    <t>Istanbul Technical University ITU BAP(Istanbul Technical University)</t>
  </si>
  <si>
    <t>This work was supported with PhD Thesis project with 37805 no by Istanbul Technical University ITU BAP.</t>
  </si>
  <si>
    <t>2574-0881</t>
  </si>
  <si>
    <t>2574-089X</t>
  </si>
  <si>
    <t>POLYM-PLAST TECH MAT</t>
  </si>
  <si>
    <t>Polym.-Plast. Tech. Mater.</t>
  </si>
  <si>
    <t>OCT 13</t>
  </si>
  <si>
    <t>10.1080/25740881.2023.2240914</t>
  </si>
  <si>
    <t>Q4FJ7</t>
  </si>
  <si>
    <t>WOS:001049866500001</t>
  </si>
  <si>
    <t>Kennedy, RA</t>
  </si>
  <si>
    <t>Kennedy, Rachel A.</t>
  </si>
  <si>
    <t>Putting the Supports in Place to Facilitate Pathways into Inclusive Sports for Young Athletes with a Disability: A Commentary on Utility of a Pediatric Adaptive Sports Clinic: A Case Series Review</t>
  </si>
  <si>
    <t>PHYSICAL &amp; OCCUPATIONAL THERAPY IN PEDIATRICS</t>
  </si>
  <si>
    <t>[Kennedy, Rachel A.] La Trobe Univ, Olga Tennison Autism Res Ctr, Sch Psychol &amp; Publ Hlth, Melbourne, Vic, Australia</t>
  </si>
  <si>
    <t>La Trobe University</t>
  </si>
  <si>
    <t>Kennedy, RA (corresponding author), La Trobe Univ, Olga Tennison Autism Res Ctr, Sch Psychol &amp; Publ Hlth, Melbourne, Vic, Australia.</t>
  </si>
  <si>
    <t>Kennedy, Rachel/0000-0003-1805-6937</t>
  </si>
  <si>
    <t>VicHealth Impact Research Grant</t>
  </si>
  <si>
    <t>The author acknowledges funding received from a VicHealth Impact Research Grant for the work referenced in Kennedy et al. (2022).</t>
  </si>
  <si>
    <t>0194-2638</t>
  </si>
  <si>
    <t>1541-3144</t>
  </si>
  <si>
    <t>PHYS OCCUP THER PEDI</t>
  </si>
  <si>
    <t>Phys. Occup. Ther. Pediatr.</t>
  </si>
  <si>
    <t>2023 AUG 19</t>
  </si>
  <si>
    <t>10.1080/01942638.2023.2247945</t>
  </si>
  <si>
    <t>Pediatrics; Rehabilitation</t>
  </si>
  <si>
    <t>P6NL1</t>
  </si>
  <si>
    <t>WOS:001051822500001</t>
  </si>
  <si>
    <t>Kerstens, K; Sadeghi, J</t>
  </si>
  <si>
    <t>Kerstens, K.; Sadeghi, J.</t>
  </si>
  <si>
    <t>Plant capacity notions: review, new definitions, and existence results at firm and industry levels (Jul, 10.1080/00207543.2023.2239376, 2023)</t>
  </si>
  <si>
    <t>INTERNATIONAL JOURNAL OF PRODUCTION RESEARCH</t>
  </si>
  <si>
    <t>Correction; Early Access</t>
  </si>
  <si>
    <t>0020-7543</t>
  </si>
  <si>
    <t>1366-588X</t>
  </si>
  <si>
    <t>INT J PROD RES</t>
  </si>
  <si>
    <t>Int. J. Prod. Res.</t>
  </si>
  <si>
    <t>10.1080/00207543.2023.2250204</t>
  </si>
  <si>
    <t>R3EN4</t>
  </si>
  <si>
    <t>WOS:001063216900001</t>
  </si>
  <si>
    <t>Mechtouff, L; Balanca, B; Jung, J; Bourgeois-Vionnet, J; Dumot, C; Guery, D; Picart, T; Bapteste, L; Demarquay, G; Bani-Sadr, A; Rascle, L; Berthezene, Y; Jacquesson, T; Amaz, C; Macabrey, J; Ramos, I; Viprey, M; Rode, G; Cortet, M</t>
  </si>
  <si>
    <t>Mechtouff, Laura; Balanca, Baptiste; Jung, Julien; Bourgeois-Vionnet, Julie; Dumot, Chloe; Guery, Deborah; Picart, Thiebaud; Bapteste, Lionel; Demarquay, Genevieve; Bani-Sadr, Alexandre; Rascle, Lucie; Berthezene, Yves; Jacquesson, Timothee; Amaz, Camille; Macabrey, Juliette; Ramos, Ines; Viprey, Marie; Rode, Gilles; Cortet, Marion</t>
  </si>
  <si>
    <t>Interrater reliability in neurology objective structured clinical examination across specialties</t>
  </si>
  <si>
    <t>educational measurement; objective structured clinical examination; neurology; &gt;</t>
  </si>
  <si>
    <t>PERFORMANCE; OSCE; EXAMINERS; CHECKLISTS; VARIABILITY; SCORES; SKILLS; SCALE</t>
  </si>
  <si>
    <t>PurposeTo assess interrater reliability and examiners' characteristics, especially specialty, associated with scoring of neurology objective structured clinical examination (OSCE).Material and methodsDuring a neurology mock OSCE, five randomly chosen students volunteers were filmed while performing 1 of the 5 stations. Video recordings were scored by physicians from the Lyon and Clermont-Ferrand university teaching hospitals to assess students performance using both a checklist scoring and a global rating scale. Interrater reliability between examiners were assessed using intraclass coefficient correlation. Multivariable linear regression models including video recording as random effect dependent variable were performed to detect factors associated with scoring.ResultsThirty examiners including 15 (50%) neurologists participated. The intraclass correlation coefficient of checklist scores and global ratings between examiners were 0.71 (CI95% [0.45-0.95]) and 0.54 (CI95% [0.28-0.91]), respectively. In multivariable analyses, no factor was associated with checklist scores, while male gender of examiner was associated with lower global rating (&amp; beta; coefficient = -0.37; CI 95% [-0.62-0.11]).ConclusionsOur study demonstrated through a video-based scoring method that agreement among examiners was good using checklist scoring while moderate using global rating scale in neurology OSCE. Examiner's specialty did not affect scoring whereas gender was associated with global rating scale.</t>
  </si>
  <si>
    <t>[Mechtouff, Laura; Rascle, Lucie] Hosp Civils Lyon, Stroke Dept, Lyon, France; [Balanca, Baptiste; Bapteste, Lionel] Hosp Civils Lyon, Anesthesiol &amp; Intens Care Med, Lyon, France; [Jung, Julien; Bourgeois-Vionnet, Julie; Guery, Deborah; Demarquay, Genevieve] Hosp Civils Lyon, Dept Funct Neurol &amp; Epileptol, Lyon, France; [Dumot, Chloe] Hosp Civils Lyon, Dept Vasc &amp; Tumoral Neurosurg, Lyon, France; [Picart, Thiebaud; Jacquesson, Timothee] Hosp Civils Lyon, Dept Neurosurg, Lyon, France; [Bani-Sadr, Alexandre; Berthezene, Yves] Hosp Civils Lyon, Neuroradiol Dept, Lyon, France; [Amaz, Camille] Hosp Civils Lyon, Clin Invest Ctr, Lyon, France; [Macabrey, Juliette; Ramos, Ines; Viprey, Marie] Univ Claude Bernard, Res HealthcAre Performance RESHAPE, INSERM, U1290, Lyon, France; [Rode, Gilles] Hosp Civils Lyon, Henry Gabrielle Hosp, Phys Med &amp; Rehabil Dept, St Genis Laval, France; [Cortet, Marion] Hosp Civils Lyon, Croix Rousse Hosp, Gynecol &amp; Obstet Dept, Lyon, France; [Mechtouff, Laura] Hosp Civils Lyon, Stroke Dept, 59 Blvd Pinel, F-69677 Bron, France</t>
  </si>
  <si>
    <t>CHU Lyon; CHU Lyon; CHU Lyon; CHU Lyon; CHU Lyon; CHU Lyon; CHU Lyon; UDICE-French Research Universities; Universite Claude Bernard Lyon 1; Institut National de la Sante et de la Recherche Medicale (Inserm); CHU Lyon; CHU Lyon; CHU Lyon</t>
  </si>
  <si>
    <t>Mechtouff, L (corresponding author), Hosp Civils Lyon, Stroke Dept, 59 Blvd Pinel, F-69677 Bron, France.</t>
  </si>
  <si>
    <t>laura.mechtouff@chu-lyon.fr</t>
  </si>
  <si>
    <t>CORTET, Marion/IZE-2091-2023</t>
  </si>
  <si>
    <t>CORTET, Marion/0000-0001-6770-7340</t>
  </si>
  <si>
    <t>10.1080/0142159X.2023.2244146</t>
  </si>
  <si>
    <t>P6JJ8</t>
  </si>
  <si>
    <t>WOS:001051716400001</t>
  </si>
  <si>
    <t>Mercer, M; Gulseren, DB</t>
  </si>
  <si>
    <t>Mercer, Marlee; Gulseren, Duygu Biricik</t>
  </si>
  <si>
    <t>When negative feedback harms: a systematic review of the unintended consequences of negative feedback on psychological, attitudinal, and behavioral responses</t>
  </si>
  <si>
    <t>Performance feedback; systematic review; student performance; self-regulatory learning; psychosocial context; &gt;</t>
  </si>
  <si>
    <t>SELF-EFFICACY; UNDERGRADUATE STUDENTS; PERFORMANCE FEEDBACK; WORK; IMPACT; EMOTIONS; EXPECTATIONS; MOTIVATION; UNIVERSITY; CRITICISM</t>
  </si>
  <si>
    <t>A plethora of research emphasizes the importance of performance feedback as an adaptive way to improve the outcomes of undergraduate students. However, research on negative performance feedback (i.e. communicating the results of a critical assessment related to student performance) and the potential unintended negative consequences remains fragmented and non-comprehensive. The current systematic review provides an integrative synthesis of the literature that details the unintended negative consequences of negative performance feedback on undergraduate students. It also identifies the contexts in which these consequences are more likely to occur. Using the 36 articles that fit the study's search criteria, we found negative effects on self-efficacy, cognition, affect, and behavior. These factors were moderated by the characteristics of the feedback provider and the feedback receiver, the feedback style, and demographic variables. Based on our review, we propose a new integrative model. This study contributes to the literature and practice of teaching and learning by providing educators with an up-to-date review of negative feedback. It also provides a multidisciplinary examination and identifies future research directions.</t>
  </si>
  <si>
    <t>[Mercer, Marlee; Gulseren, Duygu Biricik] York Univ, Sch Human Resources Management, Toronto, ON M3J 1P3, Canada</t>
  </si>
  <si>
    <t>Gulseren, DB (corresponding author), York Univ, Sch Human Resources Management, Toronto, ON M3J 1P3, Canada.</t>
  </si>
  <si>
    <t>gulseren@yorku.ca</t>
  </si>
  <si>
    <t>Biricik Gulseren, Duygu/0000-0003-0039-7354</t>
  </si>
  <si>
    <t>10.1080/03075079.2023.2248490</t>
  </si>
  <si>
    <t>P5JJ7</t>
  </si>
  <si>
    <t>WOS:001051035200001</t>
  </si>
  <si>
    <t>Patel, D; Upadhyay, RV</t>
  </si>
  <si>
    <t>Patel, Dipal; Upadhyay, Ramesh V.</t>
  </si>
  <si>
    <t>Fractional Maxwell viscoelastic model to explain dynamic magneto-viscoelastic properties of an isotropic magnetorheological elastomer containing flake-shaped magnetic particles</t>
  </si>
  <si>
    <t>SOFT MATERIALS</t>
  </si>
  <si>
    <t>Isotropic magnetorheological elastomers; fractional derivative model; magnetic field; flake-shaped iron particles; dipole-dipole interaction; magneto-viscoelastic</t>
  </si>
  <si>
    <t>BEHAVIOR</t>
  </si>
  <si>
    <t>A modified fractional Maxwell viscoelastic model was developed for the dynamic magneto-viscoelastic behavior of an isotropic magnetorheological elastomer (MRE) having flake-shaped iron particles. This model can capture the low-frequency and high magnetic field static friction contribution with frequency, both in storage and loss modulus. The magnetic dipole-dipole interaction model is used to find the influence of the external magnetic field on viscoelastic behavior. The variation of field-induced modulus with the magnetic field is well described using the Langevin function. The predicted and experimental measured storage and loss modulus agree with the present model with an accuracy of =99%. The present model is compared with the results of spherical particle-based MRE.</t>
  </si>
  <si>
    <t>[Patel, Dipal] Charotar Univ Sci &amp; Technol CHARUSAT, CS Patel Inst Technol, Dept Mech Engn, Changa, India; [Upadhyay, Ramesh V.] Charotar Univ Sci &amp; Technol, Dr KC Patel Res &amp; Dev Ctr, CHARUSAT Campus, Changa 388421, Gujarat, India</t>
  </si>
  <si>
    <t>Charotar University of Science &amp; Technology - Charusat; Charotar University of Science &amp; Technology - Charusat</t>
  </si>
  <si>
    <t>Upadhyay, RV (corresponding author), Charotar Univ Sci &amp; Technol, Dr KC Patel Res &amp; Dev Ctr, CHARUSAT Campus, Changa 388421, Gujarat, India.</t>
  </si>
  <si>
    <t>rvu.as@charusat.ac.in</t>
  </si>
  <si>
    <t>Charotar University of Science and Technology (CHARUSAT)</t>
  </si>
  <si>
    <t>The work is supported by Charotar University of Science and Technology (CHARUSAT) for providing all experimental facilities.</t>
  </si>
  <si>
    <t>1539-445X</t>
  </si>
  <si>
    <t>1539-4468</t>
  </si>
  <si>
    <t>SOFT MATER</t>
  </si>
  <si>
    <t>Soft Mater.</t>
  </si>
  <si>
    <t>AUG 19</t>
  </si>
  <si>
    <t>10.1080/1539445X.2023.2247002</t>
  </si>
  <si>
    <t>P9IN5</t>
  </si>
  <si>
    <t>WOS:001053741700001</t>
  </si>
  <si>
    <t>Alsehibany, RA; Abdelhalim, SM</t>
  </si>
  <si>
    <t>Alsehibany, Raniya Abdullah; Abdelhalim, Safaa M.</t>
  </si>
  <si>
    <t>Overcoming academic vocabulary errors through online corpus consultation: the case of Saudi English majors</t>
  </si>
  <si>
    <t>COMPUTER ASSISTED LANGUAGE LEARNING</t>
  </si>
  <si>
    <t>Direct corpus consultation; data-driven learning; vocabulary errors; scaffolding; learner autonomy</t>
  </si>
  <si>
    <t>2ND-LANGUAGE VOCABULARY; STUDENT ATTITUDES; LEARNER AUTONOMY; LANGUAGE; ACQUISITION; CORPORA</t>
  </si>
  <si>
    <t>In the past two decades, corpora have been proposed as valuable computer-assisted tools for teaching and learning academic writing in English at the university level. This article reports on an empirical study that sought to examine the effectiveness of direct corpus consultation in overcoming vocabulary errors in academic writing. This study is part of a larger research project that also investigated students' attitudes towards direct corpus consultation activities in terms of overcoming vocabulary errors and promoting their learning autonomy as well as the difficulties they encountered. A quantitative quasi-experimental design was used in the present study, which involved 32 Saudi female undergraduates majoring in English for nine weeks of the fourteen-week writing course. Data collection instruments included a pre-post vocabulary test and pre-post writing tests. The results of quantitative and content analyses suggested that direct corpus consultation decreased vocabulary errors and improved students' academic writing quality. The corpus consultation tasks significantly affected students' ability to overcome the four targeted types of vocabulary errors (collocation, connotation, word form, and spelling). Furthermore, the results showed that the effectiveness of corpus consultation tasks in improving students' vocabulary knowledge and usage varied depending on the type of vocabulary error. On the vocabulary test, collocation errors had the smallest decrease and medium effect size, whereas, on the writing post-test, connotations were the least developed type. The study concluded with some pedagogical implications for using direct corpus consultation to develop students' vocabulary knowledge and usage, as well as recommendations for future research.</t>
  </si>
  <si>
    <t>[Alsehibany, Raniya Abdullah; Abdelhalim, Safaa M.] Al Imam Mohammed Ibn Saud Islamic Univ IMSIU, Coll Languages &amp; Translat, Riyadh, Saudi Arabia; [Alsehibany, Raniya Abdullah] Al Imam Mohammed Ibn Saud Islamic Univ, Coll Languages &amp; Translat, POB 5701,Othman Ibn Affan St, Riyadh 11432, Saudi Arabia</t>
  </si>
  <si>
    <t>Imam Mohammad Ibn Saud Islamic University (IMSIU); Imam Mohammad Ibn Saud Islamic University (IMSIU)</t>
  </si>
  <si>
    <t>Alsehibany, RA (corresponding author), Al Imam Mohammed Ibn Saud Islamic Univ, Coll Languages &amp; Translat, POB 5701,Othman Ibn Affan St, Riyadh 11432, Saudi Arabia.</t>
  </si>
  <si>
    <t>raniya82@gmail.com</t>
  </si>
  <si>
    <t>Abdelhalim, Safaa/ADY-3336-2022</t>
  </si>
  <si>
    <t>Abdelhalim, Safaa/0000-0002-6995-4553</t>
  </si>
  <si>
    <t>Deanship of Scientific Research at Imam Mohammad Ibn Saud Islamic University</t>
  </si>
  <si>
    <t>The authors extend their appreciation to the Deanship of Scientific Research at Imam Mohammad Ibn Saud Islamic University for funding and supporting this work through Graduate Students Research Support Program.</t>
  </si>
  <si>
    <t>0958-8221</t>
  </si>
  <si>
    <t>1744-3210</t>
  </si>
  <si>
    <t>COMPUT ASSIST LANG L</t>
  </si>
  <si>
    <t>Comput. Assist. Lang. Learn.</t>
  </si>
  <si>
    <t>2023 AUG 18</t>
  </si>
  <si>
    <t>10.1080/09588221.2023.2249503</t>
  </si>
  <si>
    <t>Q8ZI7</t>
  </si>
  <si>
    <t>WOS:001060342600001</t>
  </si>
  <si>
    <t>Cohen, G</t>
  </si>
  <si>
    <t>Cohen, Gil</t>
  </si>
  <si>
    <t>Aged-adjusted pension plan, evidence from Israel</t>
  </si>
  <si>
    <t>ISRAEL AFFAIRS</t>
  </si>
  <si>
    <t>Israel; pension plans; aged adjusted; saving; retirement benefits; &gt;</t>
  </si>
  <si>
    <t>FUNDS</t>
  </si>
  <si>
    <t>We investigate the results of the Israeli pension reform that started at the beginning of 2016. This reform created aged, adjusted pension plans that are aimed to fit better the different age categories and protect the over 60 years old savers from the occurrence of a financial crisis close to their retirement. We find that all the over 60 years old funds have outperformed the financial market according to their preferred level of risk. On the other hand, because the financial market blossomed in recent years, they lost a yearly potential return of 1.64%. The pension tracks for under 50 years old savers have gained an extra of 0.73% return per year; however, not all funds in this age category have outperformed the market benchmarks. The reform did not have a substantial impact on the 50-60 years old track since the risk ingredient has not changed dramatically.</t>
  </si>
  <si>
    <t>[Cohen, Gil] Western Galilee Coll, Sir Harry Solomon Sch Econ &amp; Management, Akko, Israel</t>
  </si>
  <si>
    <t>Cohen, G (corresponding author), Western Galilee Coll, Sir Harry Solomon Sch Econ &amp; Management, Akko, Israel.</t>
  </si>
  <si>
    <t>GilC@wgalil.ac.il</t>
  </si>
  <si>
    <t>1353-7121</t>
  </si>
  <si>
    <t>1743-9086</t>
  </si>
  <si>
    <t>ISR AFF</t>
  </si>
  <si>
    <t>Isr. Aff.</t>
  </si>
  <si>
    <t>10.1080/13537121.2023.2247654</t>
  </si>
  <si>
    <t>P4CD0</t>
  </si>
  <si>
    <t>WOS:001050132300001</t>
  </si>
  <si>
    <t>Craw, D; Rufaut, C; Read, S; Pillai, D</t>
  </si>
  <si>
    <t>Craw, Dave; Rufaut, Cathy; Read, Stephen; Pillai, Dhana</t>
  </si>
  <si>
    <t>Hydrogeological controls on formation of Patearoa saline site in Central Otago, New Zealand and definition of geoecological salt lines</t>
  </si>
  <si>
    <t>NEW ZEALAND JOURNAL OF GEOLOGY AND GEOPHYSICS</t>
  </si>
  <si>
    <t>Geoecology; evaporation; Schist; greywacke; groundwater; halophyte; pH; salinity</t>
  </si>
  <si>
    <t>GOLD MINE; SOUTH ISLAND; CONSERVATION; SCHIST; TAILINGS; PLANTS</t>
  </si>
  <si>
    <t>The Patearoa saline site in Maniototo basin has developed on variably clay-altered Otago Schist. Decomposition and sedimentary redistribution of schist outcrop components has led to formation of bare soil-free substrates (upper metre scale) with contrasting permeability to rain and shallow groundwater percolation. Relatively impermeable clay-rich substrates, with a surface crust (cm scale) of detrital clay and muscovite, are saline with electrical conductivity (EC) of 1-35 mS/cm and locally hyperalkaline (pH &gt; 10), with evaporative mineral accumulations. These saline substrates are downslope of more permeable substrates consisting of coarse schist debris and fractured outcrops, which have lower salinity (EC &lt; 1 mS/cm) and lower pH (&lt;7). A salt line can be mapped at metre scale between these substrate types on hillsides. The geochemical contrasts across the salt line have strong effects on plant communities that are colonising bare ground. Initial colonisation of bare saline substrates by some plants changes the geochemical signatures of the surficial few centimetres to form proto-soil with lower EC and pH. Proto-soil development facilitates further colonisation by pasture grasses, but the underlying substrates remain saline and highly alkaline. Salt lines similar to the one at Patearoa are mappable elsewhere in the Otago area and constitute fundamental geoecological boundaries.</t>
  </si>
  <si>
    <t>[Craw, Dave; Rufaut, Cathy; Read, Stephen; Pillai, Dhana] Univ Otago, Geol Dept, Dunedin, New Zealand; [Rufaut, Cathy] Queen Elizabeth II Natl Trust, Wellington, New Zealand</t>
  </si>
  <si>
    <t>University of Otago</t>
  </si>
  <si>
    <t>Craw, D (corresponding author), Univ Otago, Geol Dept, Dunedin, New Zealand.</t>
  </si>
  <si>
    <t>dave.craw@otago.ac.nz</t>
  </si>
  <si>
    <t>This project was initiated by personnel from Queen Elizabeth II National Trust, and we are grateful for the on-going enthusiasm and input from Aalbert Rebergen, and Rob and Kate Wardle. Discussions with Scott Jarvie (Otago Regional Council) were helpful in; Queen Elizabeth II National Trust</t>
  </si>
  <si>
    <t>This project was initiated by personnel from Queen Elizabeth II National Trust, and we are grateful for the on-going enthusiasm and input from Aalbert Rebergen, and Rob and Kate Wardle. Discussions with Scott Jarvie (Otago Regional Council) were helpful in developing this research project. We appreciate the ready access to the site granted by landowner Charlie Hore. Gemma Kerr (University of Otago) ably helped with laboratory work and electron microscopy at the Otago Micro and Nanoscale Imaging (OMNI) facility, University of Otago.</t>
  </si>
  <si>
    <t>0028-8306</t>
  </si>
  <si>
    <t>1175-8791</t>
  </si>
  <si>
    <t>NEW ZEAL J GEOL GEOP</t>
  </si>
  <si>
    <t>N. Z. J. Geol. Geophys.</t>
  </si>
  <si>
    <t>AUG 18</t>
  </si>
  <si>
    <t>10.1080/00288306.2023.2246916</t>
  </si>
  <si>
    <t>Geology; Geosciences, Multidisciplinary</t>
  </si>
  <si>
    <t>P9GA2</t>
  </si>
  <si>
    <t>WOS:001053675100001</t>
  </si>
  <si>
    <t>Halliday, DWR; Karr, JE; Shahnazian, D; Gordon, I; Escudero, JPS; MacDonald, SWS; Macoun, SJ; Hundza, SR; Garcia-Barrera, MA</t>
  </si>
  <si>
    <t>Halliday, Drew W. R.; Karr, Justin E.; Shahnazian, Danesh; Gordon, Iris; Escudero, Juan Pablo Sanchez; MacDonald, Stuart W. S.; Macoun, Sarah J.; Hundza, Sandra R.; Garcia-Barrera, Mauricio A.</t>
  </si>
  <si>
    <t>Electrophysiological variability during tests of executive functioning: A comparison of athletes with and without concussion and sedentary control participants</t>
  </si>
  <si>
    <t>Athletes; brain concussion; electroencephalography; executive function; intra-individual variability; sports; &gt;</t>
  </si>
  <si>
    <t>TRAUMATIC BRAIN-INJURY; SPORTS-RELATED CONCUSSION; INTRAINDIVIDUAL VARIABILITY; SIGNAL VARIABILITY; WORKING-MEMORY; NEUROPSYCHOLOGICAL OUTCOMES; NEUROCOGNITIVE PERFORMANCE; INDIVIDUAL-DIFFERENCES; COGNITIVE CONTROL; HIGH-SCHOOL</t>
  </si>
  <si>
    <t>ObjectiveSport participation may benefit executive functioning (EF), but EF can also be adversely affected by concussion, which can occur during sport participation. Neural variability is an emerging proxy of brain health that indexes the brain's range of possible responses to incoming stimuli (i.e., dynamic range) and interconnectedness, but has yet to be characterized following concussion among athletes. This study examined whether neural variability was enhanced by athletic participation and attenuated by concussion.MethodSeventy-seven participants (18-25 years-old) were classified as sedentary controls (n = 33), athletes with positive concussion history (n = 21), or athletes without concussion (n = 23). Participants completed tests of attention switching, response inhibition, and updating working memory while undergoing electroencephalography recordings to index neural variability.ResultsCompared to sedentary controls and athletes without concussion, athletes with concussion exhibited a restricted whole-brain dynamic range of neural variability when completing a test of inhibitory control. There were no group differences observed for either the switching or working memory tasks.ConclusionsA history of concussion was related to reduced dynamic range of neural activity during a task of response inhibition in young adult athletes. Neural variability may have value for evaluating brain health following concussion.</t>
  </si>
  <si>
    <t>[Halliday, Drew W. R.; Gordon, Iris; MacDonald, Stuart W. S.; Macoun, Sarah J.; Garcia-Barrera, Mauricio A.] Univ Victoria, Dept Psychol, Victoria, BC, Canada; [Halliday, Drew W. R.; Gordon, Iris; Garcia-Barrera, Mauricio A.] Univ Victoria, CORTEX Lab, Victoria, BC, Canada; [Halliday, Drew W. R.; MacDonald, Stuart W. S.; Hundza, Sandra R.; Garcia-Barrera, Mauricio A.] Univ Victoria, Inst Aging &amp; Lifelong Hlth, Victoria, BC, Canada; [Karr, Justin E.] Univ Kentucky, Dept Psychol, Lexington, KY USA; [Shahnazian, Danesh] Minist Hlth British Columbia, Vancouver, BC, Canada; [Escudero, Juan Pablo Sanchez] Univ Antioquia, Antioquia, Colombia; [Hundza, Sandra R.] Univ Victoria, Sch Exercise Sci Phys &amp; Hlth Educ, Victoria, BC, Canada; [Karr, Justin E.] Univ Kentucky, Dept Psychol, 171 Funkhouser Dr,012D Kastle Hall, Lexington, KY 40506 USA</t>
  </si>
  <si>
    <t>University of Victoria; University of Victoria; University of Victoria; University of Kentucky; Universidad de Antioquia; University of Victoria; University of Kentucky</t>
  </si>
  <si>
    <t>Karr, JE (corresponding author), Univ Kentucky, Dept Psychol, 171 Funkhouser Dr,012D Kastle Hall, Lexington, KY 40506 USA.</t>
  </si>
  <si>
    <t>jkarr@uky.edu</t>
  </si>
  <si>
    <t>Ahire, Nitin/HSG-1728-2023</t>
  </si>
  <si>
    <t>Karr, Justin/0000-0003-3653-332X</t>
  </si>
  <si>
    <t>Canadian Institutes of Health Research (Canada Graduate Scholarship-Doctoral); American Psychological Foundation/Council of Graduate Departments of Psychology (William and Dorothy Bevan Scholarship); Natural Sciences and Engineering Research Council [NSERC 2019-06190]; Social Sciences and Humanities Research Council of Canada; University of Victoria</t>
  </si>
  <si>
    <t>Canadian Institutes of Health Research (Canada Graduate Scholarship-Doctoral)(Canadian Institutes of Health Research (CIHR)); American Psychological Foundation/Council of Graduate Departments of Psychology (William and Dorothy Bevan Scholarship); Natural Sciences and Engineering Research Council(Natural Sciences and Engineering Research Council of Canada (NSERC)); Social Sciences and Humanities Research Council of Canada(Social Sciences and Humanities Research Council of Canada (SSHRC)); University of Victoria</t>
  </si>
  <si>
    <t>This study was funded by the Canadian Institutes of Health Research (Canada Graduate Scholarship-Doctoral, awarded to Drew W. R. Halliday); the American Psychological Foundation/Council of Graduate Departments of Psychology (William and Dorothy Bevan Scholarship, awarded to Justin E. Karr); and by the Natural Sciences and Engineering Research Council (NSERC 2019-06190) and the Social Sciences and Humanities Research Council of Canada Internal Research Grant, University of Victoria, both awarded to Mauricio A. Garcia-Barrera.</t>
  </si>
  <si>
    <t>10.1080/23279095.2023.2247512</t>
  </si>
  <si>
    <t>P5MM5</t>
  </si>
  <si>
    <t>WOS:001051116700001</t>
  </si>
  <si>
    <t>Krauss, L; Schab, R; Unz, S; Beckmann, M; Krug, M; Puettmann, J; Nizard, H; Gloess, D</t>
  </si>
  <si>
    <t>Krauss, Luisa; Schab, Richard; Unz, Simon; Beckmann, Michael; Krug, Mario; Puettmann, Jan; Nizard, Harry; Gloess, Daniel</t>
  </si>
  <si>
    <t>Investigation of the Chemical Durability and Thermal Impact on Functional Coated Surfaces</t>
  </si>
  <si>
    <t>HEAT TRANSFER ENGINEERING</t>
  </si>
  <si>
    <t>FREE-ENERGY</t>
  </si>
  <si>
    <t>Heat exchangers can be coated with functional layers to reduce the negative effects of established fouling films. In the process, long-term layer stability is a requirement for the fouling-inhibiting properties of the surface coatings. Various atomic layer deposition (ALD), with layer thicknesses between 10 and 50nm, and Parylene (polymeric) coatings, with layer thicknesses &lt; 50 mu m, are applied to stainless steel (1.4571) and structural steel (1.0038) substrates. The stability against critical thermal process conditions and cleaning media (acids, alkalis, solvents) is examined. The surface free energy of the substrates is determined before and after durability tests using a contact angle measuring device. In this study the targeted water contact angle was between 80 degrees and 110 degrees and the related surface free energy &lt; 45mN/m. The change in the surface free energy is a measure of the coating durability. The tested Parylene-coated substrates show no significant changes and no layer defects. In the case of the ALD-coated substrates, only the coating with TiO2 deposition using a chlorine-free precursor shows promising results. Non-systematical layer defects and corrosion can sometimes be optically observed on the TiO2 and Al2O3 ALD-coated substrates. A strong increase in the polar part of the surface free energy is observed. This may be due to the physisorption and chemisorption of water with the coating, increasing polar interactions. In further research, fouling experiments must be performed to investigate the influence of the coatings on the induction time.</t>
  </si>
  <si>
    <t>[Krauss, Luisa; Schab, Richard; Unz, Simon; Beckmann, Michael] Tech Univ Dresden, Inst Proc Engn &amp; Environm Technol, Dresden, Germany; [Krug, Mario] Fraunhofer Inst Ceram Technol &amp; Syst IKTS, Dresden, Germany; [Puettmann, Jan; Nizard, Harry; Gloess, Daniel] Fraunhofer Inst Organ Elect Electron Beam &amp; Plasma, Dresden, Germany; [Krauss, Luisa] Tech Univ Dresden, Inst Proc Engn &amp; Environm Technol, D-01062 Dresden, Germany</t>
  </si>
  <si>
    <t>Technische Universitat Dresden; Fraunhofer Gesellschaft; Technische Universitat Dresden</t>
  </si>
  <si>
    <t>Krauss, L (corresponding author), Tech Univ Dresden, Inst Proc Engn &amp; Environm Technol, D-01062 Dresden, Germany.</t>
  </si>
  <si>
    <t>European Regional Development Fund (ERDF); Free State of Saxony [100348910]</t>
  </si>
  <si>
    <t>European Regional Development Fund (ERDF)(European Union (EU)); Free State of Saxony</t>
  </si>
  <si>
    <t>This work has been partially supported by the European Regional Development Fund (ERDF) and the Free State of Saxony (Grant no. 100348910).</t>
  </si>
  <si>
    <t>0145-7632</t>
  </si>
  <si>
    <t>1521-0537</t>
  </si>
  <si>
    <t>HEAT TRANSFER ENG</t>
  </si>
  <si>
    <t>Heat Transf. Eng.</t>
  </si>
  <si>
    <t>10.1080/01457632.2023.2249731</t>
  </si>
  <si>
    <t>Thermodynamics; Engineering, Mechanical; Mechanics</t>
  </si>
  <si>
    <t>Thermodynamics; Engineering; Mechanics</t>
  </si>
  <si>
    <t>Q6DN1</t>
  </si>
  <si>
    <t>WOS:001058408900001</t>
  </si>
  <si>
    <t>Marichelvam, MK; Manimaran, P; Khan, A; Geetha, M; Kandakodeeswaran, K; Abduljabbar, AH; Syafri, E; Wazzan, MA; Wazzan, H; Khan, W</t>
  </si>
  <si>
    <t>Marichelvam, M. K.; Manimaran, P.; Khan, Anish; Geetha, M.; Kandakodeeswaran, K.; Abduljabbar, Ahmed H.; Syafri, Edi; Wazzan, Mohammad A.; Wazzan, Huda; Khan, Waseem</t>
  </si>
  <si>
    <t>Development and Characterization of Sustainable Bioplastic Films Using Cellulose Extracted from Prosopis juliflora</t>
  </si>
  <si>
    <t>Plastics; bioplastics; starch; cellulose; biodegradability; Prosopis juliflora</t>
  </si>
  <si>
    <t>CITRIC-ACID; CORN STARCH; THERMAL-PROPERTIES; ESSENTIAL OIL; GLYCEROL; ACETATE; BARRIER; FIBERS</t>
  </si>
  <si>
    <t>To diminish the environmental impacts instigated by plastics, investigators recommended bioplastics. In the current work, an attempt is made to develop sustainable bioplastics from waste plants. Cellulose was extracted from the wood of Prosopis juliflora. The Prosopis juliflora wood was cut and ground into powder. The powder was washed with water and subjected to several chemical treatments to extract the cellulose. The bioplastic film samples were produced using it. Six different samples were prepared by varying the composition of cellulose, gelatin, citric acid, and glycerol. Several tests were carried out on samples developed as per ASTM standards, and the results were compared with the existing bioplastics. The test results indicated that sample 1 has a maximum tensile strength of 7.73 MPa. The average bursting strength of the bioplastic film is 12.44 kg/cm(2), which is better than the other bioplastics reported in the literature. The average biodegradability of developed bioplastic films is approximately 59.43%. The results revealed that the Prosopis juliflora cellulose-based bioplastics would be a better substitute for conventional plastics.</t>
  </si>
  <si>
    <t>[Marichelvam, M. K.; Kandakodeeswaran, K.] Mepco Schlenk Engn Coll, Dept Mech Engn, Sivakasi, India; [Manimaran, P.] Karpagam Inst Technol, Dept Mech Engn, Coimbatore, India; [Khan, Anish] King Abdulaziz Univ, Ctr Excellence Adv Mat Res, Jeddah, Saudi Arabia; [Geetha, M.] Kamaraj Coll Engn &amp; Technol, Dept Math, Virudunagar, India; [Abduljabbar, Ahmed H.; Wazzan, Mohammad A.; Khan, Waseem] King Abdulaziz Univ, Fac Med, Dept Radiol, Jeddah, Saudi Arabia; [Syafri, Edi] Politekn Pertanian Negeri Payakumbuh, Dept Agr Technol, West Sumatra, Indonesia; [Wazzan, Huda] King Abdulaziz Univ, Sch Human Sci &amp; Design Food &amp; Nutr, Jeddah, Saudi Arabia</t>
  </si>
  <si>
    <t>Mepco Schlenk Engineering College; King Abdulaziz University; Kamaraj College of Engineering &amp; Technology; King Abdulaziz University; King Abdulaziz University</t>
  </si>
  <si>
    <t>Syafri, E (corresponding author), Politekn Pertanian Negeri Payakumbuh, Dept Agr Technol, West Sumatra, Indonesia.</t>
  </si>
  <si>
    <t>edisyafri11@gmail.com</t>
  </si>
  <si>
    <t>wazzan, mohammad/JDD-5027-2023; wazzan, mohammad/JDD-4887-2023; Syafri, Edi/F-1778-2019</t>
  </si>
  <si>
    <t>wazzan, mohammad/0000-0003-1950-3962; Syafri, Edi/0000-0002-5784-6694</t>
  </si>
  <si>
    <t>Institutional Fund Projects (IFPIP) [1009-140-1443]; Ministry of Education and King Abdulaziz University, DSR, Jeddah, Saudi Arabia</t>
  </si>
  <si>
    <t>Institutional Fund Projects (IFPIP); Ministry of Education and King Abdulaziz University, DSR, Jeddah, Saudi Arabia</t>
  </si>
  <si>
    <t>This research work was funded by Institutional Fund Projects under grant no. (IFPIP:1009-140-1443). The authors gratefully acknowledge the technical and financial support provided by the Ministry of Education and King Abdulaziz University, DSR, Jeddah, Saudi Arabia.</t>
  </si>
  <si>
    <t>10.1080/15440478.2023.2231271</t>
  </si>
  <si>
    <t>L5SJ3</t>
  </si>
  <si>
    <t>WOS:001023859300001</t>
  </si>
  <si>
    <t>Portes, A</t>
  </si>
  <si>
    <t>Portes, Alejandro</t>
  </si>
  <si>
    <t>Cities and migration</t>
  </si>
  <si>
    <t>Markets; world capitalism; slavery; labour recruitment; migration; cities</t>
  </si>
  <si>
    <t>As a prelude to the following essays on nine cities selected as strategic research sites, this introduction traces, in summary fashion, the linkages between migration and the development of the capitalist world economy, including, the rise of cities and their development. The history of migration during these five centuries encompasses the movement of European settlers to the new colonies, followed by three centuries of trans-Atlantic slave trade leading in turn, to deliberate labour recruitment in three continents and, eventually, to the contemporary self-driven flows of both labourers and refugees. A final diagram summarizes this evolution and seeks to situate the origin and development of the nine selected cities within it.</t>
  </si>
  <si>
    <t>[Portes, Alejandro] Univ Miami, Coral Gables, FL 33146 USA; [Portes, Alejandro] Princeton Univ, Princeton, NJ 08542 USA</t>
  </si>
  <si>
    <t>University of Miami; Princeton University</t>
  </si>
  <si>
    <t>Portes, A (corresponding author), Univ Miami, Coral Gables, FL 33146 USA.;Portes, A (corresponding author), Princeton Univ, Princeton, NJ 08542 USA.</t>
  </si>
  <si>
    <t>mxb1674@law.miami.edu</t>
  </si>
  <si>
    <t>10.1080/01419870.2023.2186797</t>
  </si>
  <si>
    <t>K5MD6</t>
  </si>
  <si>
    <t>WOS:000963705800001</t>
  </si>
  <si>
    <t>Ayazlar, RA; Ayazlar, G</t>
  </si>
  <si>
    <t>Ayazlar, Reyhan A. A.; Ayazlar, Gokhan</t>
  </si>
  <si>
    <t>Camping: a liminal space as a gateway to eudaimonic happiness</t>
  </si>
  <si>
    <t>WORLD LEISURE JOURNAL</t>
  </si>
  <si>
    <t>Liminal experience; camping; eudaimonic happiness; learning; tolerance; communitas; &gt;</t>
  </si>
  <si>
    <t>COASTAL CAMPGROUNDS; TOURISM; EXPERIENCE; TRANSITION; RECREATION; EVOLUTION; CONFLICT; TRAVEL; SEX</t>
  </si>
  <si>
    <t>Camping - a growing niche in the tourism industry - allows participants to have a liminal experience. Using qualitative methods, we examine camp participants' perspective through the lens of liminal theory. The data were obtained through participant observation and interviews with 27 campers. Camp participants' liminal experiences are grouped into three dimensions: (1) learning in liminal spaces; (2) increased tolerance in liminal spaces and, (3) the effects of liminal spaces on eudaimonic happiness. Learning and tolerance in the camping experience has the potential to foster happiness, even after the participants return home. These findings from the Turkish experience contribute to a growing literature on liminality in camps and tourism more broadly.</t>
  </si>
  <si>
    <t>[Ayazlar, Reyhan A. A.; Ayazlar, Gokhan] Univ Mugla Sitki Kocman, Mugla, Turkiye; [Ayazlar, Gokhan] Mugla Sitki Kocman Univ, Fac Tourism, TR-48170 Mugla, Turkiye</t>
  </si>
  <si>
    <t>Mugla Sitki Kocman University; Mugla Sitki Kocman University</t>
  </si>
  <si>
    <t>Ayazlar, G (corresponding author), Mugla Sitki Kocman Univ, Fac Tourism, TR-48170 Mugla, Turkiye.</t>
  </si>
  <si>
    <t>gokhanayazlar@gmail.com</t>
  </si>
  <si>
    <t>1607-8055</t>
  </si>
  <si>
    <t>2333-4509</t>
  </si>
  <si>
    <t>WORLD LEISURE J</t>
  </si>
  <si>
    <t>World Leisure J.</t>
  </si>
  <si>
    <t>2023 AUG 17</t>
  </si>
  <si>
    <t>10.1080/16078055.2023.2247381</t>
  </si>
  <si>
    <t>P3RK6</t>
  </si>
  <si>
    <t>WOS:001049847000001</t>
  </si>
  <si>
    <t>Kumar, A; Sarma, R; Bag, S; Srivastava, VC; Kapil, S</t>
  </si>
  <si>
    <t>Kumar, Amritesh; Sarma, Ritam; Bag, Swarup; Srivastava, V. C.; Kapil, Sajan</t>
  </si>
  <si>
    <t>Physics-informed machine learning models for the prediction of transient temperature distribution of ferritic steel in directed energy deposition by cold metal transfer</t>
  </si>
  <si>
    <t>SCIENCE AND TECHNOLOGY OF WELDING AND JOINING</t>
  </si>
  <si>
    <t>Finite element model; machine learning algorithms; cold metal transfer; wire arc additive manufacturing; &gt;</t>
  </si>
  <si>
    <t>In-situ monitoring of the additive layer characteristics in the directed energy deposition (DED) process by any contact technology is cumbersome. A well-tested finite element (FE) model is often employed to extract transient temperature distribution during deposition. However, the numerical model pertaining to each deposition attribute is computationally expensive. In the present work, we have generated a dataset through an experimentally validated thermal model, and further multiple machine learning (ML) algorithms are applied to train datasets. Models with an accuracy of more than 99% are utilised for the prediction of transient temperature distribution. The validation of deposition attributes using experiments and numerical model suggests that the physics-informed machine learning models for cold metal transfer can be applied in the DED process.</t>
  </si>
  <si>
    <t>[Kumar, Amritesh; Sarma, Ritam; Bag, Swarup; Kapil, Sajan] Indian Inst Technol Guwahati, Dept Mech Engn, Gauhati, Assam, India; [Srivastava, V. C.] CSIR Natl Met Lab, Mat Engn Div, Jamshedpur, India; [Bag, Swarup] Indian Inst Technol Guwahati, Dept Mech Engn, Gauhati 781039, Assam, India</t>
  </si>
  <si>
    <t>Indian Institute of Technology System (IIT System); Indian Institute of Technology (IIT) - Guwahati; Council of Scientific &amp; Industrial Research (CSIR) - India; CSIR - National Metallurgical Laboratory (NML); Indian Institute of Technology System (IIT System); Indian Institute of Technology (IIT) - Guwahati</t>
  </si>
  <si>
    <t>Bag, S (corresponding author), Indian Inst Technol Guwahati, Dept Mech Engn, Gauhati 781039, Assam, India.</t>
  </si>
  <si>
    <t>swarupbag@iitg.ac.in</t>
  </si>
  <si>
    <t>Science and Engineering Research Board, Government of India [SPR/2021/000790]</t>
  </si>
  <si>
    <t>Science and Engineering Research Board, Government of India</t>
  </si>
  <si>
    <t>The authors gratefully acknowledge the financial support being provided by the Science and Engineering Research Board, Government of India (grant number SPR/2021/000790 dated 16.03.2022) to carry out this work.</t>
  </si>
  <si>
    <t>1362-1718</t>
  </si>
  <si>
    <t>1743-2936</t>
  </si>
  <si>
    <t>SCI TECHNOL WELD JOI</t>
  </si>
  <si>
    <t>Sci. Technol. Weld. Join.</t>
  </si>
  <si>
    <t>10.1080/13621718.2023.2247242</t>
  </si>
  <si>
    <t>Materials Science, Multidisciplinary; Metallurgy &amp; Metallurgical Engineering</t>
  </si>
  <si>
    <t>Materials Science; Metallurgy &amp; Metallurgical Engineering</t>
  </si>
  <si>
    <t>P1RN3</t>
  </si>
  <si>
    <t>WOS:001048484500001</t>
  </si>
  <si>
    <t>Lin, ZS; Lessard, BH; Brusso, J</t>
  </si>
  <si>
    <t>Lin, Zheng Sonia; Lessard, Benoit H.; Brusso, Jaclyn</t>
  </si>
  <si>
    <t>One-step synthesis of perfluorinated polyphenylenes using modified Ullmann coupling conditions</t>
  </si>
  <si>
    <t>Arenes; perfluorination; Ullmann coupling</t>
  </si>
  <si>
    <t>DERIVATIVES</t>
  </si>
  <si>
    <t>Fluorinated compounds have attracted attention in both the pharmaceutical industry and materials science due to the small size and strong electron-withdrawing property of the fluorine atom. In materials science, perfluorinated polyphenylenes play an important role as electron transport layers in organic electronics. While various strategies for the preparation of fluorinated arenes have been reported, the number of synthetic methods available for perfluorinated arenes remains limited, mainly due to the change in reactivity of reagents and substrates at the reaction site upon the introduction of additional fluorine atoms. Given the important applications of perfluorinated polyphenyl-based compounds, this article describes the one-step synthesis of the dendrimer perfluoro-3,3'5,5'-tetrakisphenyldiphenyl-1,1', which to date no example of a targeted synthesis has been reported in literature, and the synthetic methodology for the direct preparation of linear perfluorinated para-sexiphenyl. Both strategies use starting materials that are either commercially available or can be easily accessed using standard literature methods.</t>
  </si>
  <si>
    <t>[Lin, Zheng Sonia; Brusso, Jaclyn] Univ Ottawa, Dept Chem &amp; Biomol Sci, Ottawa, ON, Canada; [Lin, Zheng Sonia; Lessard, Benoit H.] Univ Ottawa, Dept Chem &amp; Biol Engn, Ottawa, ON, Canada; [Lessard, Benoit H.] Univ Ottawa, Sch Elect Engn &amp; Comp Sci, Ottawa, ON, Canada</t>
  </si>
  <si>
    <t>University of Ottawa; University of Ottawa; University of Ottawa</t>
  </si>
  <si>
    <t>Brusso, J (corresponding author), Univ Ottawa, Dept Chem &amp; Biomol Sci, Ottawa, ON, Canada.</t>
  </si>
  <si>
    <t>jbrusso@uottawa.ca</t>
  </si>
  <si>
    <t>; Lessard, Benoit/C-9098-2012</t>
  </si>
  <si>
    <t>Lin, Zheng Sonia/0000-0001-9022-5243; Lessard, Benoit/0000-0002-9863-7039</t>
  </si>
  <si>
    <t>OCT 18</t>
  </si>
  <si>
    <t>10.1080/00397911.2023.2246084</t>
  </si>
  <si>
    <t>R2TX0</t>
  </si>
  <si>
    <t>WOS:001049137300001</t>
  </si>
  <si>
    <t>Liu, WH; Bi, WX; Liu, JH; Yan, MC; Lan, W; Zhang, YH; Wen, W; Li, SM; Yu, M</t>
  </si>
  <si>
    <t>Liu, Wenhui; Bi, Wuxi; Liu, Jianhua; Yan, Maocheng; Lan, Wei; Zhang, Yanhui; Wen, Wen; Li, Songmei; Yu, Mei</t>
  </si>
  <si>
    <t>Hydrogen damage behaviour of X80 steel under high voltage direct current interference</t>
  </si>
  <si>
    <t>MATERIALS SCIENCE AND TECHNOLOGY</t>
  </si>
  <si>
    <t>Hydrogen embrittlement; X80 steel; high voltage direct current interference; sustained loading; SSRT; &gt;</t>
  </si>
  <si>
    <t>STRESS</t>
  </si>
  <si>
    <t>In this paper, the hydrogen damage behaviour of X80 steel under HVDC interference was investigated at different sites and applying voltages. The effect of application of a sustained tensile load during the interference testing on the ductility of steel was also studied. It was found that the interference modestly but consistently reduced the elongation of the steel, with dimples still dominating on the fracture surfaces. Application of a sustained tensile load significantly reduced the ductility of the steel, resulting in cleavage fracture dominant on the fracture surfaces on these samples. It also clearly increased the yield strength of the steel. The test results were explained by hydrogen trapping at dislocations and their retardation effect on dislocation movement during the SSRT.</t>
  </si>
  <si>
    <t>[Liu, Wenhui; Liu, Jianhua; Li, Songmei; Yu, Mei] Beihang Univ, Sch Mat Sci &amp; Engn, Beijing, Peoples R China; [Liu, Wenhui; Bi, Wuxi; Lan, Wei; Zhang, Yanhui; Wen, Wen] PipeChina Inst Sci &amp; Technol, Tianjin, Peoples R China; [Yan, Maocheng] Chinese Acad Sci, Inst Met Res, Shenyang, Peoples R China; [Liu, Jianhua] Beihang Univ, Sch Mat Sci &amp; Engn, Beijing 100191, Peoples R China</t>
  </si>
  <si>
    <t>Beihang University; Chinese Academy of Sciences; Institute of Metal Research, CAS; Beihang University</t>
  </si>
  <si>
    <t>Liu, JH (corresponding author), Beihang Univ, Sch Mat Sci &amp; Engn, Beijing 100191, Peoples R China.</t>
  </si>
  <si>
    <t>liujh@buaa.edu.cn</t>
  </si>
  <si>
    <t>cheng, cheng/JBR-8359-2023; chen, chen/JGD-3057-2023; zhou, yang/JED-3951-2023</t>
  </si>
  <si>
    <t>PipeChina Institute of Science and Technology [20220205]</t>
  </si>
  <si>
    <t>PipeChina Institute of Science and Technology</t>
  </si>
  <si>
    <t>This work was supported by PipeChina Institute of Science and Technology: [Grant Number 20220205].</t>
  </si>
  <si>
    <t>0267-0836</t>
  </si>
  <si>
    <t>1743-2847</t>
  </si>
  <si>
    <t>MATER SCI TECH-LOND</t>
  </si>
  <si>
    <t>Mater. Sci. Technol.</t>
  </si>
  <si>
    <t>10.1080/02670836.2023.2242722</t>
  </si>
  <si>
    <t>P2RF0</t>
  </si>
  <si>
    <t>WOS:001049155800001</t>
  </si>
  <si>
    <t>Tang, GH; Thachil, J; Bowman, M; Bekdache, C; James, PD; Sholzberg, M</t>
  </si>
  <si>
    <t>Tang, Grace H.; Thachil, Jecko; Bowman, Mackenzie; Bekdache, Carine; James, Paula D.; Sholzberg, Michelle</t>
  </si>
  <si>
    <t>Patient-centered care in von Willebrand disease: are we there yet?</t>
  </si>
  <si>
    <t>EXPERT REVIEW OF HEMATOLOGY</t>
  </si>
  <si>
    <t>Von Willebrand disease; Patient care; Barriers to care; Inherited bleeding disorders; Heavy Menstrual Bleeding</t>
  </si>
  <si>
    <t>QUALITY-OF-LIFE; HEMOPHILIA TREATMENT CENTERS; BLEEDING ASSESSMENT-TOOL; WFH 2021 GUIDELINES; FACTOR-VIII; DIAGNOSIS; MANAGEMENT; WOMEN; PROPHYLAXIS; PREVALENCE</t>
  </si>
  <si>
    <t>Introduction: Von Willebrand Disease is the most common inherited bleeding disorder. Paradoxically, affected individuals are often misdiagnosed and experience substantial diagnostic delay. There are sex-specific health disparities in VWD rooted in the stigmatization of vaginal bleeding, which leads to symptom dismissal, lack of timely access to care and lower health-related quality of life.Areas covered: Following the core elements of patient-centered care - respect for patient preferences, values, and needs, we describe the current state of VWD care. Challenges of diagnostic delay, serial misrecognition of abnormal bleeding, and symptom dismissal are barriers that disproportionately affect women with VWD. These negative effects are further amplified in individuals living in low- and middle-income countries. We describe the importance of coordinated multidisciplinary care, as well as the need for patient education and empowered self-advocacy.Expert Opinion: While tremendous work has been done to improve the diagnosis and management of VWD, timely and high-quality research is urgently needed to address care gaps. Systemic changes such as resource investment, dedicated research funding for novel treatment modalities, and effective knowledge translation strategies to address structural barriers are needed to facilitate effective patient-centered care for VWD.</t>
  </si>
  <si>
    <t>[Tang, Grace H.; Bekdache, Carine] St Michaels Hosp, Hematol Oncol Clin Res Grp, Toronto, ON, Canada; [Thachil, Jecko] Manchester Univ Hosp, Dept Hematol, Manchester, England; [Bowman, Mackenzie; James, Paula D.] Queens Univ, Dept Med, Kingston, ON, Canada; [Sholzberg, Michelle] St Michaels Hosp, Dept Med, Lab Med &amp; Pathobiol, Toronto, ON, Canada; [Sholzberg, Michelle] St Michaels Hosp, Li Ka Shing Knowledge Inst, Toronto, ON, Canada; [Sholzberg, Michelle] Univ Toronto, St Michaels Hosp, Li Ka Shing Knowledge Inst, Div Hematol Oncol,Coagulat Lab,Hematol Oncol Clin, 30 Bond St,Room 2-007G Core Lab,Cardinal Carter Wi, Toronto, ON M5B 1W8, Canada</t>
  </si>
  <si>
    <t>Queens University - Canada; University of Toronto; Saint Michaels Hospital Toronto; University of Toronto; Li Ka Shing Knowledge Institute; Saint Michaels Hospital Toronto; University of Toronto; Li Ka Shing Knowledge Institute; Saint Michaels Hospital Toronto</t>
  </si>
  <si>
    <t>Sholzberg, M (corresponding author), Univ Toronto, St Michaels Hosp, Li Ka Shing Knowledge Inst, Div Hematol Oncol,Coagulat Lab,Hematol Oncol Clin, 30 Bond St,Room 2-007G Core Lab,Cardinal Carter Wi, Toronto, ON M5B 1W8, Canada.</t>
  </si>
  <si>
    <t>michelle.sholzberg@unityhealth.to</t>
  </si>
  <si>
    <t>1747-4086</t>
  </si>
  <si>
    <t>1747-4094</t>
  </si>
  <si>
    <t>EXPERT REV HEMATOL</t>
  </si>
  <si>
    <t>Expert Rev. Hematol.</t>
  </si>
  <si>
    <t>10.1080/17474086.2023.2243386</t>
  </si>
  <si>
    <t>P2LA0</t>
  </si>
  <si>
    <t>WOS:001048993600001</t>
  </si>
  <si>
    <t>Wang, M</t>
  </si>
  <si>
    <t>Wang, Min</t>
  </si>
  <si>
    <t>Long-term forecast and policy discussion on China's carbon emissions</t>
  </si>
  <si>
    <t>Carbon emission; Dual carbon; Economic development; Carbon market; &gt;</t>
  </si>
  <si>
    <t>By decomposing the changes of carbon emissions into effects of economic growth, industrial structural change, technological change and energy structure change, the paper firstly discusses the contribution of each effect to China's carbon emission changes between 2020 and 2030, and forecasts China's total carbon emissions in 2030. In particular, the paper strengthens that a decrease in population and a significant slowdown in urbanization will significantly reduce the construction demand, the main driver for high growth of carbon emissions in China, and provide a relatively favorable economic environment for China to achieve carbon peaking by 2030. The paper then discusses on how to achieve the dual carbon goals with the lowest possible economic cost by relying on market and price mechanisms.</t>
  </si>
  <si>
    <t>[Wang, Min] Peking Univ, Natl Sch Dev, Beijing, Peoples R China; [Wang, Min] Peking Univ, Natl Sch Dev, Beijing 100871, Peoples R China</t>
  </si>
  <si>
    <t>Peking University; Peking University</t>
  </si>
  <si>
    <t>Wang, M (corresponding author), Peking Univ, Natl Sch Dev, Beijing 100871, Peoples R China.</t>
  </si>
  <si>
    <t>wangmin@nsd.pku.edu.cn</t>
  </si>
  <si>
    <t>MAY 4</t>
  </si>
  <si>
    <t>10.1080/17538963.2023.2244278</t>
  </si>
  <si>
    <t>R5VV5</t>
  </si>
  <si>
    <t>WOS:001048975900001</t>
  </si>
  <si>
    <t>Ye, QW; Wang, ZH; Huang, R; Liu, HH; Lyu, Y</t>
  </si>
  <si>
    <t>Ye, Qinwen; Wang, Zhaohui; Huang, Rong; Liu, Huanhuan; Lyu, Yingrui</t>
  </si>
  <si>
    <t>Automatic design-preserving virtual garment transfer</t>
  </si>
  <si>
    <t>JOURNAL OF THE TEXTILE INSTITUTE</t>
  </si>
  <si>
    <t>Garment modeling; virtual garment; virtual garment transfer; virtual fitting</t>
  </si>
  <si>
    <t>DEFORMATION TRANSFER</t>
  </si>
  <si>
    <t>Design-preserving garment transfer which can transfer a garment from one body to another is a powerful technique in computer graphics. In this paper, we propose a novel method for automatic design-preserving garment transfer. Firstly, the correspondence between the source garment and the source body is automatically calculated by finding the nearest face's barycenter from the garment to the body. Secondly, the mesh deformation transfer algorithm is utilized to obtain the target garment. After aligning the target garment and body with the ICP algorithm, the virtual fitting result can finally be obtained by fitting the target garment onto the target body. For a new garment worn on the source body, our approach can quickly and effectively transfer the garment to the target body while preserving the designed details. Two experiments were carried out to validate the applicability and effectiveness of our method. The results showed that our method could be applied to different garments for human bodies with different shapes and poses. Additionally, we introduced a new method for evaluating our transferred garments based on similarity and fit. Moreover, our approach can be applied to garments with different particle distances and performs better than the 'Auto grading' technique of CLO 3D. Our proposed method is simple, effective, automated and fast. Therefore, it has a significant potential for improving personalized garment development efficiency.</t>
  </si>
  <si>
    <t>[Ye, Qinwen; Wang, Zhaohui; Liu, Huanhuan; Lyu, Yingrui] Donghua Univ, Coll Fash &amp; Design, Shanghai, Peoples R China; [Ye, Qinwen; Wang, Zhaohui; Liu, Huanhuan; Lyu, Yingrui] Donghua Univ, Key Lab Clothing Design &amp; Technol, Shanghai, Peoples R China; [Ye, Qinwen; Wang, Zhaohui; Liu, Huanhuan; Lyu, Yingrui] Shanghai Belt &amp; Rd Joint Lab Text Intelligent Mfg, Shanghai, Peoples R China; [Huang, Rong] Donghua Univ, Coll Informat Sci &amp; Technol, Shanghai, Peoples R China</t>
  </si>
  <si>
    <t>Donghua University; Donghua University; Donghua University</t>
  </si>
  <si>
    <t>Wang, ZH (corresponding author), Donghua Univ, Coll Fash &amp; Design, Shanghai, Peoples R China.;Wang, ZH (corresponding author), Donghua Univ, Key Lab Clothing Design &amp; Technol, Shanghai, Peoples R China.;Wang, ZH (corresponding author), Shanghai Belt &amp; Rd Joint Lab Text Intelligent Mfg, Shanghai, Peoples R China.</t>
  </si>
  <si>
    <t>wzh_sh2007@dhu.edu.cn</t>
  </si>
  <si>
    <t>National Natural Science Foundation of China [62001099]; International Cooperation Fund of Science and Technology Commission of Shanghai Municipality [21130750100]</t>
  </si>
  <si>
    <t>National Natural Science Foundation of China(National Natural Science Foundation of China (NSFC)); International Cooperation Fund of Science and Technology Commission of Shanghai Municipality</t>
  </si>
  <si>
    <t>This work was supported by National Natural Science Foundation of China [62001099] and International Cooperation Fund of Science and Technology Commission of Shanghai Municipality [21130750100].</t>
  </si>
  <si>
    <t>0040-5000</t>
  </si>
  <si>
    <t>1754-2340</t>
  </si>
  <si>
    <t>J TEXT I</t>
  </si>
  <si>
    <t>J. Text. Inst.</t>
  </si>
  <si>
    <t>10.1080/00405000.2023.2249701</t>
  </si>
  <si>
    <t>Q9AG1</t>
  </si>
  <si>
    <t>WOS:001060366000001</t>
  </si>
  <si>
    <t>Effendi, DE; Handayani, S; Nugroho, AP; Ardani, I; Fitrianti, Y; Karlina, K; Latifah, C</t>
  </si>
  <si>
    <t>Effendi, Diyan Ermawan; Handayani, Sri; Nugroho, Arief Priyo; Ardani, Irfan; Fitrianti, Yunita; Karlina, Karlina; Latifah, Choirum</t>
  </si>
  <si>
    <t>The Significance of Physician-Patient Communication on Telemedicine Patients' Health Outcomes: Evidence from Indonesia</t>
  </si>
  <si>
    <t>HEALTH COMMUNICATION</t>
  </si>
  <si>
    <t>CONSULTATION LENGTH; TELEHEALTH; LITERACY; CARE; DIAGNOSIS; SKILLS</t>
  </si>
  <si>
    <t>The importance of physician-patient communication on patient health outcomes has been globally known. Poor communication in clinical settings, including in telemedicine visits, has been identified as a key barrier to successful medical consultation. This barrier is even more prevalent among people from linguistically and culturally diverse communities. This study investigated the influence of physician-patient communication on telemedicine patient health outcomes in Indonesia, a developing country with great linguistic and cultural diversity. This study utilized secondary data from a telemedicine utilization survey conducted during the coronavirus disease 2019 (COVID-19) pandemic. Socioeconomic factors and communication features were included as predictors of patients' health improvement. Logistic regressions were utilized to examine the significance of the communication features on patients' health. The analysis results indicated that five communication features including the adequacy of consultation length, a timely physician response, the provision of an explanation of the medication and possible side effects, the patient's ability to utter their physical condition and opinion regarding medication goals, and the patient's ability to comprehend physician explanations and instructions were significantly associated with the patient's health outcomes. Physicians and healthcare providers should focus on the provision of communication features revealed in this study to elevate the likelihood of improved health conditions in telemedicine patients.</t>
  </si>
  <si>
    <t>[Effendi, Diyan Ermawan; Handayani, Sri; Nugroho, Arief Priyo; Ardani, Irfan; Fitrianti, Yunita] Natl Res &amp; Innovat Agcy Republ Indonesia, Res Ctr Publ Hlth &amp; Nutr, Bogor, Indonesia; [Karlina, Karlina; Latifah, Choirum] Minist Hlth Republ Indonesia, Hlth Policy Agcy, Jakarta, Indonesia; [Effendi, Diyan Ermawan] Natl Res &amp; Innovat Agcy Republ Indonesia, Res Ctr Publ Hlth &amp; Nutr, Jl JlRaya Jakarta Bogor, Bogor 16915, Indonesia</t>
  </si>
  <si>
    <t>Ministry of Health - Indonesia</t>
  </si>
  <si>
    <t>Effendi, DE (corresponding author), Natl Res &amp; Innovat Agcy Republ Indonesia, Res Ctr Publ Hlth &amp; Nutr, Jl JlRaya Jakarta Bogor, Bogor 16915, Indonesia.</t>
  </si>
  <si>
    <t>diyaneffendi@outlook.com</t>
  </si>
  <si>
    <t>Effendi, Diyan Ermawan/AAQ-8738-2020</t>
  </si>
  <si>
    <t>Effendi, Diyan Ermawan/0000-0002-3930-7021; Nugroho, Arief Priyo/0000-0001-8356-2911</t>
  </si>
  <si>
    <t>Ministry of Health Republic of Indonesia [HK/02.03/1/1800/2020]</t>
  </si>
  <si>
    <t>Ministry of Health Republic of Indonesia</t>
  </si>
  <si>
    <t>This study was funded by the Ministry of Health Republic of Indonesia under grant number [HK/02.03/1/1800/2020].</t>
  </si>
  <si>
    <t>1041-0236</t>
  </si>
  <si>
    <t>1532-7027</t>
  </si>
  <si>
    <t>HEALTH COMMUN</t>
  </si>
  <si>
    <t>Health Commun.</t>
  </si>
  <si>
    <t>2023 AUG 16</t>
  </si>
  <si>
    <t>10.1080/10410236.2023.2247852</t>
  </si>
  <si>
    <t>Communication; Health Policy &amp; Services</t>
  </si>
  <si>
    <t>Communication; Health Care Sciences &amp; Services</t>
  </si>
  <si>
    <t>P2MH6</t>
  </si>
  <si>
    <t>WOS:001049027800001</t>
  </si>
  <si>
    <t>Falikman, M</t>
  </si>
  <si>
    <t>Falikman, Maria</t>
  </si>
  <si>
    <t>Agency, activity, and biocybernetics: On The Evolution of Agency</t>
  </si>
  <si>
    <t>MIND CULTURE AND ACTIVITY</t>
  </si>
  <si>
    <t>DECISION-MAKING</t>
  </si>
  <si>
    <t>[Falikman, Maria] Univ South, Sewanee, TN USA; [Falikman, Maria] Univ South, Dept Psychol, 735 Univ Ave, Sewanee, TN 37383 USA</t>
  </si>
  <si>
    <t>Sewanee: University of the South; Sewanee: University of the South</t>
  </si>
  <si>
    <t>Falikman, M (corresponding author), Univ South, Dept Psychol, 735 Univ Ave, Sewanee, TN 37383 USA.</t>
  </si>
  <si>
    <t>1074-9039</t>
  </si>
  <si>
    <t>1532-7884</t>
  </si>
  <si>
    <t>MIND CULT ACT</t>
  </si>
  <si>
    <t>Mind Cult. Act.</t>
  </si>
  <si>
    <t>JAN 2</t>
  </si>
  <si>
    <t>10.1080/10749039.2023.2246947</t>
  </si>
  <si>
    <t>R4HY7</t>
  </si>
  <si>
    <t>WOS:001050284000001</t>
  </si>
  <si>
    <t>Kankinou, SG; Yildiz, M; Kocak, A</t>
  </si>
  <si>
    <t>Kankinou, Selonou Gautier; Yildiz, Muslum; Kocak, Abdulkadir</t>
  </si>
  <si>
    <t>Exploring potential Plasmodium kinase inhibitors: a combined docking, MD and QSAR studies</t>
  </si>
  <si>
    <t>Antimalaria; protein kinase; molecular dynamic simulations; tanimoto similarity; QSAR</t>
  </si>
  <si>
    <t>MALARIA PARASITE; FALCIPARUM; VIVAX; INFECTIONS; SIMIUM; DIAGNOSIS; CYNOMOLGI; KNOWLESI</t>
  </si>
  <si>
    <t>Malaria is a disease caused mostly by Plasmodium falciparum, affects millions of people each year. The kinases are validated targets for malaria infection. In this study, we investigate for real and hypothetical compounds that can inhibit cyclic guanosine monophosphate (CGMP)-dependent protein kinase using molecular docking via combined similarity analysis, molecular dynamics simulations, quantitative structure activity relationship (QSAR). Using Tanimoto similarity scores, &amp; SIM;8.4 million compounds were screened. Compounds that have at least 70% similarity are used in further analysis. These compounds are assessed by means of docking, MMBPSA, MMGBSA and ANI_LIE. Based on consensus of different free energy methods and docking we revealed two potential inhibitors that can be useful for treatment of malaria. Apart from screening of real compounds, we have also selected the 10 most plausible hypothetical compounds by performing QSAR. By QSAR proposed pharmacophores, we generated over 247 hypothetical compounds and among them 19 molecules with lower QSAR predicted IC50 values and high docking scores were selected for further analysis. We selected the top 10 inhibitor candidates and performed MD simulations for free energy calculations like the protocol applied for real compounds. According to the free energy calculations, we suggest 2 real (C34H29F5N8O4S and C30H27F2N7O2S2, PubChem IDs: 140564801 and 89035196, respectively) and 2 hypothetical (C23H27FN6O2S, MOL3 and C23H25FN6O2S, MOL4) compounds that can be effective inhibitors against the protein kinase of Plasmodium falciparum.Communicated by Ramaswamy H. Sarma</t>
  </si>
  <si>
    <t>[Kankinou, Selonou Gautier; Kocak, Abdulkadir] Gebze Tech Univ, Dept Chem, Kocaeli, Turkiye; [Yildiz, Muslum] Gebze Tech Univ, Dept Mol Biol &amp; Genet, Kocaeli, Turkiye</t>
  </si>
  <si>
    <t>Gebze Technical University; Gebze Technical University</t>
  </si>
  <si>
    <t>Yildiz, M (corresponding author), Gebze Tech Univ, Dept Mol Biol &amp; Genet, Kocaeli, Turkiye.</t>
  </si>
  <si>
    <t>muslum@gtu.edu.tr</t>
  </si>
  <si>
    <t>Tavallaii, Amin/AAF-4105-2019; kankam, samuel berchi/IUQ-1891-2023</t>
  </si>
  <si>
    <t>Tavallaii, Amin/0000-0003-2486-2919; kankam, samuel berchi/0000-0002-1682-160X; Habibi, Zohreh/0000-0002-5771-1167; KANKINOU, SELONOU GAUTIER/0000-0003-3009-2658</t>
  </si>
  <si>
    <t>The numerical calculations reported in this paper were partially performed at TUBITAK ULAKBIM, High Performance and Grid Computing Center (TRUBA resources).</t>
  </si>
  <si>
    <t>AUG 16</t>
  </si>
  <si>
    <t>10.1080/07391102.2023.2249111</t>
  </si>
  <si>
    <t>P9GP1</t>
  </si>
  <si>
    <t>WOS:001053690000001</t>
  </si>
  <si>
    <t>Pakhira, M; Karmakar, A; Chatterjee, DP; Nandi, AK</t>
  </si>
  <si>
    <t>Pakhira, Mahuya; Karmakar, Akashdeep; Chatterjee, Dhruba P.; Nandi, Arun K.</t>
  </si>
  <si>
    <t>Synthesis of carbohydrate based polythiophene graft poly(N,N-dimethylaminoethyl methacrylate)-co-poly(GLU-HEM) copolymer for lectin sensing</t>
  </si>
  <si>
    <t>JOURNAL OF MACROMOLECULAR SCIENCE PART A-PURE AND APPLIED CHEMISTRY</t>
  </si>
  <si>
    <t>Glycopolymer; polythiophene; ATRP; Concanavalin A; absorbance; fluorescence</t>
  </si>
  <si>
    <t>FREE-RADICAL POLYMERIZATION; WELL-DEFINED GLYCOPOLYMER; RAFT POLYMERIZATION; CONJUGATED POLYMER; BLOCK-COPOLYMERS; PH; COMPLEXATION; HYDROGELS; BEHAVIOR; SOLVENT</t>
  </si>
  <si>
    <t>Sensing of lectins are utmost necessary for its inflammatory, digestive disorder, gut pains and toxicity to human beings and for this purpose we have chosen polythiophene (PT) for its exciting optoelectronic properties. Because of precise carbohydrate specificities of lectin and to make PT water soluble for sensing of lectin, we have synthesized polythiophene-g-poly(N,N-dimethylaminoethyl methacrylate)-co-poly(glucose-hydroxyethyl methacrylate) (PT-g-pDMAEMA-co-pGLUHEM), [PTDG]) from polythiophene macroinitiator (PTI) by copolymerizing DMAEMA and GLU-HEM monomers mixture with CuCl/HMTETA catalyst/ligand followed by hydrolysis using alcoholic NaOMe solution. The M-n of PTI was 38000, polydispersity 2.5, head-tail (H-T) regioregularity 70 mol % and M-n of unhydrolyzed PTDG is 98,900. The UV-Vis spectra of PTDG solution shows two absorption peaks at 430 and 462 nm but it shows a sharp emission peak at 544 nm which quenches with increasing pH. Concanavalin A (ConA) shows an absorbance peak at 278 nm and with addition of PTDG solution absorbance intensity increases showing hypochromic effect. Benesi-Hildebrand plot of reciprocal molar extinction coefficients with concentration suggests 1:1 complex formation between PTDG and ConA. With addition of ConA fluorescence quenching of PTDG solution occurred and using the fluorescence intensity ratio vs concentration plot the limit of detection (LOD) of Con A lectin is found to be 57 mg/L and storing the polymer solution for two months exhibits good durability. The morphology of PTDG changes from vesicle to compound micellar aggregate on addition of Con A lectin.</t>
  </si>
  <si>
    <t>[Pakhira, Mahuya; Karmakar, Akashdeep; Nandi, Arun K.] Indian Assoc Cultivat Sci, Sch Mat Sci, Polymer Sci Unit, Kolkata 700032, India; [Chatterjee, Dhruba P.] Presidency Univ, Dept Chem, Kolkata, India</t>
  </si>
  <si>
    <t>Department of Science &amp; Technology (India); Indian Association for the Cultivation of Science (IACS) - Jadavpur; Presidency University, Kolkata</t>
  </si>
  <si>
    <t>Nandi, AK (corresponding author), Indian Assoc Cultivat Sci, Sch Mat Sci, Polymer Sci Unit, Kolkata 700032, India.</t>
  </si>
  <si>
    <t>psuakn@iacs.res.in</t>
  </si>
  <si>
    <t>We gratefully acknowledge CSIR, New Delhi (ES: (21(1055)/18-EMR-II) for financial support. Mahuya Pakhira acknowledges, UGC New Delhi, respectively for her fellowship.; CSIR, New Delhi; UGC New Delhi; [21(1055)/18-EMR-II]</t>
  </si>
  <si>
    <t>We gratefully acknowledge CSIR, New Delhi (ES: (21(1055)/18-EMR-II) for financial support. Mahuya Pakhira acknowledges, UGC New Delhi, respectively for her fellowship.; CSIR, New Delhi(Council of Scientific &amp; Industrial Research (CSIR) - India); UGC New Delhi(University Grants Commission, India);</t>
  </si>
  <si>
    <t>We gratefully acknowledge CSIR, New Delhi (ES: (21(1055)/18-EMR-II) for financial support. Mahuya Pakhira acknowledges, UGC New Delhi, respectively for her fellowship.</t>
  </si>
  <si>
    <t>1060-1325</t>
  </si>
  <si>
    <t>1520-5738</t>
  </si>
  <si>
    <t>J MACROMOL SCI A</t>
  </si>
  <si>
    <t>J. Macromol. Sci. Part A-Pure Appl. Chem.</t>
  </si>
  <si>
    <t>10.1080/10601325.2023.2249032</t>
  </si>
  <si>
    <t>P9FX0</t>
  </si>
  <si>
    <t>WOS:001053671900001</t>
  </si>
  <si>
    <t>Rahmadhani, TP; Heikal, MH</t>
  </si>
  <si>
    <t>Rahmadhani, Tia Panca; Heikal, Muhammad Husein</t>
  </si>
  <si>
    <t>China and the Indo-Pacific: Maneuvers and manifestations</t>
  </si>
  <si>
    <t>EURASIAN GEOGRAPHY AND ECONOMICS</t>
  </si>
  <si>
    <t>[Rahmadhani, Tia Panca; Heikal, Muhammad Husein] Padjadjaran State Univ, Bandung, Indonesia</t>
  </si>
  <si>
    <t>Universitas Padjadjaran</t>
  </si>
  <si>
    <t>Heikal, MH (corresponding author), Padjadjaran State Univ, Bandung, Indonesia.</t>
  </si>
  <si>
    <t>muhammad21441@mail.unpad.ac.id</t>
  </si>
  <si>
    <t>RAHMADHANI, TIA PANCA/0000-0002-4684-5194</t>
  </si>
  <si>
    <t>1538-7216</t>
  </si>
  <si>
    <t>1938-2863</t>
  </si>
  <si>
    <t>EURASIAN GEOGR ECON</t>
  </si>
  <si>
    <t>Eurasian Geogr. Econ.</t>
  </si>
  <si>
    <t>10.1080/15387216.2023.2247419</t>
  </si>
  <si>
    <t>Area Studies; Geography</t>
  </si>
  <si>
    <t>P2KE3</t>
  </si>
  <si>
    <t>WOS:001048971700001</t>
  </si>
  <si>
    <t>Angelakis, A; Inwinkl, P; Berndt, A; Ozturkcan, S; Zelenajova, A; Rozkopal, V</t>
  </si>
  <si>
    <t>Angelakis, Angelos; Inwinkl, Petra; Berndt, Adele; Ozturkcan, Selcen; Zelenajova, Anna; Rozkopal, Veronika</t>
  </si>
  <si>
    <t>Gender differences in leaders' crisis communication: a sentiment-based analysis of German higher education leaderships' online posts</t>
  </si>
  <si>
    <t>Leadership; crises communication; gender; public university; Germany; HEI; &gt;</t>
  </si>
  <si>
    <t>TRANSACTIONAL LEADERSHIP; FEMALE; WOMEN; STYLES; MEN; METAANALYSIS; STEREOTYPES; AUSTRALIA; PREJUDICE; BUSINESS</t>
  </si>
  <si>
    <t>This study examined the communication styles of rectors and vice-rectors of German public universities during the COVID-19 pandemic to explore the influence of gender on leadership communication. We collected data from social media and university websites; and analysed the language used to identify transformational, transactional, and servant leadership styles. Our results showed that female leaders demonstrated more positive communication than men and a stronger preference for transformational leadership, while male leaders tended to use a transactional style. Additionally, we found that both male and female leaders exhibited a high degree of empathetic concern for their stakeholders, contributing to the overall positive tone of communication. These findings suggest that gender may play a role in how university leaders communicate during times of crisis, highlighting the importance of inclusive and compassionate leadership in higher education.</t>
  </si>
  <si>
    <t>[Angelakis, Angelos; Inwinkl, Petra; Zelenajova, Anna; Rozkopal, Veronika] Univ Vienna, Fac Business Econ &amp; Stat, Vienna, Austria; [Berndt, Adele] Jonkoping Univ, Jonkoping Int Business Sch, Media Management &amp; Transformat Ctr, Jonkoping, Sweden; [Berndt, Adele] Univ Pretoria, Gordon Inst Business Sci, Johannesburg, South Africa; [Ozturkcan, Selcen] Linnaeus Univ, Sch Business &amp; Econ, Vaxjo, Sweden; [Ozturkcan, Selcen] Sabanci Univ, Sabanci Business Sch, Tuzla, Turkiye; [Ozturkcan, Selcen] INTI Int Univ, Nilai, Malaysia; [Ozturkcan, Selcen] Linnaeus Univ, Sch Business &amp; Econ, Univ Platsen 1, S-35252 Vaxjo, Sweden</t>
  </si>
  <si>
    <t>University of Vienna; Jonkoping University; University of Pretoria; Linnaeus University; Sabanci University; INTI International University; Linnaeus University</t>
  </si>
  <si>
    <t>Ozturkcan, S (corresponding author), Linnaeus Univ, Sch Business &amp; Econ, Univ Platsen 1, S-35252 Vaxjo, Sweden.</t>
  </si>
  <si>
    <t>selcen@sabanciuniv.edu</t>
  </si>
  <si>
    <t>Ozturkcan, Selcen/B-7157-2018</t>
  </si>
  <si>
    <t>Ozturkcan, Selcen/0000-0003-2248-0802</t>
  </si>
  <si>
    <t>2023 AUG 15</t>
  </si>
  <si>
    <t>10.1080/03075079.2023.2246505</t>
  </si>
  <si>
    <t>P0XF8</t>
  </si>
  <si>
    <t>WOS:001047948700001</t>
  </si>
  <si>
    <t>Daghistani, F; Baghbani, A; Naga, HA</t>
  </si>
  <si>
    <t>Daghistani, Firas; Baghbani, Abolfazl; Naga, Hossam Abuel</t>
  </si>
  <si>
    <t>Shear strength characteristics of binary mixture sand-carpet fibre using experimental study and machine learning</t>
  </si>
  <si>
    <t>INTERNATIONAL JOURNAL OF GEOTECHNICAL ENGINEERING</t>
  </si>
  <si>
    <t>Direct shear; shear strength; sand; carpet fibre; waste material; machine learning; &gt;</t>
  </si>
  <si>
    <t>ARTIFICIAL NEURAL-NETWORK; SOIL REINFORCEMENT</t>
  </si>
  <si>
    <t>Mixing carpet fibre in sand offers great potential for enhancing soil properties. In this study, direct shear tests were conducted on two different sands mixed with varying carpet fibre percentages to investigate the effects on soil strength, stiffness, and deformation. Artificial intelligence techniques were used to analyse the data and develop predictive models, including an empirical equation that predicts the shear strength. The results showed that the addition of carpet fibre improved soil properties, with increased strength, stiffness, and reduced deformation. The AI models, including the empirical equation, accurately predicted the mixture's shear strength. Furthermore, this study investigated the importance of each input parameter in predicting the mixture's shear strength. The input parameters are normal stress, void ratio, mean particle size, and the ratio of carpet fibre content to specific gravity. According to the results, normal stress is the most important parameter, and mean particle size is the least important.</t>
  </si>
  <si>
    <t>[Daghistani, Firas; Naga, Hossam Abuel] La Trobe Univ, Dept Civil Engn, Bundoora, Vic 3086, Australia; [Daghistani, Firas] Univ Business &amp; Technol, Civil Engn Dept, Jeddah, Saudi Arabia; [Baghbani, Abolfazl] Deakin Univ, Sch Engn, Geelong, Australia</t>
  </si>
  <si>
    <t>La Trobe University; University of Business &amp; Technology; Deakin University</t>
  </si>
  <si>
    <t>Daghistani, F (corresponding author), La Trobe Univ, Dept Civil Engn, Bundoora, Vic 3086, Australia.</t>
  </si>
  <si>
    <t>F.daghistani@latrobe.edu.au</t>
  </si>
  <si>
    <t>Daghistani, Firas/IXX-1383-2023</t>
  </si>
  <si>
    <t>1938-6362</t>
  </si>
  <si>
    <t>1939-7879</t>
  </si>
  <si>
    <t>INT J GEOTECH ENG</t>
  </si>
  <si>
    <t>Int. J. Geotech. Eng.</t>
  </si>
  <si>
    <t>10.1080/19386362.2023.2246247</t>
  </si>
  <si>
    <t>Engineering, Geological</t>
  </si>
  <si>
    <t>P4HS3</t>
  </si>
  <si>
    <t>WOS:001050278500001</t>
  </si>
  <si>
    <t>Duvnjak, A; Dent, A</t>
  </si>
  <si>
    <t>Duvnjak, Angella; Dent, Ashleigh</t>
  </si>
  <si>
    <t>The Consideration of Animals Within Australian Social Work Curriculum</t>
  </si>
  <si>
    <t>AUSTRALIAN SOCIAL WORK</t>
  </si>
  <si>
    <t>Social Work Education; Animal Welfare; Animal Rights; Wellbeing; Human Welfare; Human-Animal Relations; Social Justice; Societal Attitudes; Australia; Nonhuman Animals; Ethical Consideration; &gt;</t>
  </si>
  <si>
    <t>SPECIESISM; PREJUDICE; HUMANS; ROOTS</t>
  </si>
  <si>
    <t>There is growing impetus for social work to move beyond a human-centric social justice orientation to include the consideration of animals. Social work programs in Australia are currently not required to include content related to animals within the curricula and little is known about the extent to which this content is currently being taught in Australia. The aim of this study was to explore how consideration of human-animal relations has been incorporated into Australian social work programs. Fifteen social work educators were surveyed with three of these participants also undertaking semistructured interviews. The findings revealed that where animal-related content was included it predominantly took an instrumental or anthropocentric focus related solely to human wellbeing. Exceptions to this focus were found to exist within some ethics and theory units under topics such as green social work. Participants report barriers to including such content citing factors related to challenges within the university context and the perceived relative importance of other topics within a crowded social work curriculum. Despite an upsurge in interest in animal-related content reflected in the literature and a broader shift in societal attitudes towards animals, the findings of this small study indicate that Australian social work curriculum currently does not reflect this increasing interest.IMPLICATIONSAs a social justice-oriented profession social work has an ethical responsibility to expand its focus to include consideration of human-animal relations within the Australian social work curriculum.There is evidence that inclusion of content related to animals is limited and is often a reflection of the educator's commitment and passion for the topic rather than curriculum priorities or requirements.Further research is needed to gain a better understanding of the extent to which human-animal relations content is included within Australian social work curriculum and what barriers may exist to its inclusion.</t>
  </si>
  <si>
    <t>[Duvnjak, Angella] Australian Catholic Univ, Fac Hlth Sci, Brisbane, Qld, Australia; [Dent, Ashleigh] Griffith Univ, Fac Hlth, Meadowbrook, Australia</t>
  </si>
  <si>
    <t>Australian Catholic University; Griffith University</t>
  </si>
  <si>
    <t>Duvnjak, A (corresponding author), Australian Catholic Univ, Fac Hlth Sci, Brisbane, Qld, Australia.</t>
  </si>
  <si>
    <t>angella.duvnjak@acu.edu.au</t>
  </si>
  <si>
    <t>0312-407X</t>
  </si>
  <si>
    <t>1447-0748</t>
  </si>
  <si>
    <t>AUST SOC WORK</t>
  </si>
  <si>
    <t>Aust. Soc. Work</t>
  </si>
  <si>
    <t>10.1080/0312407X.2023.2238697</t>
  </si>
  <si>
    <t>P0XE6</t>
  </si>
  <si>
    <t>WOS:001047947500001</t>
  </si>
  <si>
    <t>Fourie, A; Blaauw, D; De Villiers, V</t>
  </si>
  <si>
    <t>Fourie, Alicia; Blaauw, Derick; De Villiers, Vickey</t>
  </si>
  <si>
    <t>'It's a disaster, nobody is coming': International travel bans' effect on Cape Town's informal traders</t>
  </si>
  <si>
    <t>DEVELOPMENT SOUTHERN AFRICA</t>
  </si>
  <si>
    <t>Informal traders; informal sector; informal employment; tourism; COVID-19; &gt;</t>
  </si>
  <si>
    <t>SOUTH-AFRICA; VULNERABILITY; RESILIENCE; EMPLOYMENT; LINKAGES; VENDORS; ECONOMY; SECTOR</t>
  </si>
  <si>
    <t>The COVID-19 crisis has been one of the most significant events in recent history. Informal traders who depend on a thriving tourist market have been especially vulnerable to COVID-19. The resultant travel bans affected South Africa's tourism-related informal economic activities. The aim of this study was to determine the effects of the pandemic on informal traders' livelihoods and resilience in Cape Town, South Africa. Tourists have always constituted a large proportion of informal traders' customer base. They are often willing and able to spend more than locals. The impact of travel bans on traders' income, profit margins, and livelihoods has been disastrous. However, many traders have shown commendable resilience. There were obviously limits to the effectiveness of their mitigating strategies. There is an urgent need (from a social justice and a pure economic perspective) for further relief and assistance to supplement street traders' efforts to survive as international tourism recovers.</t>
  </si>
  <si>
    <t>[Fourie, Alicia] Univ Pretoria, Gordon Inst Business Sci GIBS, Johannesburg, South Africa; [Blaauw, Derick; De Villiers, Vickey] North West Univ, Sch Econ Sci, Potchefstroom, South Africa</t>
  </si>
  <si>
    <t>University of Pretoria; North West University - South Africa</t>
  </si>
  <si>
    <t>Blaauw, D (corresponding author), North West Univ, Sch Econ Sci, Potchefstroom, South Africa.</t>
  </si>
  <si>
    <t>derick.blaauw@nwu.ac.za</t>
  </si>
  <si>
    <t>Blaauw, Derick/0000-0001-8750-4946</t>
  </si>
  <si>
    <t>0376-835X</t>
  </si>
  <si>
    <t>1470-3637</t>
  </si>
  <si>
    <t>DEV SO AFR</t>
  </si>
  <si>
    <t>Dev. South. Afr.</t>
  </si>
  <si>
    <t>10.1080/0376835X.2023.2244530</t>
  </si>
  <si>
    <t>Development Studies; Regional &amp; Urban Planning</t>
  </si>
  <si>
    <t>Development Studies; Public Administration</t>
  </si>
  <si>
    <t>P2LR0</t>
  </si>
  <si>
    <t>WOS:001049010600001</t>
  </si>
  <si>
    <t>Qin, Y; Wei, XF; Liu, JX; Liang, YC; Zhang, GJ</t>
  </si>
  <si>
    <t>Qin, Yuan; Wei, Xiao-Feng; Liu, Ji-Xuan; Liang, Yongcheng; Zhang, Guo-Jun</t>
  </si>
  <si>
    <t>From stoichiometric to non-stoichiometric high-entropy carbide: a case study of hafnium addition</t>
  </si>
  <si>
    <t>ADVANCES IN APPLIED CERAMICS</t>
  </si>
  <si>
    <t>High-entropy carbides; carbon vacancies; microstructure; thermal conductivity; &gt;</t>
  </si>
  <si>
    <t>LATTICE THERMAL-CONDUCTIVITY; CERAMICS</t>
  </si>
  <si>
    <t>High-entropy carbide (Ti0.2xZr0.2xHf0.2x + (1-x)Nb0.2xTa0.2x)C-x (HEC-(1-x)Hf, x = 0.6-1) ceramics with 0-40 at.% nominal carbon vacancy were prepared by adding metal Hf into (Ti0.2Zr0.2Hf0.2Nb0.2Ta0.2)C (HEC) as a case study. The samples prepared by spark plasma sintering at 2000(o)C exhibit relative densities higher than 99%, single-phase rock salt structure, and homogeneous metal elements distribution. Their lattice parameters increase gradually with the added Hf content. The lattice parameter of HEC-0.4Hf is 0.86% higher than HEC's. The average grain size of the samples decreased initially, followed by an increase as Hf content increased, which is controlled by the comprehensive effect of Hf addition and carbon vacancy. The thermal conductivities of the samples decrease with the increase of Hf addition. HEC-0.4Hf has a very low thermal conductivity of 5.6 W/m &amp; BULL;K at room temperature, which decreases 67.8% compared to HEC. The increased phonon scattering by the carbon vacancies can be the main reason for the reduced thermal conductivity.</t>
  </si>
  <si>
    <t>[Qin, Yuan; Wei, Xiao-Feng; Liu, Ji-Xuan; Liang, Yongcheng; Zhang, Guo-Jun] Donghua Univ, Inst Funct Mat, Coll Mat Sci &amp; Engn, Coll Sci,State Key Lab Modificat Chem Fibers &amp; Pol, Shanghai, Peoples R China; [Liu, Ji-Xuan; Zhang, Guo-Jun] Donghua Univ, Inst Funct Mat, State Key Lab Modificat Chem Fibers &amp; Polymer Mat, Coll Sci,Coll Mat Sci &amp; Engn, Shanghai 201620, Peoples R China</t>
  </si>
  <si>
    <t>Donghua University; Donghua University</t>
  </si>
  <si>
    <t>Liu, JX; Zhang, GJ (corresponding author), Donghua Univ, Inst Funct Mat, State Key Lab Modificat Chem Fibers &amp; Polymer Mat, Coll Sci,Coll Mat Sci &amp; Engn, Shanghai 201620, Peoples R China.</t>
  </si>
  <si>
    <t>jxliu@dhu.edu.cn; gjzhang@dhu.edu.cn</t>
  </si>
  <si>
    <t>Liu, Ji-Xuan/U-9149-2019</t>
  </si>
  <si>
    <t>Liu, Ji-Xuan/0000-0001-7177-8088; Liang, Yongcheng/0000-0002-3708-2076</t>
  </si>
  <si>
    <t>National Natural Science Foundation of China [52032001, 52211540004]; Fundamental Research Funds for the Central Universities [2232021A-01]; Graduate Student Innovation Fund of Donghua University [CUSF-DH-D-2023009]</t>
  </si>
  <si>
    <t>National Natural Science Foundation of China(National Natural Science Foundation of China (NSFC)); Fundamental Research Funds for the Central Universities(Fundamental Research Funds for the Central Universities); Graduate Student Innovation Fund of Donghua University</t>
  </si>
  <si>
    <t>The present work was financially supported by the National Natural Science Foundation of China (No. 52032001, 52211540004) and the Fundamental Research Funds for the Central Universities (2232021A-01) and Graduate Student Innovation Fund of Donghua University (CUSF-DH-D-2023009).</t>
  </si>
  <si>
    <t>1743-6753</t>
  </si>
  <si>
    <t>1743-6761</t>
  </si>
  <si>
    <t>ADV APPL CERAM</t>
  </si>
  <si>
    <t>Adv. Appl. Ceram.</t>
  </si>
  <si>
    <t>10.1080/17436753.2023.2243120</t>
  </si>
  <si>
    <t>Materials Science, Ceramics</t>
  </si>
  <si>
    <t>P2QT0</t>
  </si>
  <si>
    <t>WOS:001049143700001</t>
  </si>
  <si>
    <t>Stolyarchuk, V</t>
  </si>
  <si>
    <t>Stolyarchuk, Valentyna</t>
  </si>
  <si>
    <t>Creative approach to the accommodation industry recovery under changing conditions: a multimethodological intervention</t>
  </si>
  <si>
    <t>Hospitality resumption; biomimicry; mind mapping; case study; nature-based accommodation services; &gt;</t>
  </si>
  <si>
    <t>ECOSYSTEM SERVICES; DESIGN</t>
  </si>
  <si>
    <t>This study intends to give an impulse to scientists and support to practitioners in order to address both problems of a recovery of the accommodation business under changing conditions and an engagement of the hospitality guests in the interaction with nature. A multimethodological intervention has given a deeper insight into the relationship between both fields: theory and hospitality practice. Based on the study result, the model of the inventive process is proposed to facilitate a flexible finding of a solution to an accommodation business recovery under changing conditions. A series of practical cases are presented to confirm this possibility and show the hotel owners and managers how suggested approach could be used in hospitality practice.</t>
  </si>
  <si>
    <t>[Stolyarchuk, Valentyna] Poltava Univ Econ &amp; Trade PUET, Dept Hotel Restaurant &amp; Resort Business, Poltava, Ukraine</t>
  </si>
  <si>
    <t>Stolyarchuk, V (corresponding author), Poltava Univ Econ &amp; Trade PUET, Dept Hotel Restaurant &amp; Resort Business, Poltava, Ukraine.</t>
  </si>
  <si>
    <t>w_stol@yahoo.com</t>
  </si>
  <si>
    <t>Stolyarchuk, Valentyna/ACT-4772-2022</t>
  </si>
  <si>
    <t>Stolyarchuk, Valentyna/0000-0001-6543-9020</t>
  </si>
  <si>
    <t>10.1080/13683500.2023.2242558</t>
  </si>
  <si>
    <t>P0XN3</t>
  </si>
  <si>
    <t>WOS:001047956200001</t>
  </si>
  <si>
    <t>Henningham, M</t>
  </si>
  <si>
    <t>Henningham, Mandy</t>
  </si>
  <si>
    <t>Nowhere to bi: Barriers to belonging in the broader LGBTQ?+?community for Aboriginal bi?+?people in Australia</t>
  </si>
  <si>
    <t>JOURNAL OF LESBIAN STUDIES</t>
  </si>
  <si>
    <t>Indigenous; bisexual; LGBTIQA; queer; bi-erasure</t>
  </si>
  <si>
    <t>MENTAL-HEALTH; QUEER; EXPERIENCES; GAY; PEOPLE; GENDER; MARGINALISATION; INVISIBILITY; APPEARANCE; IDENTITIES</t>
  </si>
  <si>
    <t>Having a multiplicity of identities not only makes it difficult to find inclusive spaces for Aboriginal bisexual+ (bi) people but may often be a barrier to building connections and relationships with people who have other queer identities. Bi + identities alone are often rendered invisible, unintelligible or erased when it comes to inclusion and solidarity among their peers. An intersectional lens is used to reflexively investigate existing literature to explore how a lack of solidarity among lateral communities may impact Aboriginal bi + people in Australia who face an array of racism and queerphobia from both LGBTQ + and Aboriginal communities. These unique and multifaceted layers of discrimination greatly impact mental health and wellbeing. These experiences stem from the heterosexist and monosexist status quo from heteropatriarchal settler colonialism that is seen in both Aboriginal and LGBTQ + communities respectively. As a result, Aboriginal queer people are constantly surveying risks, policing their own identities and identity expression, often hiding parts of their identity as a survival strategy to avoid rejection and adhere to dominant cultural norms. When specifically considering Aboriginal bi + identities, there are added unique stressors of lateral violence with other LGBTQ + groups, antibisexual prejudice, and assumed monosexuality, adding additional layers of minority stress. The author explores these experiences by extending upon borderland theory and minority stress models. Whilst there is solace in the holistic celebration of intersecting identities in emerging intersectional Aboriginal queer spaces, there is still a great need for solidarity and celebration of Aboriginal bi + people within the broader LGBTQ + community.</t>
  </si>
  <si>
    <t>[Henningham, Mandy] Univ Sydney, Fac Arts &amp; Social Sci, Dept Sociol &amp; Social Policy, Sydney, NSW, Australia</t>
  </si>
  <si>
    <t>Henningham, M (corresponding author), Univ Sydney, Fac Arts &amp; Social Sci, Dept Sociol &amp; Social Policy, Sydney, NSW, Australia.</t>
  </si>
  <si>
    <t>mandy.henningham@sydney.edu.au</t>
  </si>
  <si>
    <t>Henningham, Mandy/0000-0002-0080-4370</t>
  </si>
  <si>
    <t>1089-4160</t>
  </si>
  <si>
    <t>1540-3548</t>
  </si>
  <si>
    <t>J LESBIAN STUD</t>
  </si>
  <si>
    <t>J. Lesbian Stud.</t>
  </si>
  <si>
    <t>2023 AUG 14</t>
  </si>
  <si>
    <t>10.1080/10894160.2023.2233339</t>
  </si>
  <si>
    <t>Q3YM6</t>
  </si>
  <si>
    <t>WOS:001056907900001</t>
  </si>
  <si>
    <t>Wahlstrom, KL; Ekeloef, S; Goegenur, I; Munster, AMB</t>
  </si>
  <si>
    <t>Wahlstrom, Kirsten L.; Ekeloef, Sarah; Goegenur, Ismail; Munster, Anna-Marie B.</t>
  </si>
  <si>
    <t>Myocardial injury after non-cardiac surgery and per operative fibrin metabolism in patients undergoing hip-fracture surgery: an observational study</t>
  </si>
  <si>
    <t>Surgery; myocardial ischemia; orthopedic surgery; fibrin; blood coagulation; &gt;</t>
  </si>
  <si>
    <t>PROTHROMBIN FRAGMENT 1+2; D-DIMER; THROMBIN GENERATION; CLOT STRUCTURE; PLASMINOGEN-ACTIVATOR; CARDIAC EVENTS; SHORT-TERM; MARKERS; COAGULATION; INFARCTION</t>
  </si>
  <si>
    <t>Myocardial injury after non-cardiac surgery (MINS) is associated with a 2-3-fold increased risk of subsequent major cardiovascular events and postoperative mortality. The pathological mechanism behind MINS is not fully uncovered. We hypothesized that patients with MINS following hip fracture surgery would have an altered haemostatic balance pre- and postoperative compared with patients without MINS. This was investigated in a prospective single-centre observational study including patients consecutively. The outcomes were changes in thrombin generation, fibrinogen/fibrin turnover, tissue plasminogen activator, plasminogen activator inhibitor-1 and fibrin structure measurements in patients developing MINS and patients who did not. Outcomes were measured preoperatively and two hours postoperatively. Seventy-two patients were included whereof 26 (36%) patients developed MINS. D-dimer delta values were significantly higher in patients developing MINS than in patients who did not (p = 0.01). After adjusting for age, sex, smoking, alcohol abuse, atrial fibrillation, anticoagulant medication preoperative CRP, preoperative creatinine and duration of surgery, the association remained significant (p = 0.04). There were no significant changes in thrombin generation, in markers of fibrinogen/fibrin turnover besides D-dimer, or in fibrin structure measurements pre- and postoperatively between patients with and without MINS. As such, a relationship between the coagulative and fibrinolytic activity and MINS cannot be ruled out in patients with MINS after hip fracture surgery.Registration: The study was an observational sub-study to a multicentre randomised clinical trial registered at ClinicalTrials.gov (NCT02344797)</t>
  </si>
  <si>
    <t>[Wahlstrom, Kirsten L.; Ekeloef, Sarah; Goegenur, Ismail] Zealand Univ Hosp, Ctr Surg Sci, Dept Surg, Koge, Denmark; [Goegenur, Ismail] Univ Copenhagen, Inst Clin Med, Copenhagen, Denmark; [Munster, Anna-Marie B.] Univ Southern Denmark, Dept Reg Hlth Res, Unit Thrombosis Res, Odense, Denmark; [Munster, Anna-Marie B.] Reg Hosp West Jutland, Dept Clin Biochem, Holstebro, Denmark; [Wahlstrom, Kirsten L.] Zealand Univ Hosp, Ctr Surg Sci, Dept Surg, lykkebaekvej 1, DK-4600 Koge, Denmark</t>
  </si>
  <si>
    <t>University of Copenhagen; University of Southern Denmark</t>
  </si>
  <si>
    <t>Wahlstrom, KL (corresponding author), Zealand Univ Hosp, Ctr Surg Sci, Dept Surg, lykkebaekvej 1, DK-4600 Koge, Denmark.</t>
  </si>
  <si>
    <t>kwah@regionsjaelland.dk</t>
  </si>
  <si>
    <t>Ekeloef, Sarah/0000-0003-2532-4063; Munster, Anna-Marie Bloch/0000-0002-3398-3977</t>
  </si>
  <si>
    <t>10.1080/00365513.2023.2220970</t>
  </si>
  <si>
    <t>P1RF9</t>
  </si>
  <si>
    <t>WOS:001048476800001</t>
  </si>
  <si>
    <t>Zhang, YJ; Wang, ZY; Zhang, S; Wang, LJ; Zhang, ZX; Zeng, XQ; Zhang, YL; Shen, GD</t>
  </si>
  <si>
    <t>Zhang, Yongjun; Wang, Zeyou; Zhang, Shan; Wang, Lijun; Zhang, Zixuan; Zeng, Xiaoqing; Zhang, Yalin; Shen, Guodong</t>
  </si>
  <si>
    <t>Palladium-copper catalyzed decarboxylation/de-cycloalkanonylative coupling reaction to synthesize 9,9-diaryl-xanthenes</t>
  </si>
  <si>
    <t>C-C bond cleavage; C-H bond activation; C-C bond reformation; decarboxylation; de-cycloalkanonylative coupling; 9; 9-diaryl-xanthenes; palladium-copper catalyzed; &gt;</t>
  </si>
  <si>
    <t>ACTIVATION</t>
  </si>
  <si>
    <t>An efficient palladium-copper catalyzed regioselective C-C bond cleavage/C-H bond activation/C-C bond reformation reaction to synthesize 9,9-diaryl-xanthenes has been developed. A variety of 9,9-diaryl-xanthenes were synthesized in moderate to good yields by 9H-xanthene-9-carboxylic acid/2-(9H-xanthen-9-yl)-cycloketones and aromatics bearing electron-donating functional groups through the decarboxylation/de-cycloalkanonylative coupling reactions.</t>
  </si>
  <si>
    <t>[Zhang, Yongjun; Zhang, Shan; Wang, Lijun; Zhang, Zixuan; Zeng, Xiaoqing; Zhang, Yalin; Shen, Guodong] Liaocheng Univ, Sch Chem &amp; Chem Engn, Shandong Prov Key Lab Chem Energy Storage &amp; Novel, Liaocheng, Shandong, Peoples R China; [Wang, Zeyou] Dalian Univ Technol, State Key Lab Fine Chem, Dalian, Liaoning, Peoples R China; [Zhang, Yalin; Shen, Guodong] Liaocheng Univ, Liaocheng, Shandong, Peoples R China</t>
  </si>
  <si>
    <t>Liaocheng University; Dalian University of Technology; Liaocheng University</t>
  </si>
  <si>
    <t>Zhang, YL; Shen, GD (corresponding author), Liaocheng Univ, Liaocheng, Shandong, Peoples R China.</t>
  </si>
  <si>
    <t>zhangyalin@lcu.edu.cn; shenguodong33@163.com</t>
  </si>
  <si>
    <t>Zhang, Yongjun/ABA-5054-2021</t>
  </si>
  <si>
    <t>Zhang, Yongjun/0000-0002-8265-925X</t>
  </si>
  <si>
    <t>Natural Science Foundation of Shandong Province [ZR2019QB022]; Doctoral Scientific Research Startup Foundation of Liaocheng University [31805403]; College Students' Innovation and Entrepreneurship Training Program of Liaocheng University [CXCY2022190]</t>
  </si>
  <si>
    <t>Natural Science Foundation of Shandong Province(Natural Science Foundation of Shandong Province); Doctoral Scientific Research Startup Foundation of Liaocheng University; College Students' Innovation and Entrepreneurship Training Program of Liaocheng University</t>
  </si>
  <si>
    <t>This work was financially supported by the Natural Science Foundation of Shandong Province (ZR2019QB022), the Doctoral Scientific Research Startup Foundation of Liaocheng University (No. 31805403) and the College Students' Innovation and Entrepreneurship Training Program of Liaocheng University (CXCY2022190).</t>
  </si>
  <si>
    <t>10.1080/00397911.2023.2246086</t>
  </si>
  <si>
    <t>WOS:001047650800001</t>
  </si>
  <si>
    <t>Kumar, KG; Prakasha, DG; Naik, LS; Saeed, WS; Afzal, A</t>
  </si>
  <si>
    <t>Ganesh Kumar, K.; Prakasha, D. G.; Naik, Lal Sing; Saeed, Waseem Sharaf; Afzal, Aqeel</t>
  </si>
  <si>
    <t>Developed by Koo and Kleinstreuter model, the time-dependent Blasius-Rayleigh-Stokes flow and melting heat transfer over a semi-infinite hot plate</t>
  </si>
  <si>
    <t>INTERNATIONAL JOURNAL OF MODELLING AND SIMULATION</t>
  </si>
  <si>
    <t>Semi-infinite hot plate; melting effect; Koo and Kleinstreuer; Blasius-Rayleigh-Stokes flow</t>
  </si>
  <si>
    <t>STRETCHING SURFACE; THERMAL-RADIATION; MIXED CONVECTION; BOUNDARY-LAYER; FLUID-FLOW; NANOFLUID; GENERATION</t>
  </si>
  <si>
    <t>The present study investigates a Blasius-Rayleigh-Stokes flow with melting heat transfer across a semi-infinite hot plate. The base fluid included SAE50 motor oil, and the nanoparticle was zinc oxide (ZnO). The similarity variable is used to convert the nonlinear differential equations to ODEs. The RKF-45 MATLAB algorithm is used to solve these nonlinear equations numerically. In order to demonstrate the effect of the many variables in the issue, the findings are shown visually. Different parameters on fluid velocity and energy profiles may be offered in graphs for the nanofluid phase (ZnO+SAE50) and the fluid phase, which show the effects on physical aspects of fluid behaviour. Measurements of physical properties are recorded and observed. With the addition of base fluid, the nanofluid (ZnO+SAE50) becomes more effective. Moreover, it is also observed that the higher $Ec$Ec values benefit from a boost from the temperature field. Additionally, the thickness of the momentum layer is lowered for values of $\omega $? that are rapidly rising. Greater $Pr$Pr is made possible by an increase in thermal layer thickness as a result of melting.</t>
  </si>
  <si>
    <t>[Ganesh Kumar, K.] Nitte Univ, NMAM Inst Technol, Dept Math, Karkala 574110, Karnataka, India; [Prakasha, D. G.; Naik, Lal Sing] Davangere Univ, Dept Math, Davangere, Karnataka, India; [Saeed, Waseem Sharaf] King Saud Univ, Coll Dent, Dept Restorat Dent, Riyadh, Saudi Arabia; [Afzal, Aqeel] Univ Galway, Sch Nat Sci, Phys, Ryan Inst,Ctr Climate &amp; Air Pollut Studies, Galway, Ireland</t>
  </si>
  <si>
    <t>NITTE (Deemed to be University); NMAM Institute of Technology; Davanagere University; King Saud University; Ollscoil na Gaillimhe-University of Galway</t>
  </si>
  <si>
    <t>Kumar, KG (corresponding author), Nitte Univ, NMAM Inst Technol, Dept Math, Karkala 574110, Karnataka, India.</t>
  </si>
  <si>
    <t>ganikganesh@gmail.com</t>
  </si>
  <si>
    <t>Saeed, Waseem Sharaf/GRS-7916-2022</t>
  </si>
  <si>
    <t>Saeed, Waseem Sharaf/0000-0002-5254-5665</t>
  </si>
  <si>
    <t>King Saud University, Riyadh, Saudi Arabia [RSPD2023R755]</t>
  </si>
  <si>
    <t>King Saud University, Riyadh, Saudi Arabia(King Saud University)</t>
  </si>
  <si>
    <t>The authors would like to extend their sincere appreciation to the Researchers Supporting Project number (RSPD2023R755), King Saud University, Riyadh, Saudi Arabia.References</t>
  </si>
  <si>
    <t>0228-6203</t>
  </si>
  <si>
    <t>1925-7082</t>
  </si>
  <si>
    <t>INT J MODEL SIMUL</t>
  </si>
  <si>
    <t>Int. J. Model Simul.</t>
  </si>
  <si>
    <t>2023 AUG 13</t>
  </si>
  <si>
    <t>10.1080/02286203.2023.2246849</t>
  </si>
  <si>
    <t>P2LE9</t>
  </si>
  <si>
    <t>WOS:001048998500001</t>
  </si>
  <si>
    <t>McNealey, RL; Ghazi-Tehrani, A</t>
  </si>
  <si>
    <t>McNealey, Rachel L.; Ghazi-Tehrani, Adam</t>
  </si>
  <si>
    <t>Risky digital behavior or risky digital places? Victimization risk perception and evaluation on the internet</t>
  </si>
  <si>
    <t>JOURNAL OF CRIME &amp; JUSTICE</t>
  </si>
  <si>
    <t>Cybervictimization; fear of crime; risk perception; digital criminology; &gt;</t>
  </si>
  <si>
    <t>THEFT VICTIMIZATION; PERCEIVED RISK; IDENTITY THEFT; CRIME RISK; FEAR</t>
  </si>
  <si>
    <t>This study applies context-based approaches to victimization risk perception in digital spaces. Vignettes are randomly assigned to a convenience sample of internet users and analyzed to determine how digital location and user behavior affects perceived likelihood of malware victimization and objective risk evaluation. Means-differences tests between conjoint treatment groups show statistically significant differences on all dependent variables between respondents who received high risk site/high risk behavior scenarios and those who received low risk site/low risk behavior scenarios. Internet users' risk perception is affected both by location in digital space and user behavior, but these effects vary when measured in a conjoint scenario. In the context of online victimization, the findings suggest that internet users' risk perceptions are influenced by behavior regardless of location. This conclusion supports prior research suggesting that digital victimology should examine specific behaviors on the internet such as information-sharing, rather than types of websites visited, to better understand how individuals navigate victimization risk in digital space.</t>
  </si>
  <si>
    <t>[McNealey, Rachel L.] Michigan State Univ, Sch Criminal Justice, Lansing, MI 48824 USA; [Ghazi-Tehrani, Adam] Univ Alabama, Dept Criminol &amp; Criminal Justice, Tuscaloosa, AL USA</t>
  </si>
  <si>
    <t>Michigan State University; University of Alabama System; University of Alabama Tuscaloosa</t>
  </si>
  <si>
    <t>McNealey, RL (corresponding author), Michigan State Univ, Sch Criminal Justice, Lansing, MI 48824 USA.</t>
  </si>
  <si>
    <t>mcnealey@msu.edu</t>
  </si>
  <si>
    <t>0735-648X</t>
  </si>
  <si>
    <t>2158-9119</t>
  </si>
  <si>
    <t>J CRIME JUSTICE</t>
  </si>
  <si>
    <t>J. Crime Justice</t>
  </si>
  <si>
    <t>10.1080/0735648X.2023.2244927</t>
  </si>
  <si>
    <t>Criminology &amp; Penology; Law</t>
  </si>
  <si>
    <t>Criminology &amp; Penology; Government &amp; Law</t>
  </si>
  <si>
    <t>P0VQ0</t>
  </si>
  <si>
    <t>WOS:001047906500001</t>
  </si>
  <si>
    <t>Nakao, N; Sanami, T; Kajimoto, T; Yashima, H; Froeschl, R; Bozzato, D; Iliopoulou, E; Infantino, A; Lee, EJ; Oyama, T; Hagiwara, M; Nagaguro, S; Matsumoto, T; Masuda, A; Uwamino, Y; Devienne, A; Pozzi, F; Tisi, M; Lorenzon, T; Menaa, N; Vincke, H; Roesler, S; Brugger, M</t>
  </si>
  <si>
    <t>Nakao, Noriaki; Sanami, Toshiya; Kajimoto, Tsuyoshi; Yashima, Hiroshi; Froeschl, Robert; Bozzato, Davide; Iliopoulou, Elpida; Infantino, Angelo; Lee, Eunji; Oyama, Takahiro; Hagiwara, Masayuki; Nagaguro, Seiji; Matsumoto, Tetsuro; Masuda, Akihiko; Uwamino, Yoshitomo; Devienne, Arnaud; Pozzi, Fabio; Tisi, Marco; Lorenzon, Tommaso; Menaa, Nabil; Vincke, Heinz; Roesler, Stefan; Brugger, Markus</t>
  </si>
  <si>
    <t>Measurement and simulations of high-energy neutrons through a various thickness of concrete and steel shields using activation detectors at CHARM and CSBF</t>
  </si>
  <si>
    <t>activation detector; shielding; attenuation length; benchmark; Monte Carlo; FLUKA; PHITS; GEANT4; &gt;</t>
  </si>
  <si>
    <t>PROTON ACCELERATORS; 68-MEV PROTONS; BEAM; SPECTRA; IRON; TRANSMISSION; TARGET; 43-MEV</t>
  </si>
  <si>
    <t>A shielding experiment using activation detectors was performed at the CERN High-energy AcceleRator Mixed-field (CHARM) facility and the CERN Shielding Benchmark Facility (CSBF). The protons (24 GeV/c) were bombarded into a 50-cm-thick copper target, and the released neutrons were transmitted through various shields located vertically upward from the target. Ordinary concrete slabs of 40- to 160-cm thicknesses and steel slabs of 20- to 80-cm thicknesses were installed by changing the material and the thickness of the shield. Activation detectors of bismuth, indium, aluminum, and graphite were variously placed in these shields and activated by high energy neutrons. From the radionuclide production rate in the activation detectors, the attenuation profiles through the various shielding materials were obtained for the reactions of Bi-209(n,xn)Bi210-x(x = 4-9), In-115(n,n')In-115m, Al-27(n,&amp; alpha;)Na-24, and C-12(n,2n)C-11. Estimated attenuation lengths of high energy neutrons through concrete and steel were compared with cited data and discussed. Monte Carlo simulations using FLUKA, PHITS, and GEANT4 were also performed as benchmark calculations, and they agreed with the experimental data, generally within a factor of 2.</t>
  </si>
  <si>
    <t>[Nakao, Noriaki; Uwamino, Yoshitomo] Shimizu Corp, Inst Technol, 3-4-7 Etchujima,Koto Ku, Tokyo, 1358530, Japan; [Sanami, Toshiya; Oyama, Takahiro; Hagiwara, Masayuki; Nagaguro, Seiji] High Energy Accelerator Res Org KEK, Radiat Sci Ctr, Tsukuba, Ibaraki, Japan; [Kajimoto, Tsuyoshi] Hiroshima Univ, Grad Sch Adv Sci &amp; Engn, Hiroshima, Japan; [Yashima, Hiroshi] Kyoto Univ Inst Integrated Radiat &amp; Nucl Sci KURNS, Osaka, Japan; [Froeschl, Robert; Bozzato, Davide; Iliopoulou, Elpida; Infantino, Angelo; Devienne, Arnaud; Pozzi, Fabio; Tisi, Marco; Lorenzon, Tommaso; Menaa, Nabil; Vincke, Heinz; Roesler, Stefan; Brugger, Markus] CERN, Radiat Protect Grp, Geneva, Switzerland; [Lee, Eunji] Kyushu Univ, Dept Appl Quantum Phys &amp; Nucl Engn, Fukuoka, Japan; [Matsumoto, Tetsuro; Masuda, Akihiko] Natl Inst Adv Ind Sci &amp; Technol, Natl Metrol Inst Japan NMIJ, Ibaraki, Japan</t>
  </si>
  <si>
    <t>Shimizu Corporation; High Energy Accelerator Research Organization (KEK); Hiroshima University; European Organization for Nuclear Research (CERN); Kyushu University; National Metrology Institute of Japan; National Institute of Advanced Industrial Science &amp; Technology (AIST)</t>
  </si>
  <si>
    <t>Nakao, N (corresponding author), Shimizu Corp, Inst Technol, 3-4-7 Etchujima,Koto Ku, Tokyo, 1358530, Japan.</t>
  </si>
  <si>
    <t>noriaki.nakao@shimz.co.jp</t>
  </si>
  <si>
    <t>Infantino, Angelo/0000-0002-7854-3502</t>
  </si>
  <si>
    <t>10.1080/00223131.2023.2239243</t>
  </si>
  <si>
    <t>P0MM8</t>
  </si>
  <si>
    <t>WOS:001047668200001</t>
  </si>
  <si>
    <t>Verma, SK</t>
  </si>
  <si>
    <t>Verma, Shashi Kant</t>
  </si>
  <si>
    <t>Thermal-Hydraulic Aspects of an Extruder for Tracer-Encapsulated Cryogenic Pellet: A Research and Historical Perspective</t>
  </si>
  <si>
    <t>FUSION SCIENCE AND TECHNOLOGY</t>
  </si>
  <si>
    <t>Tracer; mixing index; residence time distribution; cryogenic; computational fluid dynamics; &gt;</t>
  </si>
  <si>
    <t>MIXING PERFORMANCE; SCREW; FLOW</t>
  </si>
  <si>
    <t>Impurity behavior is investigated in the form of a single or multispecies pellet in a variety of fusion devices like Stellarator TJ-II, Large Helical Device, Experimental Advanced Superconducting Tokamak (EAST), etc. The impurity intentionally injected from the exterior into plasma is called a tracer impurity. The tracer can be used to trace the fluid path. This study aims to provide impurity elements used in polymer and fusion research by different researchers as well as present the progress of eminent activities with recent progress. The effects on plasma performance due to impurity injection are discussed. The impurity behavior in the plasma core is comprehensively investigated by the researchers, but their works are very limited in the cryogenic environment. As a substitute to this way, extrusion of a pellet made from a mixture of solid hydrogen and tracer element can be useful for fueling the fusion machine. Some of the mathematical models and equations assist to determine the various parameters in extrusion of the tracer mixed pellet. Investigation of the behavior of an impurity in hydrogen ice extrusion from a twin-screw extruder is crucial with respect to cryogenic restrictions.</t>
  </si>
  <si>
    <t>[Verma, Shashi Kant] Natl Inst Technol Durgapur, Durgapur 713209, W Bengal, India</t>
  </si>
  <si>
    <t>National Institute of Technology (NIT System); National Institute of Technology Durgapur</t>
  </si>
  <si>
    <t>Verma, SK (corresponding author), Natl Inst Technol Durgapur, Durgapur 713209, W Bengal, India.</t>
  </si>
  <si>
    <t>mailme.shashi09@gmail.com</t>
  </si>
  <si>
    <t>1536-1055</t>
  </si>
  <si>
    <t>1943-7641</t>
  </si>
  <si>
    <t>FUSION SCI TECHNOL</t>
  </si>
  <si>
    <t>Fusion Sci. Technol.</t>
  </si>
  <si>
    <t>10.1080/15361055.2023.2227839</t>
  </si>
  <si>
    <t>O8VE8</t>
  </si>
  <si>
    <t>WOS:001046533600001</t>
  </si>
  <si>
    <t>Wu, WP; Linli, LV</t>
  </si>
  <si>
    <t>Wu, Weiping; Linli, L., V</t>
  </si>
  <si>
    <t>Partnerships in Education: Risks in Transdisciplinary Educational Research</t>
  </si>
  <si>
    <t>JOURNAL OF EDUCATION FOR TEACHING</t>
  </si>
  <si>
    <t>[Wu, Weiping; Linli, L., V] Wuhan Univ Technol, Sch Foreign Languages, Wuhan, Peoples R China</t>
  </si>
  <si>
    <t>Wuhan University of Technology</t>
  </si>
  <si>
    <t>Wu, WP (corresponding author), Wuhan Univ Technol, Sch Foreign Languages, Wuhan, Peoples R China.</t>
  </si>
  <si>
    <t>2558374437@qq.com</t>
  </si>
  <si>
    <t>0260-7476</t>
  </si>
  <si>
    <t>1360-0540</t>
  </si>
  <si>
    <t>J EDUC TEACHING</t>
  </si>
  <si>
    <t>J. Educ. Teach.</t>
  </si>
  <si>
    <t>10.1080/02607476.2023.2247346</t>
  </si>
  <si>
    <t>P1RU3</t>
  </si>
  <si>
    <t>WOS:001048491700001</t>
  </si>
  <si>
    <t>Bollas, A</t>
  </si>
  <si>
    <t>Bollas, Angelos</t>
  </si>
  <si>
    <t>Hegemonic Monosexuality</t>
  </si>
  <si>
    <t>JOURNAL OF BISEXUALITY</t>
  </si>
  <si>
    <t>Monosexuality; hegemony; bisexuality; sexualized governmentalities; plurisexuality; &gt;</t>
  </si>
  <si>
    <t>BISEXUAL INDIVIDUALS</t>
  </si>
  <si>
    <t>Recent scholarly work has focused on the erasure and mistreatment of bisexuality in histories of sexuality. Such erasure is not only observed in academic work but also in the lived experiences of people who identify as plurisexuals. The present paper brings together studies on bisexuality, hegemony, and sexual politics to explain the discursively produced demarcation between sexualities and forms of sexual expression, and it supports a focus on monosexuality as a theoretical construct that productively addresses issues of discrimination and marginalization that people identifying as plurisexuals endure. What is put forward and challenged through this paper is the functional potential of monosexuality to maintain a sociodicy whereby the nuclear family and its contingent material implications remain not only unchallenged and normative but also inevitable.</t>
  </si>
  <si>
    <t>[Bollas, Angelos] Dublin City Univ, Sch Commun, Dublin, Ireland</t>
  </si>
  <si>
    <t>Dublin City University</t>
  </si>
  <si>
    <t>Bollas, A (corresponding author), Dublin City Univ, Sch Commun, Dublin, Ireland.</t>
  </si>
  <si>
    <t>angelos.bollas@dcu.ie</t>
  </si>
  <si>
    <t>Bollas, Angelos/0000-0002-2594-8215</t>
  </si>
  <si>
    <t>1529-9716</t>
  </si>
  <si>
    <t>1529-9724</t>
  </si>
  <si>
    <t>J BISEXUALITY</t>
  </si>
  <si>
    <t>J. Bisexuality</t>
  </si>
  <si>
    <t>2023 AUG 12</t>
  </si>
  <si>
    <t>10.1080/15299716.2023.2248126</t>
  </si>
  <si>
    <t>P3NW5</t>
  </si>
  <si>
    <t>WOS:001049753700001</t>
  </si>
  <si>
    <t>Gonzalez, KRA; Gil-Villegas, A; Figueroa-Gerstenmaier, S</t>
  </si>
  <si>
    <t>Gonzalez, Kevin R. Arriola R.; Gil-Villegas, Alejandro; Figueroa-Gerstenmaier, Susana</t>
  </si>
  <si>
    <t>Quantum effects of hydrogen storage in e and d semicrystalline phases of syndiotactic polystyrene through adsorption</t>
  </si>
  <si>
    <t>Hydrogen; adsorption isotherms; Monte Carlo; molecular dynamics; Wigner-Kirkwood theory</t>
  </si>
  <si>
    <t>DYNAMICS; FLUIDS; STATE; DELTA</t>
  </si>
  <si>
    <t>Syndiotactic polystyrene (sPS) is a stereoregular semicrystalline polymer which presents complex polymorphic behaviour and has been explored as an alternative for hydrogen storage using adsorp-tion. The methodology of gas retention using a light and cheap porous material offers many advantages. To establish the adsorption capacity of a specific material, adsorption isotherms are generally measured. However, to gain a better understanding of the underlying phenomena occur-ring at a nanoscale level (e.g. confined interactions of H-2 in sPS) and, moreover, as a predictive tool, alternative methods such as molecular simulations are required. In this work, we present Grand Canonical Monte Carlo simulation results for hydrogen (H-2) adsorption isotherms of (5 and e phases of sPS. H-2 molecule was described as a 1-site model with Lennard-Jones and Exp-6 potentials, within the Wigner-Kirkwood mean-field approximation to introduce quantum corrections. Both polymer phases were modelled using an atomistic force field and the initial configurations were relaxed using molecular dynamics for temperatures T = 45 K, 60 K and 77 K. Adsorption isotherms for each system were obtained for both classical and semiclassical potentials. Additionally, adsorption isotherms for both phases were compared with experimental adsorption data at 77 K from previous work.</t>
  </si>
  <si>
    <t>[Gonzalez, Kevin R. Arriola R.; Gil-Villegas, Alejandro; Figueroa-Gerstenmaier, Susana] Univ Guanajuato, Div Ciencias Ingenieras, Campus Leon,Lomas Bosque 103, Leon 37150, Guanajuato, Mexico</t>
  </si>
  <si>
    <t>Universidad de Guanajuato</t>
  </si>
  <si>
    <t>Figueroa-Gerstenmaier, S (corresponding author), Univ Guanajuato, Div Ciencias Ingenieras, Campus Leon,Lomas Bosque 103, Leon 37150, Guanajuato, Mexico.</t>
  </si>
  <si>
    <t>sfigueroa@ugto.mx</t>
  </si>
  <si>
    <t>University of Guanajuato, Direccion de Investigacion y Posgrado [CIIC 151/2022, 250/2023]; LANCAD/CONACyT on the supercomputer Miztli at DGTIC UNAM; CONACyT [819666]</t>
  </si>
  <si>
    <t>University of Guanajuato, Direccion de Investigacion y Posgrado; LANCAD/CONACyT on the supercomputer Miztli at DGTIC UNAM; CONACyT(Consejo Nacional de Ciencia y Tecnologia (CONACyT))</t>
  </si>
  <si>
    <t>We acknowledge support from the University of Guanajuato, Direccion de Investigacion y Posgrado (grant CIIC 151/2022 and 250/2023). Also, we gratefully acknowledge the computing time granted by LANCAD/CONACyT on the supercomputer Miztli at DGTIC UNAM. We thank CONACyT for Kevin R. Arriola Gonzalez's PhD scholarship, number 819666.</t>
  </si>
  <si>
    <t>10.1080/00268976.2023.2244611</t>
  </si>
  <si>
    <t>P3VJ5</t>
  </si>
  <si>
    <t>WOS:001049950800001</t>
  </si>
  <si>
    <t>Jones, I; Davies, B</t>
  </si>
  <si>
    <t>Jones, Ian; Davies, Ben</t>
  </si>
  <si>
    <t>Comparative judgement in education research</t>
  </si>
  <si>
    <t>INTERNATIONAL JOURNAL OF RESEARCH &amp; METHOD IN EDUCATION</t>
  </si>
  <si>
    <t>Comparative judgement; measurement; reliability; validity; &gt;</t>
  </si>
  <si>
    <t>Educational researchers often need to construct precise and reliable measurement scales of complex and varied representations such as participants' written work, videoed lesson segments and policy documents. Developing such scales using can be resource-intensive and time-consuming, and the outcomes are not always reliable. Here we present alternative methods based on comparative judgement (CJ) that have been growing in popularity over recent years. We consider the contexts in which CJ-based methods are appropriate before describing in detail what they are and how they can be applied to construct measurement scales in a range of educational research contexts. We also provide an overview to evaluating the reliability and validity of the resultant measurement scales.</t>
  </si>
  <si>
    <t>[Jones, Ian] Loughborough Univ, Dept Math Educ, Loughborough, England; [Davies, Ben] Univ Southampton, Educ Sch, Southampton, Hants, England</t>
  </si>
  <si>
    <t>Loughborough University; University of Southampton</t>
  </si>
  <si>
    <t>Jones, I (corresponding author), Loughborough Univ, Dept Math Educ, Loughborough, England.</t>
  </si>
  <si>
    <t>i.jones@lboro.ac.uk</t>
  </si>
  <si>
    <t>1743-727X</t>
  </si>
  <si>
    <t>1743-7288</t>
  </si>
  <si>
    <t>INT J RES METHOD EDU</t>
  </si>
  <si>
    <t>Int. J. Res. Method Educ.</t>
  </si>
  <si>
    <t>10.1080/1743727X.2023.2242273</t>
  </si>
  <si>
    <t>O8WT3</t>
  </si>
  <si>
    <t>Green Published, Green Submitted, hybrid</t>
  </si>
  <si>
    <t>WOS:001046575000001</t>
  </si>
  <si>
    <t>Li, HQ; Zhang, XF; Jiang, WA; Ding, H; Chen, LQ; Bi, QS</t>
  </si>
  <si>
    <t>Li, H. Q.; Zhang, X. F.; Jiang, W. A.; Ding, H.; Chen, L. Q.; Bi, Q. S.</t>
  </si>
  <si>
    <t>Bursting oscillation of simply supported fluid-conveying pipes</t>
  </si>
  <si>
    <t>SHIPS AND OFFSHORE STRUCTURES</t>
  </si>
  <si>
    <t>Bursting oscillations; fluid-conveying pipes; multiple-frequency; nonlinearity; &gt;</t>
  </si>
  <si>
    <t>FAST-SLOW ANALYSIS; NONLINEAR OSCILLATION; DYNAMIC STABILITY; VIBRATION; SYSTEM; CYLINDER; MODEL; FLOW</t>
  </si>
  <si>
    <t>The main purpose of this article is to explore an originality multiple-frequency bursting of simply-supported fluid-conveying pipes with initial micro-bending shape under different low-frequency excitation conditions. Based on the Galerkin's method and the fast-slow dynamics analysis method, rich vibration phenomena are observed with different excitation conditions, and the multi-valued characteristics are verified by the domain of attraction. The results demonstrate that low-frequency excitation can cause complex dynamical phenomena of the fluid-conveying pipes.</t>
  </si>
  <si>
    <t>[Li, H. Q.; Zhang, X. F.; Jiang, W. A.; Bi, Q. S.] Jiangsu Univ, Fac Civil Engn &amp; Mech, Zhenjiang, Jiangsu, Peoples R China; [Ding, H.; Chen, L. Q.] Shanghai Univ, Sch Mech &amp; Engn Sci, Shanghai, Peoples R China</t>
  </si>
  <si>
    <t>Jiangsu University; Shanghai University</t>
  </si>
  <si>
    <t>Jiang, WA (corresponding author), Jiangsu Univ, Fac Civil Engn &amp; Mech, Zhenjiang 212013, Jiangsu, Peoples R China.</t>
  </si>
  <si>
    <t>wajiang@ujs.edu.cn</t>
  </si>
  <si>
    <t>Jiang, Wen-An/U-4121-2019</t>
  </si>
  <si>
    <t>Jiang, Wen-An/0000-0001-8994-2579</t>
  </si>
  <si>
    <t>National Science Fund for Distinguished Young Scholars [12025204]; National Natural Science Foundation of China [11872188]</t>
  </si>
  <si>
    <t>National Science Fund for Distinguished Young Scholars(National Natural Science Foundation of China (NSFC)National Science Fund for Distinguished Young Scholars); National Natural Science Foundation of China(National Natural Science Foundation of China (NSFC))</t>
  </si>
  <si>
    <t>This work was supported by the National Science Fund for Distinguished Young Scholars: [Grant Number 12025204]; National Natural Science Foundation of China: [Grant Number 11872188].</t>
  </si>
  <si>
    <t>1744-5302</t>
  </si>
  <si>
    <t>1754-212X</t>
  </si>
  <si>
    <t>SHIPS OFFSHORE STRUC</t>
  </si>
  <si>
    <t>Ships Offshore Struct.</t>
  </si>
  <si>
    <t>10.1080/17445302.2023.2246183</t>
  </si>
  <si>
    <t>Engineering, Marine</t>
  </si>
  <si>
    <t>P1RX8</t>
  </si>
  <si>
    <t>WOS:001048495300001</t>
  </si>
  <si>
    <t>Madsen, KD</t>
  </si>
  <si>
    <t>Madsen, Kenneth D. D.</t>
  </si>
  <si>
    <t>Indigenous sovereignty and Tohono O'odham efforts to impact US-Mexico border security</t>
  </si>
  <si>
    <t>LATIN AMERICAN AND CARIBBEAN ETHNIC STUDIES</t>
  </si>
  <si>
    <t>borders; border security; boundary barriers; Tohono O'odham; sovereignty; waivers</t>
  </si>
  <si>
    <t>MIGRATION; LAW</t>
  </si>
  <si>
    <t>As national demands for security came to override the concerns of border communities more decisively in recent decades, local input in areas such as land use, the environment, and civil rights has been concomitantly diminished. Under the George W. Bush Administration in the U.S. this trend culminated in congressional authorization for and Department of Homeland Security (DHS) execution of legal waivers to push through the construction of new border barriers. Ultimately, DHS voluntarily complied with many components of the waived laws. Still, by exercising Indigenous sovereignty, the Tohono O'odham Nation of southern Arizona pushed back against these waivers to require compliance with laws that had been dismissed. In the Trump era, additional and upgraded border barriers bypassed the Tohono O'odham Nation, but construction took place on nearby traditional territory, illustrating the enduring if tentative role of Indigenous sovereignty in this context. As a cross-border group, the Tohono O'odham are concerned about both the dramatic increase of external policing on their lands and the erosion of contact with tribal members in Mexico, which from an Indigenous perspective is increasingly difficult to traverse and manage.</t>
  </si>
  <si>
    <t>[Madsen, Kenneth D. D.] Ohio State Univ, Dept Geog, 1179 Univ Dr, Newark, OH 43055 USA</t>
  </si>
  <si>
    <t>University System of Ohio; Ohio State University</t>
  </si>
  <si>
    <t>Madsen, KD (corresponding author), Ohio State Univ, Dept Geog, 1179 Univ Dr, Newark, OH 43055 USA.</t>
  </si>
  <si>
    <t>madsen.34@osu.edu</t>
  </si>
  <si>
    <t>Madsen, Kenneth/A-7632-2010</t>
  </si>
  <si>
    <t>Madsen, Kenneth/0000-0002-9025-405X</t>
  </si>
  <si>
    <t>1744-2222</t>
  </si>
  <si>
    <t>1744-2230</t>
  </si>
  <si>
    <t>LAT AM CARIBB ETHN S</t>
  </si>
  <si>
    <t>Lat. Am. Caribb. Ethn. Stud.</t>
  </si>
  <si>
    <t>10.1080/17442222.2023.2227023</t>
  </si>
  <si>
    <t>Ethnic Studies</t>
  </si>
  <si>
    <t>P0LW9</t>
  </si>
  <si>
    <t>WOS:001047652300001</t>
  </si>
  <si>
    <t>Martins, A; Gomes, S; Pacheco, L; Martins, H</t>
  </si>
  <si>
    <t>Martins, Adelaide; Gomes, Sofia; Pacheco, Luis; Martins, Helena</t>
  </si>
  <si>
    <t>Higher education students' perceptions of accounting online learning: the emergency context of the COVID-19 pandemic</t>
  </si>
  <si>
    <t>ACCOUNTING EDUCATION</t>
  </si>
  <si>
    <t>Emergency remote teaching; online teaching-learning process; accounting education; COVID-19; higher education; &gt;</t>
  </si>
  <si>
    <t>STRUCTURAL EQUATION MODELS; PERFORMANCE; COURSES; SATISFACTION; EXPERIENCES; ENVIRONMENT; ENGAGEMENT; INDICATORS; CHALLENGES; IMPACT</t>
  </si>
  <si>
    <t>Emergency remote teaching (ERT) through online learning was adopted by the higher education system worldwide to provide students with ongoing education during the Covid-19 pandemic. This paper explores students' perceptions of the functioning of online classes during the ERT period and how these perceptions influenced their accounting teaching-learning process. A questionnaire was applied to management and economics students, enrolled in a Portuguese HEI, within the context of accounting course units. Applying the PLS method, a theoretical model was estimated. Our results suggest that HEIs should invest in easy access to online teaching platforms and conferencing systems and to promote collaborative and interactive learning. Since ERT contexts may become increasingly recurrent, online learning should provide students with appealing online classes, as part of an engaging educational experience. This study contributes to a research agenda on the impact of a disruptive event on the accounting teaching-learning process in a specific cultural setting.</t>
  </si>
  <si>
    <t>[Martins, Adelaide] Univ Porto, Fac Econ, CEF UP, Porto, Portugal; [Gomes, Sofia; Pacheco, Luis] Portucalense Univ, Res Econ Management &amp; Informat Technol, REMIT, Porto, Portugal; [Martins, Helena] ISCAP, CEOS PP, Porto, Portugal; [Martins, Helena] Inst Politecn Setubal, Escola Super Ciencias Empresariais, Setubal, Portugal; [Martins, Helena] Nova Sch Business &amp; Econ, Carcavelos, Portugal</t>
  </si>
  <si>
    <t>Universidade do Porto; Universidade Portucalense Infante D. Henrique; Instituto Politecnico do Porto; Instituto Politecnico de Setubal; Universidade Nova de Lisboa</t>
  </si>
  <si>
    <t>Martins, A (corresponding author), Univ Porto, Fac Econ, CEF UP, Porto, Portugal.</t>
  </si>
  <si>
    <t>afmartins@fep.up.pt</t>
  </si>
  <si>
    <t>Martins, Helena/ABK-8986-2022; Pacheco, Luís/E-5193-2010; Gomes, Sofia/AAX-9149-2021</t>
  </si>
  <si>
    <t>Martins, Helena/0000-0002-0749-917X; Pacheco, Luís/0000-0002-9066-6441; Gomes, Sofia/0000-0002-0326-0655</t>
  </si>
  <si>
    <t>Portuguese public funds through FCT - Fundacao para a Ciencia e a Tecnologia, I.P. [UIDB/04105/2020, UIDB/05105/2020, UIDB/05422/2020]</t>
  </si>
  <si>
    <t>Portuguese public funds through FCT - Fundacao para a Ciencia e a Tecnologia, I.P.(Fundacao para a Ciencia e a Tecnologia (FCT))</t>
  </si>
  <si>
    <t>This research was supported by Portuguese public funds through FCT - Fundacao para a Ciencia e a Tecnologia, I.P., in the framework of the project with reference UIDB/04105/2020 and also under the project grants UIDB/05105/2020 and UIDB/05422/2020.</t>
  </si>
  <si>
    <t>0963-9284</t>
  </si>
  <si>
    <t>1468-4489</t>
  </si>
  <si>
    <t>ACCOUNT EDUC</t>
  </si>
  <si>
    <t>Account. Educ.</t>
  </si>
  <si>
    <t>10.1080/09639284.2023.2244947</t>
  </si>
  <si>
    <t>O8XG9</t>
  </si>
  <si>
    <t>WOS:001046588700001</t>
  </si>
  <si>
    <t>Mututa, A</t>
  </si>
  <si>
    <t>Mututa, Addamms</t>
  </si>
  <si>
    <t>Corrupted: A Study of Chronic Dysfunction in South African Universities</t>
  </si>
  <si>
    <t>CRITICAL ARTS-SOUTH-NORTH CULTURAL AND MEDIA STUDIES</t>
  </si>
  <si>
    <t>[Mututa, Addamms] Univ Johannesburg, Johannesburg, South Africa</t>
  </si>
  <si>
    <t>University of Johannesburg</t>
  </si>
  <si>
    <t>Mututa, A (corresponding author), Univ Johannesburg, Johannesburg, South Africa.</t>
  </si>
  <si>
    <t>addamms.mututa@gmail.com</t>
  </si>
  <si>
    <t>0256-0046</t>
  </si>
  <si>
    <t>1992-6049</t>
  </si>
  <si>
    <t>CRIT ARTS</t>
  </si>
  <si>
    <t>Crit. Arts</t>
  </si>
  <si>
    <t>10.1080/02560046.2023.2244546</t>
  </si>
  <si>
    <t>Cultural Studies</t>
  </si>
  <si>
    <t>P1RX3</t>
  </si>
  <si>
    <t>WOS:001048494800001</t>
  </si>
  <si>
    <t>Nelson, C; Mandrusiak, A; Forbes, R</t>
  </si>
  <si>
    <t>Nelson, Curtley; Mandrusiak, Allison; Forbes, Roma</t>
  </si>
  <si>
    <t>Embarking on a cultural journey: a qualitative study of new graduate physiotherapists' experiences of working in First Nations Australian health settings</t>
  </si>
  <si>
    <t>PHYSIOTHERAPY THEORY AND PRACTICE</t>
  </si>
  <si>
    <t>First Nations Australians; First Nations Peoples; indigenous; qualitative; physiotherapy; new graduate; &gt;</t>
  </si>
  <si>
    <t>IntroductionInternationally, there is growing momentum in the physiotherapy profession to improve the cultural safety and capabilities of physiotherapists. In Australia, this is essential given the important role physiotherapists play in the delivery of healthcare to First Nations Australians. Understanding the experiences of the newest members of the profession who work with First Nations Australians is an important step in exploring the broader professions' cultural safety journey.ObjectiveTo explore new graduate physiotherapists' experiences working in First Nations Australian health settings.MethodsThe study used an interpretative phenomenological approach through semi-structured interviews to explore the experiences of seven new graduate physiotherapists, in their first 2 years of practice. All participants worked within a First Nations Australian health setting for some or all of their experience as a new graduate physiotherapist.ResultsThree themes were generated: 1) enrichment through connection; 2) navigating challenges; and 3) a catalyst for self-reflection.ConclusionNew graduate physiotherapists reported positive experiences when working within a First Nations Australian health setting, underpinned by building a strong therapeutic relationship through rapport building; navigating challenges alongside their clients; and delving into critical self-reflection.</t>
  </si>
  <si>
    <t>[Nelson, Curtley; Mandrusiak, Allison; Forbes, Roma] Univ Queensland, Sch Hlth &amp; Rehabil Sci, 84a Serv Rd, St Lucia, Qld 4067, Australia</t>
  </si>
  <si>
    <t>Nelson, C (corresponding author), Univ Queensland, Sch Hlth &amp; Rehabil Sci, 84a Serv Rd, St Lucia, Qld 4067, Australia.</t>
  </si>
  <si>
    <t>curtley.nelson@uq.edu.au</t>
  </si>
  <si>
    <t>Mandrusiak, Allison/C-3220-2012</t>
  </si>
  <si>
    <t>Mandrusiak, Allison/0000-0003-4180-9167</t>
  </si>
  <si>
    <t>0959-3985</t>
  </si>
  <si>
    <t>1532-5040</t>
  </si>
  <si>
    <t>PHYSIOTHER THEOR PR</t>
  </si>
  <si>
    <t>Physiother. Theory Pract.</t>
  </si>
  <si>
    <t>10.1080/09593985.2023.2246547</t>
  </si>
  <si>
    <t>O8GZ6</t>
  </si>
  <si>
    <t>WOS:001046150800001</t>
  </si>
  <si>
    <t>Parada, L; Candela, E; Marques, L; Angeloudis, P</t>
  </si>
  <si>
    <t>Parada, Leandro; Candela, Eduardo; Marques, Luis; Angeloudis, Panagiotis</t>
  </si>
  <si>
    <t>Safe and efficient manoeuvring for emergency vehicles in autonomous traffic using multi-agent proximal policy optimisation</t>
  </si>
  <si>
    <t>TRANSPORTMETRICA A-TRANSPORT SCIENCE</t>
  </si>
  <si>
    <t>Deep reinforcement learning; multi-agent reinforcement learning; autonomous traffic; autonomous vehicles; emergency vehicles; cooperative overtaking</t>
  </si>
  <si>
    <t>REINFORCEMENT; SIMULATION; STATE; MODEL</t>
  </si>
  <si>
    <t>Manoeuvring in the presence of emergency vehicles is still a major issue for vehicle autonomy systems. Most studies that address this topic are based on rule-based methods, which cannot cover all possible scenarios that can take place in autonomous traffic. Multi-Agent Proximal Policy Optimisation (MAPPO) has recently emerged as a powerful method for autonomous systems because it allows for training in thousands of different situations. In this study, we present an approach based on MAPPO to guarantee the safe and efficient manoeuvring of autonomous vehicles in the presence of an emergency vehicle. We introduce a risk metric that summarises the potential risk of collision in a single index. The proposed method generates cooperative policies allowing the emergency vehicle to go at 15% higher average speed while maintaining high safety distances. Moreover, we conduct a comprehensive evaluation of our method in a wide range of scenarios, including assessing the trade-offs between traffic efficiency and safety, measuring the scalability of the approach with respect to the number of autonomous vehicles, analysing different distributions of mixed human and autonomous traffic, and examining the various levels of cooperation and competition among agents.</t>
  </si>
  <si>
    <t>[Parada, Leandro; Candela, Eduardo; Marques, Luis; Angeloudis, Panagiotis] Imperial Coll London, Ctr Transport Studies, Dept Civil &amp; Environm Engn, London, England; [Parada, Leandro] Imperial Coll London, Ctr Transport Studies, Dept Civil &amp; Environm Engn, London SW7 2AZ, England</t>
  </si>
  <si>
    <t>Imperial College London; University of London; University College London; University of London; University College London; Imperial College London</t>
  </si>
  <si>
    <t>Parada, L (corresponding author), Imperial Coll London, Ctr Transport Studies, Dept Civil &amp; Environm Engn, London SW7 2AZ, England.</t>
  </si>
  <si>
    <t>l.parada-pradenas20@ic.ac.uk</t>
  </si>
  <si>
    <t>Parada, Leandro/0000-0003-0571-0178</t>
  </si>
  <si>
    <t>~Agencia Nacional de Investigacion y Desarrollo (ANID)~ [72210279]; President's Scholarship Programme - Imperial College London [72210279]; Agencia Nacional de Investigacion y Desarrollo (ANID)</t>
  </si>
  <si>
    <t>~Agencia Nacional de Investigacion y Desarrollo (ANID)~; President's Scholarship Programme - Imperial College London; Agencia Nacional de Investigacion y Desarrollo (ANID)</t>
  </si>
  <si>
    <t>This research was partially supported by the President's Scholarship Programme funded by Imperial College London, and the Agencia Nacional de Investigacion y Desarrollo (ANID) program [grant number 72210279].</t>
  </si>
  <si>
    <t>2324-9935</t>
  </si>
  <si>
    <t>2324-9943</t>
  </si>
  <si>
    <t>TRANSPORTMETRICA A</t>
  </si>
  <si>
    <t>Transportmetrica A</t>
  </si>
  <si>
    <t>10.1080/23249935.2023.2246586</t>
  </si>
  <si>
    <t>Transportation; Transportation Science &amp; Technology</t>
  </si>
  <si>
    <t>P3ND1</t>
  </si>
  <si>
    <t>WOS:001049733800001</t>
  </si>
  <si>
    <t>Patel, I; Li, L; Jeong, H; Mcdaniel, JT; Mcintosh, S; Robertson, E; Albright, DL</t>
  </si>
  <si>
    <t>Patel, Ishika; Li, Li; Jeong, Haelim; Mcdaniel, Justin T.; Mcintosh, Shanna; Robertson, Ellen; Albright, David L.</t>
  </si>
  <si>
    <t>Survey of barriers and opportunities for prescribing buprenorphine for opioid use disorder in Alabama</t>
  </si>
  <si>
    <t>JOURNAL OF ADDICTIVE DISEASES</t>
  </si>
  <si>
    <t>Opioid use disorder; medications for opioid use disorder; buprenorphine; X-waiver; clinicians</t>
  </si>
  <si>
    <t>SUBSTANCE USE; DEPENDENCE; ADDICTION</t>
  </si>
  <si>
    <t>Opioid-related overdose deaths have significantly increased in the USA and in Alabama. Despite this, medications for opioid use disorder (MOUD) remains significantly underutilized. Thus, this study aims to gain a better understanding of clinicians' viewpoints on potential barriers and opportunities that are likely to impact and improve the access to MOUD, especially buprenorphine prescribing. A cross-sectional survey study was conducted with Alabama's clinicians (n = 492). The survey containing a QR code was mailed to clinicians throughout the state and was asked about their viewpoints and thoughts on prescribing buprenorphine. Multivariable linear regression was used to examine associations between OUD self-efficacy, beliefs about the effectiveness of MOUD, attitudes regarding whether or not MOUD is addictive, and positive affect surrounding the treatment of OUD patients. A minority of respondents (39.8%) reported that they have an active X-waiver for MOUD. Results showed that beliefs that MOUD is addictive were significantly inversely correlated with beliefs about MOUD being effective. Furthermore, both self-efficacy and positive affect were significantly and positively associated with beliefs that MOUD is effective. Furthermore, nurse practitioners were more likely than physicians to have higher scores on the MAT is Addictive construct. Self-efficacy with OUD patients was positively associated with the MOUD is Effective construct. Finally, results showed that X-waivered providers expressed greater positive affect toward OUD patients than providers who were not X-waivered (b = 2.9, p &lt; 0.001). Belief that MOUD is effective was also positively associated with higher scores on the positive affect construct (b = 0.5, p &lt; 0.001). Several barriers and opportunities were identified in our survey data which could be used to explore MOUD expansion, especially buprenorphine prescribing. Strategic plans in expanding MOUD access may include educational trainings on MOUD, motivating clinicians to utilize their capacity by implementing incentive plans, increasing provider self-efficacy, reducing stigma around MOUD, and providing more financial support to uninsured patients.</t>
  </si>
  <si>
    <t>[Patel, Ishika; Li, Li] Univ Alabama Birmingham, Dept Psychiat &amp; Behav Neurobiol, Birmingham, AL USA; [Jeong, Haelim; Mcintosh, Shanna; Robertson, Ellen; Albright, David L.] Univ Alabama, Sch Social Work, Little Hall, 670 Judy Bonner Dr, Tuscaloosa, AL 35401 USA; [Mcdaniel, Justin T.] Southern Illinois Univ, Sch Human Sci, Carbondale, IL USA</t>
  </si>
  <si>
    <t>University of Alabama System; University of Alabama Birmingham; University of Alabama System; University of Alabama Tuscaloosa; Southern Illinois University System; Southern Illinois University</t>
  </si>
  <si>
    <t>Albright, DL (corresponding author), Univ Alabama, Sch Social Work, Little Hall, 670 Judy Bonner Dr, Tuscaloosa, AL 35401 USA.</t>
  </si>
  <si>
    <t>dlalbright@ua.edu</t>
  </si>
  <si>
    <t>The content is that of the author and does not necessarily represent the official views of, nor an endorsement, by CMS/HHS, or the U.S. Government. Additionally, we thank all the participants who completed the survey.</t>
  </si>
  <si>
    <t>1055-0887</t>
  </si>
  <si>
    <t>1545-0848</t>
  </si>
  <si>
    <t>J ADDICT DIS</t>
  </si>
  <si>
    <t>J. Addict. Dis.</t>
  </si>
  <si>
    <t>10.1080/10550887.2023.2247950</t>
  </si>
  <si>
    <t>Substance Abuse</t>
  </si>
  <si>
    <t>R5WU2</t>
  </si>
  <si>
    <t>WOS:001065063000001</t>
  </si>
  <si>
    <t>Philippou, H; Stavrou, EX</t>
  </si>
  <si>
    <t>Philippou, Helen; Stavrou, Evi X.</t>
  </si>
  <si>
    <t>Next generation anticoagulants: a spotlight on the potential role of activated factors XII and XI</t>
  </si>
  <si>
    <t>Anticoagulant; factor XII; factor XI; intrinsic pathway; FXIIa; FXIa</t>
  </si>
  <si>
    <t>CONTACT SYSTEM; DOUBLE-BLIND; COAGULATION; INHIBITOR; ANTIBODY; PHASE-2; OLIGONUCLEOTIDE; RELEASE; SURFACE; AB023</t>
  </si>
  <si>
    <t>[Philippou, Helen] Univ Leeds, Leeds Inst Cardiovasc &amp; Metabol Med, Leeds, W Yorkshire, England; [Stavrou, Evi X.] CWRU Sch Med, Dept Med, Hematol &amp; Oncol Div, Cleveland, OH USA; [Stavrou, Evi X.] Louis Stokes Vet Adm Med Ctr, Med Serv, Sect Hematol Oncol, Cleveland, OH USA</t>
  </si>
  <si>
    <t>University of Leeds; Case Western Reserve University; US Department of Veterans Affairs; Veterans Health Administration (VHA); Case Western Reserve University; Louis Stokes Cleveland Veterans Affairs Medical Center</t>
  </si>
  <si>
    <t>Philippou, H (corresponding author), Univ Leeds, Leeds Inst Cardiovasc &amp; Metabol Med, Leeds, W Yorkshire, England.</t>
  </si>
  <si>
    <t>h.philippou@leeds.ac.uk</t>
  </si>
  <si>
    <t>10.1080/17474086.2023.2245973</t>
  </si>
  <si>
    <t>S6IE2</t>
  </si>
  <si>
    <t>WOS:001046189200001</t>
  </si>
  <si>
    <t>Rafiei, S; Kan, FP; Raoofi, S; Shafiee, F; Masoumi, M; Bagheribayati, F; Biparva, AJ; Mejareh, ZN; Sanaei, M; Dolati, Y; Abdollahi, B; Khani, S; Parnian, E; Sanjabad, EN; Ghashghaee, A</t>
  </si>
  <si>
    <t>Rafiei, Sima; Kan, Fatemeh Pashazadeh; Raoofi, Samira; Shafiee, Farnoosh; Masoumi, Maryam; Bagheribayati, Farzaneh; Biparva, Akbar Javan; Mejareh, Zahra Noorani; Sanaei, Mohaddeseh; Dolati, Yasamin; Abdollahi, Bahare; Khani, Saghar; Parnian, Elaheh; Sanjabad, Elmira Nosrati; Ghashghaee, Ahmad</t>
  </si>
  <si>
    <t>Global Prevalence of Suicide in Patients With Cancer: A Systematic Review and Meta-Analysis</t>
  </si>
  <si>
    <t>ARCHIVES OF SUICIDE RESEARCH</t>
  </si>
  <si>
    <t>Cancer; global; meta-analysis; suicide; systematic review; &gt;</t>
  </si>
  <si>
    <t>CHILDHOOD-CANCER; ADULT SURVIVORS; RISK; POPULATION; EMPLOYMENT; CARCINOMA; IDEATION; DEATH</t>
  </si>
  <si>
    <t>AimGiven that patients with cancer may commit suicide due to physical and mental problems, the present study objectives were to identify particular risk factors of different subgroup of patients including type of cancer, gender, age, type and time of suicide, and geographical region to facilitate early care and psychosocial support.MethodsA comprehensive review of databases including Embase, Scopus, PubMed, and Web of Science was conducted for original articles published in English from January 2000 to March 2022. It is based on the PRISMA checklist.ResultsAfter reviewing 69 articles selected from 15 countries, the total prevalence rate of suicide among 34,157,856 patients with cancer was estimated 67,169, at 0.013 (95% CI, 0.008-0.021). The highest suicide prevalence was related to gastrointestinal cancer, estimated at 0.204 (95% CI, 0.161-0.255). A gender-based meta-analysis showed that the prevalence of suicide/suicidal ideation was higher among men, estimated at 0.013 (95% CI, 0.008-0.023) compared with women, at 0.006 (95% CI, 0.002-0.017).ConclusionBased on study results, suicide-prevention strategies should be aimed at patients younger than 40 years of age to effectively resolve their mental health disorders and promote their self-efficacy in successful management of the disease.</t>
  </si>
  <si>
    <t>[Rafiei, Sima] Qazvin Univ Med Sci, Res Inst Prevent Noncommunicable Dis, Social Determinants Hlth Res Ctr, Qazvin, Iran; [Kan, Fatemeh Pashazadeh; Mejareh, Zahra Noorani; Sanaei, Mohaddeseh; Dolati, Yasamin; Abdollahi, Bahare; Khani, Saghar; Sanjabad, Elmira Nosrati] Iran Univ Med Sci, Student Res Comm, Sch Nursing &amp; Midwifery, Tehran, Iran; [Raoofi, Samira; Shafiee, Farnoosh; Parnian, Elaheh] Iran Univ Med Sci, Sch Hlth Management &amp; Informat Sci, Dept Hlth Serv Management, Tehran, Iran; [Masoumi, Maryam] Qom Univ Med Sci, Clin Res &amp; Dev Ctr, Qom, Iran; [Bagheribayati, Farzaneh] Univ Zanjan, Cellular &amp; Mol Biol, Zanjan, Iran; [Biparva, Akbar Javan] Tabriz Univ Med Sci, Student Res Comm, Iranian Ctr Excellence Hlth Management, Sch Hlth Management &amp; Med Informat, Tabriz, Iran; [Ghashghaee, Ahmad] Univ Glasgow, Sch Med, Dent &amp; Nursing, Glasgow City, Scotland; [Ghashghaee, Ahmad] Univ Glasgow, Glasgow City, Scotland</t>
  </si>
  <si>
    <t>Qazvin University of Medical Sciences (QUMS); Iran University of Medical Sciences; Iran University of Medical Sciences; University Zanjan; Tabriz University of Medical Science; University of Glasgow; University of Glasgow</t>
  </si>
  <si>
    <t>Ghashghaee, A (corresponding author), Univ Glasgow, Glasgow City, Scotland.</t>
  </si>
  <si>
    <t>ahmad.ghashghaee1996@gmail.com</t>
  </si>
  <si>
    <t>1381-1118</t>
  </si>
  <si>
    <t>1543-6136</t>
  </si>
  <si>
    <t>ARCH SUICIDE RES</t>
  </si>
  <si>
    <t>Arch. Suicide Res.</t>
  </si>
  <si>
    <t>10.1080/13811118.2023.2240870</t>
  </si>
  <si>
    <t>Psychiatry; Psychology; Psychology, Multidisciplinary</t>
  </si>
  <si>
    <t>Psychiatry; Psychology</t>
  </si>
  <si>
    <t>P0XW1</t>
  </si>
  <si>
    <t>Green Accepted, hybrid</t>
  </si>
  <si>
    <t>WOS:001047965000001</t>
  </si>
  <si>
    <t>Rovira, G; Kimura, A; Nakamura, S; Endo, S; Iwamoto, O; Iwamoto, N; Katabuchi, T; Kodama, Y; Nakano, H; Sato, Y</t>
  </si>
  <si>
    <t>Rovira, Gerard; Kimura, Atsushi; Nakamura, Shoji; Endo, Shunsuke; Iwamoto, Osamu; Iwamoto, Nobuyuki; Katabuchi, Tatsuya; Kodama, Yu; Nakano, Hideto; Sato, Yaoki</t>
  </si>
  <si>
    <t>Am-241 Neutron Capture Cross Section Measurement using the NaI(Tl) spectrometer of the ANNRI beamline of J-PARC</t>
  </si>
  <si>
    <t>ANNRI; Am-241; neutron capture cross section; J-PARC; MLF; minor actinide; neutron time-of-flight; resonance analysis; thermal cross section; &gt;</t>
  </si>
  <si>
    <t>UNCERTAINTY ANALYSIS; RESONANCE INTEGRALS; MINOR-ACTINIDE; CODE SYSTEM; FISSION; LIBRARY</t>
  </si>
  <si>
    <t>The neutron capture cross-section of Am-241 was measured from 10 meV to about 500 keV using the NaI(Tl) spectrometer of the Accurate Neutron-Nucleus Reaction Measurement Instrument (ANNRI) beamline in the Materials and Life Science Experimental Facility (MLF) of the Japan Proton Accelerator Research Complex (J-PARC). The total energy detection principle was applied in conjunction with the pulse-height weighting technique to derive the neutron capture yield. The present cross-section results were normalized using a Au-197 sample measurement by applying the saturated resonance method. The thermal cross section was measured to be 708 &amp; PLUSMN; 22 b, in agreement with the evaluation in JENDL-5 of 709 b within uncertainties. In the keV region, the evaluated libraries of JENDL-5, ENDF/B-VIII.0 and JEFF-3.3 are in good agreement with the present results over 10 keV but show values lower by 30% to 70% below that energy. Moreover, the results of a resonance shape analysis of the resolved resonance region are also provided in the present paper.</t>
  </si>
  <si>
    <t>[Rovira, Gerard; Kimura, Atsushi; Nakamura, Shoji; Endo, Shunsuke; Iwamoto, Osamu; Iwamoto, Nobuyuki] Japan Atom Energy Agcy, Nucl Sci &amp; Engn Ctr, Ibaraki, Japan; [Katabuchi, Tatsuya; Kodama, Yu; Nakano, Hideto; Sato, Yaoki] Tokyo Inst Technol, Inst Innovat Res, Lab Zero Carbon Energy, Tokyo, Japan; [Rovira, Gerard] Japan Atom Energy Agcy, Nucl Sci &amp; Engn Ctr, 2-4 Shirakata, Tokai, Ibaraki 3191195, Japan</t>
  </si>
  <si>
    <t>Japan Atomic Energy Agency; Tokyo Institute of Technology; Japan Atomic Energy Agency</t>
  </si>
  <si>
    <t>Rovira, G (corresponding author), Japan Atom Energy Agcy, Nucl Sci &amp; Engn Ctr, 2-4 Shirakata, Tokai, Ibaraki 3191195, Japan.</t>
  </si>
  <si>
    <t>gerard.rovira@jaea.go.jp</t>
  </si>
  <si>
    <t>Rovira Leveroni, Gerard/JEZ-7934-2023</t>
  </si>
  <si>
    <t>Rovira Leveroni, Gerard/0000-0002-3031-6204</t>
  </si>
  <si>
    <t>[2021P0301]; [2021B0313]</t>
  </si>
  <si>
    <t>;</t>
  </si>
  <si>
    <t>The neutron experiments at the MLF of the J-PARC were performed under the user program [Proposal 2021P0301 and 2021B0313].</t>
  </si>
  <si>
    <t>10.1080/00223131.2023.2239885</t>
  </si>
  <si>
    <t>P6KL4</t>
  </si>
  <si>
    <t>WOS:001051744300001</t>
  </si>
  <si>
    <t>Samoilenko, SA; Cook, J</t>
  </si>
  <si>
    <t>Samoilenko, Sergei A. A.; Cook, John</t>
  </si>
  <si>
    <t>Developing an Ad Hominem typology for classifying climate misinformation</t>
  </si>
  <si>
    <t>CLIMATE POLICY</t>
  </si>
  <si>
    <t>Ad hominem; bias; moral attack; climate science; misinformation; climate change policies; &gt;</t>
  </si>
  <si>
    <t>SCIENCE; ADVOCACY; ORGANIZATION; SEEPAGE</t>
  </si>
  <si>
    <t>Misinformation produced by various interest groups is a significant contributing factor to public confusion about climate policy. Character assassination against climate scientists and policymakers is the most common type of misinformation strategy used by contrarians in climate debates (Coan, T. G., Boussalis, C., Cook, J., &amp; Nanko, M. O. (2021). Computer-assisted classification of contrarian claims about climate change. Scientific Reports, 11(1), 22320). Despite its widespread use, however, character assassination remains understudied by social scientists, especially in the context of climate change. This study adapts Douglas Walton's (1998. Ad hominem arguments. University of Alabama Press) typology of 'ad hominem' attacks - personal attacks targeting an individual's character, competence, or motives - to misinformation campaigns against the climate community. We developed an original codebook for classifying ad hominem arguments made by climate contrarians. Drawing on a 553-paragraph sample from a corpus from 55 contrarian blogs and 15 conservative think-tank websites published in English between 2008 and 2020, we then determined the relative prominence of each type of attack using a consensus-coding approach. Bias attacks, which entail accusing climate scientists of political partisanship or having an ideological agenda, were the most common form of contrarian ad hominem attack. The dominance of bias attacks can be explained by their strong relevance for scientific credibility. The study found that ad hominem attacks, often with bias and moral attacks clustered together, are the most common combination. The article concludes by discussing the implications of these findings for climate policy and future research.Key Policy InsightsClimate misinformation politicizes climate science, further amplifying ideological conflict and fostering ideological polarization;Climate misinformation campaigns feature a range of different types of ad hominem attacks designed to undermine the credibility of climate scientists;The most common type of ad hominem attack on climate scientists in our sample was bias attacks, which entail accusing climate scientists of political partisanship or of having an ideological agenda;Attacks on the moral character of climate scientists were the only type of ad hominem that increased during the period under study (2008-2020);Different types of ad hominems often appeared together, with the most common combination being bias and moral attacks;Ad hominem attacks on climate scientists are part of misinformation campaigns designed to stall discussion on climate change and delay the implementation of climate policies.</t>
  </si>
  <si>
    <t>[Samoilenko, Sergei A. A.] George Mason Univ, Commun, Fairfax, VA 22030 USA; [Cook, John] Univ Melbourne, Melbourne Ctr Behav Change, Melbourne, Vic, Australia</t>
  </si>
  <si>
    <t>George Mason University; University of Melbourne</t>
  </si>
  <si>
    <t>Samoilenko, SA (corresponding author), George Mason Univ, Commun, Fairfax, VA 22030 USA.</t>
  </si>
  <si>
    <t>ssamoyle@gmu.edu</t>
  </si>
  <si>
    <t>1469-3062</t>
  </si>
  <si>
    <t>1752-7457</t>
  </si>
  <si>
    <t>CLIM POLICY</t>
  </si>
  <si>
    <t>Clim. Policy</t>
  </si>
  <si>
    <t>10.1080/14693062.2023.2245792</t>
  </si>
  <si>
    <t>Environmental Studies; Public Administration</t>
  </si>
  <si>
    <t>Environmental Sciences &amp; Ecology; Public Administration</t>
  </si>
  <si>
    <t>P0XC5</t>
  </si>
  <si>
    <t>WOS:001047945400001</t>
  </si>
  <si>
    <t>Sharma, S; Palpandi, K; Yadav, PK</t>
  </si>
  <si>
    <t>Sharma, Sonali; Palpandi, K.; Yadav, Punit Kumar</t>
  </si>
  <si>
    <t>Structure of the w-solution set of the tensor complementarity problem</t>
  </si>
  <si>
    <t>OPTIMIZATION</t>
  </si>
  <si>
    <t>Tensors; column adequate tensors; column competent tensors; positive semidefinite tensors; complementarity problems</t>
  </si>
  <si>
    <t>Motivated by the study of column competent and column adequate matrices in the standard linear complementarity problems, we define column competent tensor, column adequate tensor and study the underlying properties of these tensors. We establish equivalent conditions for a column adequate tensor within the class of symmetric tensors and Z tensors. We then introduce the w-solution set for the tensor complementarity problem and examine the uniqueness and finiteness of the w-solution set. At last, we define column competent property and prove that under some additional condition, column competent property gives the finiteness of the w-solution set of the corresponding tensor complementarity problem.</t>
  </si>
  <si>
    <t>[Sharma, Sonali; Palpandi, K.; Yadav, Punit Kumar] Malaviya Natl Inst Technol Jaipur, Dept Math, Jaipur, Rajasthan, India</t>
  </si>
  <si>
    <t>National Institute of Technology (NIT System); Malaviya National Institute of Technology Jaipur</t>
  </si>
  <si>
    <t>Palpandi, K (corresponding author), Malaviya Natl Inst Technol Jaipur, Dept Math, Jaipur, Rajasthan, India.</t>
  </si>
  <si>
    <t>Kpandiiitm@gmail.com</t>
  </si>
  <si>
    <t>Council of Science and Industrial Research (CSIR)</t>
  </si>
  <si>
    <t>Council of Science and Industrial Research (CSIR)(Council of Scientific &amp; Industrial Research (CSIR) - India)</t>
  </si>
  <si>
    <t>The third author Punit Kumar Yadav is a CSIR-SRF fellow. He wants to thank the Council of Science and Industrial Research (CSIR) for the financial support.</t>
  </si>
  <si>
    <t>0233-1934</t>
  </si>
  <si>
    <t>1029-4945</t>
  </si>
  <si>
    <t>Optimization</t>
  </si>
  <si>
    <t>10.1080/02331934.2023.2245406</t>
  </si>
  <si>
    <t>Operations Research &amp; Management Science; Mathematics, Applied</t>
  </si>
  <si>
    <t>Operations Research &amp; Management Science; Mathematics</t>
  </si>
  <si>
    <t>P4JV0</t>
  </si>
  <si>
    <t>WOS:001050333800001</t>
  </si>
  <si>
    <t>Sirati, M; O'Brien, W; Cruickshank, CA</t>
  </si>
  <si>
    <t>Sirati, Melina; O'Brien, William; Cruickshank, Cynthia A.</t>
  </si>
  <si>
    <t>Household energy and comfort impacts under teleworking scenarios via a zoned residential HVAC system</t>
  </si>
  <si>
    <t>JOURNAL OF BUILDING PERFORMANCE SIMULATION</t>
  </si>
  <si>
    <t>Teleworking; partial occupancy; multi-zone HVAC; thermal zoning; residential building; &gt;</t>
  </si>
  <si>
    <t>AIR-VOLUME VAV; VALIDATION</t>
  </si>
  <si>
    <t>Teleworking is a prevalent example of partial building occupancy and prevents homeowners from using a setback or set up temperature setpoint to save energy. Due to a lack of certainty on how teleworking affects houses, this study aimed to quantify energy consumption and thermal comfort under different teleworking scenarios. Likewise, the effect of HVAC zoning by comparing two-zone houses with one-zone houses is investigated. Three teleworking scenarios across six Canadian climate zones were used to assess two house models with two HVAC zoning configurations. The results of this study indicate that teleworking increases energy consumption by up to 9% in houses. By employing the two-zone house instead of the one-zone house, energy performance benefits from using two thermostats in a house. The results show that two-zone HVAC systems can reduce energy consumption by up to 31% and thermal discomfort by up to 24% compared to traditional one-zone houses.</t>
  </si>
  <si>
    <t>[Sirati, Melina; O'Brien, William] Carleton Univ, Dept Civil &amp; Environm Engn, Ottawa, ON, Canada; [Cruickshank, Cynthia A.] Carleton Univ, Dept Mech &amp; Aerosp Engn, Ottawa, ON, Canada</t>
  </si>
  <si>
    <t>Carleton University; Carleton University</t>
  </si>
  <si>
    <t>Sirati, M (corresponding author), Carleton Univ, Dept Civil &amp; Environm Engn, Ottawa, ON, Canada.</t>
  </si>
  <si>
    <t>melinasirati@cmail.carleton.ca</t>
  </si>
  <si>
    <t>Natural Sciences and Engineering Research Council of Canada; National Research Council Canada; Public Services and Procurement Canada; Treasury Board of Canada; Canada Revenue Agency; National Research Canada</t>
  </si>
  <si>
    <t>Natural Sciences and Engineering Research Council of Canada(Natural Sciences and Engineering Research Council of Canada (NSERC)CGIAR); National Research Council Canada; Public Services and Procurement Canada; Treasury Board of Canada; Canada Revenue Agency; National Research Canada</t>
  </si>
  <si>
    <t>This work was supported by Natural Sciences and Engineering Research Council of Canada, National Research Council Canada, Public Services and Procurement Canada, Treasury Board of Canada, Canada Revenue Agency, National Research Canada.</t>
  </si>
  <si>
    <t>1940-1493</t>
  </si>
  <si>
    <t>1940-1507</t>
  </si>
  <si>
    <t>J BUILD PERFORM SIMU</t>
  </si>
  <si>
    <t>J. Build. Perf. Simul.</t>
  </si>
  <si>
    <t>10.1080/19401493.2023.2245796</t>
  </si>
  <si>
    <t>Construction &amp; Building Technology</t>
  </si>
  <si>
    <t>P2LX8</t>
  </si>
  <si>
    <t>WOS:001049017400001</t>
  </si>
  <si>
    <t>Thamizharasan, V; Kasthuri, N</t>
  </si>
  <si>
    <t>Thamizharasan, V.; Kasthuri, N.</t>
  </si>
  <si>
    <t>FPGA implementation of proficient Vedic multiplier architecture using hybrid carry select adder</t>
  </si>
  <si>
    <t>Adder; multiplier; hybrid Vedic multiplier; XILINX ISE 14; 1; Verilog HDL; &gt;</t>
  </si>
  <si>
    <t>DESIGN</t>
  </si>
  <si>
    <t>Nowadays, the application of computations and communications is needed for high performance, reduced size and lower power utilisation. The multiply and add functions are one of the frequently used operations in digital signal processing. Various types of multipliers are available in digital Various types of multipliers are available for various Signal processing applications.. Among these multipliers, Vedic multiplier is one of the most optimised multipliers used in a signal processing module. In the existing method, the Vedic multiplier is designed with conventional adders, which is having higher area utilisation, lower speed and higher power consumption. Hence, the modified Vedic multiplier is proposed to improve the speed of multiplication using hybrid technology. The partial products of the proposed multiplication are added using 2 x 2 Vedic multiplier and hybrid carry select adder (binary to excess one converter (BEC), Han-Carlson adder and Multiplexer). The critical path delays of hybrid 4 x 4 Vedic multiplier are the summation of 2 x 2 Vedic multiplier, two full adders, two multiplexers and two BECs for producing the final product. The proposed hybrid Vedic multiplier is operated at high speed with reduced size as compared to the existing multiplier techniques. The proposed hybrid Vedic multiplier is designed and simulated using Verilog HDL and implemented in Spartan 6 field-programmable gate array device. The implementation results showed that the delay of the proposed multiplier gets ameliorated as compared to array multiplication (30.84%), Wallace tree multiplication (29.52%), multiplication based on compressor (23.71%), Vedic multiplication by carry look-ahead adder (22.91%), Vedic multiplication by ripple carry adder (14.45%), revised booth multiplication (15.42%) and Vedic multiplication by Han-Carlson adder with BEC (13.95%) and hybrid multiplier (11.37%).</t>
  </si>
  <si>
    <t>[Thamizharasan, V.] Erode Sengunthar Engn Coll, Dept Elect &amp; Commun Engn, Erode, Tamil Nadu, India; [Kasthuri, N.] Kongu Engn Coll, Dept Elect &amp; Commun Engn, Erode, Tamil Nadu, India</t>
  </si>
  <si>
    <t>Erode Sengunthar Engineering College; Kongu Engineering College</t>
  </si>
  <si>
    <t>Thamizharasan, V (corresponding author), Erode Sengunthar Engn Coll, Dept Elect &amp; Commun Engn, Erode, Tamil Nadu, India.</t>
  </si>
  <si>
    <t>ecetamil@gmail.com</t>
  </si>
  <si>
    <t>10.1080/00207217.2023.2245194</t>
  </si>
  <si>
    <t>O7CE3</t>
  </si>
  <si>
    <t>WOS:001045336500001</t>
  </si>
  <si>
    <t>Kani, JS; Ulagammai, M</t>
  </si>
  <si>
    <t>Kani, J. Shanmuga; Ulagammai, M.</t>
  </si>
  <si>
    <t>Integrated Renewable Energy Storage System with Enhanced Self-Adaptive Differential Evolution Algorithm on Profit Maximization</t>
  </si>
  <si>
    <t>ELECTRIC POWER COMPONENTS AND SYSTEMS</t>
  </si>
  <si>
    <t>battery energy storage; profit maximization; Self-Adaptive Differential Evolution algorithm; particle swarm optimization; differential evolution algorithm</t>
  </si>
  <si>
    <t>PARTICLE SWARM OPTIMIZATION; OPERATION; WIND</t>
  </si>
  <si>
    <t>In this work addresses the surge in greenhouse gas emissions and fuel costs resulting from heightened energy demand, especially in developing nations. To counter these challenges, the focus is on optimizing renewable energy sources, which, though advantageous, are weather-dependent and require intricate management. The study introduces the Enhanced Self-Adaptive Differential Evolution (SADE) algorithm, encompassing solar, battery, and thermal sources, to maximize profitability. Real-time (RT) load profiles are used for performance analysis, comparing the proposed algorithm with existing techniques like PSO, Differential Evolution (DE) algorithm, and SADE algorithm. Improved energy storage technologies complement the increased utilization of renewable energy, enabling electricity storage during off-peak hours and release during peak demand, providing promising solutions for the energy industry.</t>
  </si>
  <si>
    <t>[Kani, J. Shanmuga] Anna Univ, Dept Elect &amp; Elect Engn, Chennai, India; [Ulagammai, M.] Saveetha Engn Coll, Dept Elect &amp; Elect Engn, Chennai 602105, India</t>
  </si>
  <si>
    <t>Anna University; Anna University Chennai</t>
  </si>
  <si>
    <t>Kani, JS (corresponding author), Anna Univ, Dept Elect &amp; Elect Engn, Chennai, India.</t>
  </si>
  <si>
    <t>/0000-0001-6614-3483</t>
  </si>
  <si>
    <t>This work does not include any acknowledgments.</t>
  </si>
  <si>
    <t>1532-5008</t>
  </si>
  <si>
    <t>1532-5016</t>
  </si>
  <si>
    <t>ELECTR POW COMPO SYS</t>
  </si>
  <si>
    <t>Electr. Power Compon. Syst.</t>
  </si>
  <si>
    <t>AUG 11</t>
  </si>
  <si>
    <t>10.1080/15325008.2023.2246467</t>
  </si>
  <si>
    <t>P8YG2</t>
  </si>
  <si>
    <t>WOS:001053469600001</t>
  </si>
  <si>
    <t>Karlsen, RV; Hoeg, BL; Dalton, SO; Saltbaek, L; Dehlendorff, C; Johansen, C; Svendsen, MN; Bidstrup, PE</t>
  </si>
  <si>
    <t>Karlsen, R., V; Hoeg, B. L.; Dalton, S. O.; Saltbaek, L.; Dehlendorff, C.; Johansen, C.; Svendsen, M. N.; Bidstrup, P. E.</t>
  </si>
  <si>
    <t>Are education and cohabitation associated with health-related quality of life and self-management during breast cancer follow-up? A longitudinal study (vol 62, pg 407, 2023)</t>
  </si>
  <si>
    <t>2023 AUG 11</t>
  </si>
  <si>
    <t>10.1080/0284186X.2023.2244794</t>
  </si>
  <si>
    <t>P1RY4</t>
  </si>
  <si>
    <t>WOS:001048495900001</t>
  </si>
  <si>
    <t>Lucia, B; Vetter, MA; Solberg, DA</t>
  </si>
  <si>
    <t>Lucia, Brent; Vetter, Matthew A.; Solberg, David A.</t>
  </si>
  <si>
    <t>I Feel Like I'm in a Box: Contrasting Virtual Reality Imaginaries in the Context of Academic Innovation Labs</t>
  </si>
  <si>
    <t>TECHNICAL COMMUNICATION QUARTERLY</t>
  </si>
  <si>
    <t>Immersive technology; innovation labs; virtual reality; immersion; user experience; emerging technology; future imaginaries; sociotechnical imaginaries; &gt;</t>
  </si>
  <si>
    <t>TECHNOLOGY; EMBODIMENT; IMMERSION; ENVIRONMENTS; EXPERIENCE; EMPATHY; FUTURE; SENSE; GAMES</t>
  </si>
  <si>
    <t>As immersive technology grows in popularity, universities are developing academic innovation labs (AIL) that often introduce students to virtual reality (VR) and other emerging cross reality applications. Although these labs help educate students on emerging technology, a more critical eye is needed to examine user experience (UX). This article reports on a qualitative, multimethod study that employed a talk-aloud UX protocol to gather data on VR users' experience at the University of Connecticut's OPIM Research Lab. To fully define and contrast this data, we juxtapose these individual narratives with rhetorical analysis of marketing discourse, as presented by VR platform HTC Vive, Google's VR application Tilt Brush, and the Research Lab's promotional material. Based on our findings, we assert that sociotechnical imaginaries as constructed by promotional material often reduce the complexities of immersion in user experience. Such marketing rhetoric creates top-down imaginaries that contrast with bottom-up imaginaries generated in user experience, reinforcing the complex and fluid definitions of immersion. The resulting study has practical implications for stakeholders across higher education, especially in the context of innovation labs, as well as for technical and professional communication educators and practitioners.</t>
  </si>
  <si>
    <t>[Lucia, Brent] Univ Connecticut, Sch Business, Storrs, CT USA; [Vetter, Matthew A.] Indiana Univ Penn, Composit &amp; Appl Linguist PhD Program, Indiana, PA USA; [Solberg, David A.] Holy Family Inst Pittsburgh, Pittsburgh, PA USA; [Lucia, Brent] Univ Connecticut, Sch Business, Rm 216,2100 Hillside Rd, Storrs, CT 06269 USA</t>
  </si>
  <si>
    <t>University of Connecticut; Pennsylvania State System of Higher Education (PASSHE); Indiana University of Pennsylvania; University of Connecticut</t>
  </si>
  <si>
    <t>Lucia, B (corresponding author), Univ Connecticut, Sch Business, Rm 216,2100 Hillside Rd, Storrs, CT 06269 USA.</t>
  </si>
  <si>
    <t>brent.lucia@uconn.edu</t>
  </si>
  <si>
    <t>1057-2252</t>
  </si>
  <si>
    <t>1542-7625</t>
  </si>
  <si>
    <t>TECH COMMUN Q</t>
  </si>
  <si>
    <t>Tech. Commun. Q.</t>
  </si>
  <si>
    <t>10.1080/10572252.2023.2245442</t>
  </si>
  <si>
    <t>O7CA8</t>
  </si>
  <si>
    <t>WOS:001045332900001</t>
  </si>
  <si>
    <t>Steffi, S; Emmanuel, WRS</t>
  </si>
  <si>
    <t>Steffi, S.; Emmanuel, W. R. Sam</t>
  </si>
  <si>
    <t>Automated microaneurysms detection in retinal images using SSA optimised U-NET and Bayesian optimised CNN</t>
  </si>
  <si>
    <t>COMPUTER METHODS IN BIOMECHANICS AND BIOMEDICAL ENGINEERING-IMAGING AND VISUALIZATION</t>
  </si>
  <si>
    <t>Bidirectional ConvLSTM; squirrel search algorithm (SSA); Bayesian optimization (BO); convolutional neural network (CNN); &gt;</t>
  </si>
  <si>
    <t>DIABETIC-RETINOPATHY DETECTION; CONVOLUTIONAL NEURAL-NETWORKS; CLASSIFICATION; SEGMENTATION; VALIDATION; ALGORITHM; DISEASES</t>
  </si>
  <si>
    <t>Diabetic retinopathy (DR) is a cause of vision loss and blindness, and early detection of red lesions, particularly microaneurysms (MAs), is crucial to prevent its progression. In this study, we propose an effective deep learning-based DR segmentation and classification method that leverages hyper-parameter optimisation to achieve high detection accuracy. In our proposed method, we first pre-processed retinal images to reduce background variability. Then, we employed a squirrel search optimised bidirectional ConvLSTM U-net with an attention gate for DR segmentation in the main processing step. Finally, we used a Bayesian-optimised Convolutional Neural Network for classification. We selected the optimal architectures for our proposed CNNs and optimised their hyper-parameters using the Bayesian optimisation technique.Our study demonstrates that the proposed CNNs effectively classify diabetic retinopathy in fundus images when model hyper-parameters are tuned with the help of Bayesian optimisation. We conducted statistical tests based on the receiver operating characteristic curve, histogram, and ANOVA test to verify the effectiveness of our suggested models.We proposed a deep learning-based DR segmentation and classification method that leverages hyper-parameter optimisation to achieve high detection accuracy. This study highlights the potential of Bayesian optimisation as an effective technique to optimise hyper-parameters of deep learning networks for disease classification tasks.</t>
  </si>
  <si>
    <t>[Steffi, S.] Manonmaniam Sundaranar Univ, Dept Comp Sci, Tirunelveli, India; [Steffi, S.] Manonmaniam Sundaranar Univ, Nesamony Mem Christian Coll, Tirunelveli, India; [Emmanuel, W. R. Sam] Manonmaniam Sundaranar Univ, Nesamony Mem Christian Coll, Dept Comp Sci, Tirunelveli, India; [Steffi, S.] Manonmaniam Sundaranar Univ, Dept Comp Sci, Tirunelveli 627012, India; [Steffi, S.] Manonmaniam Sundaranar Univ, Nesamony Mem Christian Coll, Tirunelveli 627012, India</t>
  </si>
  <si>
    <t>Manonmaniam Sundaranar University; Manonmaniam Sundaranar University; Manonmaniam Sundaranar University; Manonmaniam Sundaranar University; Manonmaniam Sundaranar University</t>
  </si>
  <si>
    <t>Steffi, S (corresponding author), Manonmaniam Sundaranar Univ, Dept Comp Sci, Tirunelveli 627012, India.;Steffi, S (corresponding author), Manonmaniam Sundaranar Univ, Nesamony Mem Christian Coll, Tirunelveli 627012, India.</t>
  </si>
  <si>
    <t>steffis992@gmail.com</t>
  </si>
  <si>
    <t>2168-1163</t>
  </si>
  <si>
    <t>2168-1171</t>
  </si>
  <si>
    <t>COMP M BIO BIO E-IV</t>
  </si>
  <si>
    <t>Comp. Meth. Biomech. Biomed. Eng.</t>
  </si>
  <si>
    <t>10.1080/21681163.2023.2244603</t>
  </si>
  <si>
    <t>Engineering, Biomedical</t>
  </si>
  <si>
    <t>P0XM9</t>
  </si>
  <si>
    <t>WOS:001047955800001</t>
  </si>
  <si>
    <t>Wootton, N</t>
  </si>
  <si>
    <t>Wootton, Nina</t>
  </si>
  <si>
    <t>Book details: Field guide to the seashores of South-Eastern Australia</t>
  </si>
  <si>
    <t>TRANSACTIONS OF THE ROYAL SOCIETY OF SOUTH AUSTRALIA</t>
  </si>
  <si>
    <t>[Wootton, Nina] Univ Adelaide, Sch Biol Sci, Adelaide, SA, Australia; [Wootton, Nina] Univ Adelaide, Environm Inst, Adelaide, SA, Australia</t>
  </si>
  <si>
    <t>University of Adelaide; University of Adelaide</t>
  </si>
  <si>
    <t>Wootton, N (corresponding author), Univ Adelaide, Sch Biol Sci, Adelaide, SA, Australia.;Wootton, N (corresponding author), Univ Adelaide, Environm Inst, Adelaide, SA, Australia.</t>
  </si>
  <si>
    <t>nina.wootton@adelaide.edu.au</t>
  </si>
  <si>
    <t>Wootton, Nina/0000-0001-5624-8441</t>
  </si>
  <si>
    <t>0372-1426</t>
  </si>
  <si>
    <t>2204-0293</t>
  </si>
  <si>
    <t>T ROY SOC SOUTH AUST</t>
  </si>
  <si>
    <t>Trans. R. Soc. S. Aust.</t>
  </si>
  <si>
    <t>10.1080/03721426.2023.2244786</t>
  </si>
  <si>
    <t>O8GL4</t>
  </si>
  <si>
    <t>WOS:001046136400001</t>
  </si>
  <si>
    <t>Alver, S; Zhang, GY</t>
  </si>
  <si>
    <t>Alver, Sarah; Zhang, Guoyi</t>
  </si>
  <si>
    <t>Multiple comparisons of treatment against control under unequal variances using parametric bootstrap</t>
  </si>
  <si>
    <t>JOURNAL OF APPLIED STATISTICS</t>
  </si>
  <si>
    <t>Dunnett's test; simulations; ANOVA; HeteANOVA; unbalanced data; &gt;</t>
  </si>
  <si>
    <t>ONE-WAY ANOVA; TESTS</t>
  </si>
  <si>
    <t>In one-way analysis of variance models, performing simultaneous multiple comparisons of treatment groups with a control group may be of interest. Dunnett's test is used to test such differences and assumes equal variances of the response variable for each group. This assumption is not always met even after transformation. A parametric bootstrap (PB) method is developed here for comparing multiple treatment group means against the control group with unequal variances and unbalanced data. In simulation studies, the proposed method outperformed Dunnett's test in controlling the type I error under various settings, particularly when data have heteroscedastic variance and unbalanced design. Simulations show that power is often lower for the PB method than for Dunnett's test under equal variance, balanced data, or smaller sample size, but similar to or higher than for Dunnett's test with unequal variance, unbalanced data and larger sample size. The method is applied to a dataset concerning isotope levels found in elephant tusks from various geographical areas. These data have very unbalanced group sizes and unequal variances. This example illustrates that the PB method is easy to implement and avoids the need for transforming data to meet the equal variance assumption, simplifying interpretation of results.</t>
  </si>
  <si>
    <t>[Alver, Sarah; Zhang, Guoyi] Univ New Mexico, Dept Math &amp; Stat, Albuquerque, NM USA; [Alver, Sarah] Univ New Mexico, Dept Math &amp; Stat, Albuquerque, NM 87131 USA</t>
  </si>
  <si>
    <t>University of New Mexico; University of New Mexico</t>
  </si>
  <si>
    <t>Alver, S (corresponding author), Univ New Mexico, Dept Math &amp; Stat, Albuquerque, NM 87131 USA.</t>
  </si>
  <si>
    <t>sarah.k.alver@gmail.com</t>
  </si>
  <si>
    <t>0266-4763</t>
  </si>
  <si>
    <t>1360-0532</t>
  </si>
  <si>
    <t>J APPL STAT</t>
  </si>
  <si>
    <t>J. Appl. Stat.</t>
  </si>
  <si>
    <t>2023 AUG 10</t>
  </si>
  <si>
    <t>10.1080/02664763.2023.2245179</t>
  </si>
  <si>
    <t>O6GN6</t>
  </si>
  <si>
    <t>WOS:001044771400001</t>
  </si>
  <si>
    <t>Arends, S; Verstappen, GM; de Wolff, L; Pringle, S; Kroese, FGM; Vissink, A; Bootsma, H</t>
  </si>
  <si>
    <t>Arends, Suzanne; Verstappen, Gwenny M. M.; de Wolff, Liseth; Pringle, Sarah; Kroese, Frans G. M.; Vissink, Arjan; Bootsma, Hendrika</t>
  </si>
  <si>
    <t>Why do drug treatments fail in Sjogren's disease? Considerations for treatment, trial design and interpretation of clinical efficacy</t>
  </si>
  <si>
    <t>EXPERT REVIEW OF CLINICAL IMMUNOLOGY</t>
  </si>
  <si>
    <t>Clinical efficacy; clinical trials; disease activity; endpoints; patient selection; patient stratification; Sjogren's disease; targets; &gt;</t>
  </si>
  <si>
    <t>DOUBLE-BLIND; SCORE; VALIDATION; RITUXIMAB; ESSDAI; INDEX; TOOL</t>
  </si>
  <si>
    <t>IntroductionDespite ongoing efforts to develop effective therapeutics, no disease-modifying drugs have been officially licensed for the indication of Sjogren's disease (SjD). This is partly due to heterogeneity in disease manifestations, which complicates drug target selection, trial design and interpretation of clinical efficacy in SjD.Areas coveredHere, we summarize developments and comment on challenges in 1) identifying the right target for treatment, 2) selection of the primary study endpoint for trials and definition of clinically relevant response to treatment, 3) inclusion criteria and patient stratification, 4) distinguishing between disease activity and damage and 5) establishing the effect of treatment considering measurement error, natural variation, and placebo or nocebo responses.Expert opinionTargets that are involved in both the immune cell response and dysregulation of glandular epithelial cells (e.g. B-lymphocytes, type-I interferon) are of particular interest to treat both glandular and extra-glandular manifestations of SjD. The recent development of composite study endpoints (CRESS and STAR) may be a crucial step forward in the search for clinically effective systemic treatment of patients with SjD. Important additional areas for future research are symptom-based and/or molecular pathway-based patient stratification, prevention of irreversible damage, and establishing the effect of treatment.</t>
  </si>
  <si>
    <t>[Arends, Suzanne; Verstappen, Gwenny M. M.; de Wolff, Liseth; Pringle, Sarah; Kroese, Frans G. M.; Bootsma, Hendrika] Univ Groningen, Univ Med Ctr Groningen, Dept Rheumatol &amp; Clin Immunol, Groningen, Netherlands; [Vissink, Arjan] Univ Groningen, Univ Med Ctr Groningen, Dept Oral &amp; Maxillofacial Surg, Groningen, Netherlands</t>
  </si>
  <si>
    <t>University of Groningen; University of Groningen</t>
  </si>
  <si>
    <t>Vissink, A (corresponding author), Univ Groningen, Univ Med Ctr Groningen, Dept Oral &amp; Maxillofacial Surg, Groningen, Netherlands.</t>
  </si>
  <si>
    <t>a.vissink@umcg.nl</t>
  </si>
  <si>
    <t>; Arends, Suzanne/M-5436-2015</t>
  </si>
  <si>
    <t>Kroese, Frans/0000-0003-3660-0617; Pringle, Sarah/0000-0002-0779-1680; de Wolff, Liseth/0000-0002-7917-5449; Arends, Suzanne/0000-0002-4422-7640; Verstappen, Gwenny/0000-0002-5682-6085</t>
  </si>
  <si>
    <t>1744-666X</t>
  </si>
  <si>
    <t>1744-8409</t>
  </si>
  <si>
    <t>EXPERT REV CLIN IMMU</t>
  </si>
  <si>
    <t>Expert Rev. Clin. Immunol.</t>
  </si>
  <si>
    <t>10.1080/1744666X.2023.2234641</t>
  </si>
  <si>
    <t>S5HH8</t>
  </si>
  <si>
    <t>WOS:001044069700001</t>
  </si>
  <si>
    <t>Sajid, A; von Holst, C</t>
  </si>
  <si>
    <t>Sajid, Amin; von Holst, Christoph</t>
  </si>
  <si>
    <t>Analysis of feed additives by DART mass spectrometry: method optimisation and applications for product traceability in the European Union focusing on coccidiostats and carotenoids</t>
  </si>
  <si>
    <t>FOOD ADDITIVES AND CONTAMINANTS PART A-CHEMISTRY ANALYSIS CONTROL EXPOSURE &amp; RISK ASSESSMENT</t>
  </si>
  <si>
    <t>Feed additives; Direct Analysis in Real Time coupled to High Resolution Mass Spectrometry (DART-HRMS); product traceability; regulatory compliance; chemometrics; factorial design; &gt;</t>
  </si>
  <si>
    <t>AUTHENTICITY</t>
  </si>
  <si>
    <t>In this study, direct analysis in real time high resolution mass spectrometry (DART-HRMS) was used to investigate the accurate characterisation of feed additive formulations containing coccidiostats or carotenoids. The study demonstrates the efficacy of DART-HRMS in identifying the active substances in these formulations and distinguishing between feed additives with the same active substance. The protocol for this method involves two simple steps that are extracting samples with organic solvents and measuring the extracts with DART-HRMS. The study also employs various statistical tools, including a factorial design approach, to optimise the DART-HRMS settings, and multivariate statistics, to establish classification models for feed additive formulations using nominal mass spectra. Our study demonstrates the potential of DART-HRMS in ensuring the correct identification of feed additives containing various coccidiostats or carotenoids and proposes this tool as an additional means for compliance checks with EU regulations.</t>
  </si>
  <si>
    <t>[Sajid, Amin; von Holst, Christoph] European Commiss, Joint Res Ctr JRC, Geel, Belgium</t>
  </si>
  <si>
    <t>von Holst, C (corresponding author), European Commiss, Joint Res Ctr JRC, Geel, Belgium.</t>
  </si>
  <si>
    <t>JRC-EURL-FEED-ADDITIVES-CONTROL@ec.europa.eu</t>
  </si>
  <si>
    <t>Sajid, Amin/0000-0002-2596-9999; von Holst, christoph/0000-0002-5892-2302</t>
  </si>
  <si>
    <t>1944-0049</t>
  </si>
  <si>
    <t>1944-0057</t>
  </si>
  <si>
    <t>FOOD ADDIT CONTAM A</t>
  </si>
  <si>
    <t>Food Addit. Contam. Part A-Chem.</t>
  </si>
  <si>
    <t>10.1080/19440049.2023.2240437</t>
  </si>
  <si>
    <t>Chemistry, Applied; Food Science &amp; Technology; Toxicology</t>
  </si>
  <si>
    <t>Chemistry; Food Science &amp; Technology; Toxicology</t>
  </si>
  <si>
    <t>R4TZ0</t>
  </si>
  <si>
    <t>WOS:001044927200001</t>
  </si>
  <si>
    <t>Samuels, C; Leggett, R</t>
  </si>
  <si>
    <t>Samuels, Caleigh; Leggett, Rich</t>
  </si>
  <si>
    <t>Dose reconstruction for plutonium-239 intakes at the Rocky Flats Plant</t>
  </si>
  <si>
    <t>INTERNATIONAL JOURNAL OF RADIATION BIOLOGY</t>
  </si>
  <si>
    <t>Million person study; rocky flats plant; plutonium; dose reconstruction; dioxide; nitrate; &gt;</t>
  </si>
  <si>
    <t>PurposeThe Rocky Flats (RF) Plant was a weapons manufacturing facility that operated from the early 1950s to 1989. Its primary missions were the production of plutonium (Pu) pits for thermonuclear weapons and the processing of retired weapons for Pu recovery. The purpose of this study was to estimate radiation doses to a cohort of 4499 RF workers from an intake of Pu-239, the primary plutonium isotope handled at the site.Materials and methodsThe latest biokinetic models of the International Commission on Radiological Protection, or site-specific variations of those models, were used to estimate Pu-239 intakes for each worker based on model fits to bioassay data often coupled with lung measurements.ResultsUrinary excretion and lung retention data for most Pu-239 intakes could be fit reasonably well by a mixture of Pu dioxide and moderately soluble material. For some workers, better fits were obtained by application of other absorption types including Type S, Pu-239 nitrate, or pure Pu-239 dioxide, or by assuming intake via a wound. The lungs typically received the highest tissue doses, with fifty-year committed equivalent doses in the range of 0.5-1 Sv for 275 workers, 1-5 Sv for 115 workers, and greater than 5 Sv for 12 workers.ConclusionsRF was a unique site regarding a large number of lung measurements available for determining the appropriate absorption types for inhaled material. This provided higher confidence in reconstructed Pu-239 doses than is generally gained from urinary data alone.</t>
  </si>
  <si>
    <t>[Samuels, Caleigh; Leggett, Rich] Oak Ridge Natl Lab, Environm Sci Div, Oak Ridge, TN USA; [Samuels, Caleigh] Oak Ridge Natl Lab, Environm Sci Div, POB 2008,MS 6038, Oak Ridge, TN 37831 USA</t>
  </si>
  <si>
    <t>United States Department of Energy (DOE); Oak Ridge National Laboratory; United States Department of Energy (DOE); Oak Ridge National Laboratory</t>
  </si>
  <si>
    <t>Samuels, C (corresponding author), Oak Ridge Natl Lab, Environm Sci Div, POB 2008,MS 6038, Oak Ridge, TN 37831 USA.</t>
  </si>
  <si>
    <t>samuelsce@ornl.gov</t>
  </si>
  <si>
    <t>Samuels, Caleigh/0000-0002-7854-0029</t>
  </si>
  <si>
    <t>Office of Environment, Health, Safety, and Security, U.S. Department of Energy; National Council on Radiation Protection and Measurements [14B759101, DE-AC05-00OR22725]; UT-Battelle; National Center for Environmental Health, The Centers for Disease Control and Prevention (CDC) [DE-AC05-00OR22725, 42WZ05105, 42WZ46502]; U.S. Department of Energy [DE-AC05-00OR22725, DE-SC0008944]; U.S. Nuclear Regulatory Commission; U.S. Environmental Protection Agency; National Aeronautics and Space Administration; U.S. Nuclear Regulatory Commission [DE-AU0000046]; Centers for Disease Control and Prevention [NRC-HQ-60-14-G-0011, 5UE1EH000989]; National Aeronautics and Space Administration [5NUE1EH001315, NNX15AU88G, 80NSSC17M0016]; Naval Sea Systems Command [80NSSC19M0161]; Oak Ridge National Laboratory from the National Center for Environmental Health, The Centers for Disease Control and Prevention [42WZ05105, 42WZ46502, N00024-17-C-4322]; [DE-SC0014664]; [DE-AU0000042]</t>
  </si>
  <si>
    <t>Office of Environment, Health, Safety, and Security, U.S. Department of Energy(United States Department of Energy (DOE)); National Council on Radiation Protection and Measurements; UT-Battelle; National Center for Environmental Health, The Centers for Disease Control and Prevention (CDC); U.S. Department of Energy(United States Department of Energy (DOE)); U.S. Nuclear Regulatory Commission; U.S. Environmental Protection Agency(United States Environmental Protection Agency); National Aeronautics and Space Administration(National Aeronautics &amp; Space Administration (NASA)); U.S. Nuclear Regulatory Commission; Centers for Disease Control and Prevention(United States Department of Health &amp; Human ServicesCenters for Disease Control &amp; Prevention - USA); National Aeronautics and Space Administration(National Aeronautics &amp; Space Administration (NASA)); Naval Sea Systems Command; Oak Ridge National Laboratory from the National Center for Environmental Health, The Centers for Disease Control and Prevention; ;</t>
  </si>
  <si>
    <t>The work described in this manuscript was sponsored by the Office of Environment, Health, Safety, and Security, U.S. Department of Energy; National Council on Radiation Protection and Measurements, under Interagency Agreement DOE No. 14B759101, under contract No. DE-AC05-00OR22725 with UT-Battelle; and National Center for Environmental Health, The Centers for Disease Control and Prevention (CDC), under Interagency Agreement DOE No. 42WZ05105 and 42WZ46502, under contract No. DE-AC05-00OR22725 with UT-Battelle. The dose reconstruction for RF workers was a component of the Million Person Study, which was financially supported in part by grants from the U.S. Department of Energy [DE-SC0008944] awarded to the National Council on Radiation Protection and Measurements, which included interagency support from the U.S. Nuclear Regulatory Commission, the U.S. Environmental Protection Agency, and the National Aeronautics and Space Administration; and more recent grants [DE-AU0000042, DE-AU0000046]; a grant from the U.S. Nuclear Regulatory Commission [NRC-HQ-60-14-G-0011]; grants from the Centers for Disease Control and Prevention [5UE1EH000989, 5NUE1EH001315]; and grants from the National Aeronautics and Space Administration [NNX15AU88G, 80NSSC17M0016, 80NSSC19M0161]. Contract support was received from the Naval Sea Systems Command [N00024-17-C-4322]. Further, contract support was received by Oak Ridge National Laboratory from the National Center for Environmental Health, The Centers for Disease Control and Prevention, under Interagency Agreement DOE No. 42WZ05105 and 42WZ46502, under contract No. DE-AC05-00OR22725 with UT-Battelle; and contract support was received by Oak Ridge Associated Universities from the U.S. Department of Energy under contract No. DE-SC0014664. The work described in this manuscript was sponsored by the Office of Environment, Health, Safety, and Security, U.S. Department of Energy; National Council on Radiation Protection and Measurements, under Interagency Agreement DOE No. 14B759101, under contract No. DE-AC05-00OR22725 with UT-Battelle; and National Center for Environmental Health, The Centers for Disease Control and Prevention (CDC), under Interagency Agreement DOE No. 42WZ05105 and 42WZ46502, under contract No. DE-AC05-00OR22725 with UT-Battelle.</t>
  </si>
  <si>
    <t>0955-3002</t>
  </si>
  <si>
    <t>1362-3095</t>
  </si>
  <si>
    <t>INT J RADIAT BIOL</t>
  </si>
  <si>
    <t>Int. J. Radiat. Biol.</t>
  </si>
  <si>
    <t>10.1080/09553002.2023.2241896</t>
  </si>
  <si>
    <t>Biology; Nuclear Science &amp; Technology; Radiology, Nuclear Medicine &amp; Medical Imaging</t>
  </si>
  <si>
    <t>Life Sciences &amp; Biomedicine - Other Topics; Nuclear Science &amp; Technology; Radiology, Nuclear Medicine &amp; Medical Imaging</t>
  </si>
  <si>
    <t>P0XM7</t>
  </si>
  <si>
    <t>WOS:001047955600001</t>
  </si>
  <si>
    <t>Tseng, A</t>
  </si>
  <si>
    <t>Tseng, Amelia</t>
  </si>
  <si>
    <t>Nativized exoticism in el pais de todas las sangres</t>
  </si>
  <si>
    <t>Identity; migration; nation; Asian; Latin America; discourse; &gt;</t>
  </si>
  <si>
    <t>NATIONAL IDENTITY; LATIN-AMERICA; CHINESE; MESTIZAJE; CHINATOWN; MEXICO; COLOR; FOOD; RACE</t>
  </si>
  <si>
    <t>In this paper I develop a perspective of nativized exoticism to describe how discourses around Peruvian Chineseness as both assimilated and exotic promote a multicultural mestizo national narrative that nevertheless overlooks questions of representation and the subject gaze. Using a qualitative approach, my argument connects micro-level analysis of spoken and mediated discourse to the broader contemporary and sociohistorical context. Findings extend existing work on processes of racialization in diaspora and the image of Asians as perpetual foreigners as well as imagined societies (Anderson, B. 2006. Imagined Communities: Reflections on the Origin and Spread of Nationalism. London: Verso) and myths of equalizing mestizaje in Latin America. Findings further connect cotidian discourses to broader issues of appropriation and materiality within the national identity narrative.</t>
  </si>
  <si>
    <t>[Tseng, Amelia] Amer Univ, World Languages &amp; Cultures, Washington, DC 20016 USA</t>
  </si>
  <si>
    <t>American University</t>
  </si>
  <si>
    <t>Tseng, A (corresponding author), Amer Univ, World Languages &amp; Cultures, Washington, DC 20016 USA.</t>
  </si>
  <si>
    <t>tseng@american.edu</t>
  </si>
  <si>
    <t>10.1080/01419870.2023.2243306</t>
  </si>
  <si>
    <t>O5GB2</t>
  </si>
  <si>
    <t>WOS:001044082100001</t>
  </si>
  <si>
    <t>Bilgic, S; Baloglu, M</t>
  </si>
  <si>
    <t>Bilgic, Serife; Baloglu, Mustafa</t>
  </si>
  <si>
    <t>A bibliometric analysis of research on giftedness and mathematics</t>
  </si>
  <si>
    <t>Giftedness; mathematics; gifted education; mathematics education; bibliometric analysis; &gt;</t>
  </si>
  <si>
    <t>WEB-OF-SCIENCE; SELF-EFFICACY; EDUCATION; PERFORMANCE; CREATIVITY; STUDENTS; SCOPUS; JOURNALS; IMPACT</t>
  </si>
  <si>
    <t>The current study aimed to (i) creates a bibliometric map of studies conducted on giftedness and mathematics and covered in the Scopus database and (ii) provide a holistic examination of these studies. Analyses included 1088 studies published between 1917 and 2022. We used the VOS viewer for social network visualisations. Using the bibliometric analysis method, we examined the studies regarding the most productive journals, country of origin, citations, and keywords. We found that the number of studies has increased within the last two decades. The outcomes of this research will benefit researchers who study the subject by holistically showing the field.</t>
  </si>
  <si>
    <t>[Bilgic, Serife; Baloglu, Mustafa] Hacettepe Univ, Fac Educ, Dept Special Educ, TR-06800 Cankaya, Ankara, Turkiye</t>
  </si>
  <si>
    <t>Hacettepe University</t>
  </si>
  <si>
    <t>Bilgic, S (corresponding author), Hacettepe Univ, Fac Educ, Dept Special Educ, TR-06800 Cankaya, Ankara, Turkiye.</t>
  </si>
  <si>
    <t>serifebilgic7@gmail.com</t>
  </si>
  <si>
    <t>Bilgic, Serife/AAR-1251-2021</t>
  </si>
  <si>
    <t>Bilgic, Serife/0000-0001-8476-7134</t>
  </si>
  <si>
    <t>2023 AUG 9</t>
  </si>
  <si>
    <t>10.1080/0020739X.2023.2236611</t>
  </si>
  <si>
    <t>P0XL5</t>
  </si>
  <si>
    <t>WOS:001047954400001</t>
  </si>
  <si>
    <t>Chen, BH; Zhao, YL; Yu, DY; Lin, FF; Xu, ZY; Song, JM; Li, XH</t>
  </si>
  <si>
    <t>Chen, Binhao; Zhao, Yali; Yu, Dingyi; Lin, Feifei; Xu, Zhengyuan; Song, Jingmei; Li, Xiaohong</t>
  </si>
  <si>
    <t>Optimizing the extraction of active components from Salvia miltiorrhiza by combination of machine learning models and intelligent optimization algorithms and its correlation analysis of antioxidant activity</t>
  </si>
  <si>
    <t>Ant colony optimization; antioxidant; enzymatic hydrolysis; extraction process; neural network; Salvia miltiorrhiza; &gt;</t>
  </si>
  <si>
    <t>TANSHINONE IIA; RADIX</t>
  </si>
  <si>
    <t>We extracted Sal B and TIIA from Salvia miltiorrhiza using enzymatic-assisted ethanol extraction. ACONN predicted optimal process conditions. Enzymolysis and alcohol extraction were used, optimizing conditions and evaluating antioxidant activity. ACONN analyzed data and ACO optimized conditions. Lab verification comprehensively evaluated the conditions. The correlation between Sal B, TIIA, and their antioxidant activities was examined. Weights of 0.5739 and 0.4260 evaluated Sal B and TIIA. ACONN had a 97.46% fitting degree. Optimized extraction conditions improved yield and quality, yielding a comprehensive evaluation value of 27.69 with 4.46% average errors. This approach enhances extraction and compound quality. Antioxidant activity strongly correlated with component yield, influenced by extraction conditions. ACONN-optimized extraction improved Sal B and TIIA yield and quality, with potential as natural antioxidants. Integrating machine learning and optimization algorithms in industrial extraction enhances efficiency and environmental preservation.</t>
  </si>
  <si>
    <t>[Chen, Binhao] Zhejiang Chinese Med Univ, Sch Clin Med 1, Hangzhou, Peoples R China; [Zhao, Yali; Lin, Feifei; Xu, Zhengyuan] Zhejiang Chinese Med Univ, Sch Life Sci, Hangzhou, Peoples R China; [Yu, Dingyi] Zhejiang Chinese Med Univ, Sch Clin Med 2, Hangzhou, Peoples R China; [Song, Jingmei] Zhejiang Chinese Med Univ, Sch Basic Med, Hangzhou, Peoples R China; [Li, Xiaohong] Zhejiang Chinese Med Univ, Sch Pharmaceut Sci, Hangzhou, Peoples R China; [Song, Jingmei; Li, Xiaohong] Zhejiang Chinese Med Univ, Hangzhou 310053, Zhejiang, Peoples R China</t>
  </si>
  <si>
    <t>Zhejiang Chinese Medical University; Zhejiang Chinese Medical University; Zhejiang Chinese Medical University; Zhejiang Chinese Medical University; Zhejiang Chinese Medical University; Zhejiang Chinese Medical University</t>
  </si>
  <si>
    <t>Song, JM; Li, XH (corresponding author), Zhejiang Chinese Med Univ, Hangzhou 310053, Zhejiang, Peoples R China.</t>
  </si>
  <si>
    <t>songjingmei1983@163.com; li_xiaoh2005@163.com</t>
  </si>
  <si>
    <t>Education Science Planning Project of Zhejiang Province [2022SCG428]; Zhejiang Provincial Natural Science Foundation [LY22H270002]; Zhejiang Provincial Science and Technology Project of Traditional Chinese Medicine [2023ZF059]</t>
  </si>
  <si>
    <t>Education Science Planning Project of Zhejiang Province; Zhejiang Provincial Natural Science Foundation(Natural Science Foundation of Zhejiang Province); Zhejiang Provincial Science and Technology Project of Traditional Chinese Medicine</t>
  </si>
  <si>
    <t>This research was jointly supported by the Education Science Planning Project of Zhejiang Province (No. 2022SCG428), Zhejiang Provincial Natural Science Foundation (No. LY22H270002), Zhejiang Provincial Science and Technology Project of Traditional Chinese Medicine (No. 2023ZF059).</t>
  </si>
  <si>
    <t>10.1080/10826068.2023.2243493</t>
  </si>
  <si>
    <t>O6MI2</t>
  </si>
  <si>
    <t>WOS:001044922100001</t>
  </si>
  <si>
    <t>Fakih, A; Hammoud, M; Sayour, N</t>
  </si>
  <si>
    <t>Fakih, Ali; Hammoud, Mohammad; Sayour, Nagham</t>
  </si>
  <si>
    <t>Youth voting and institutional change in the post-Arab Spring MENA region</t>
  </si>
  <si>
    <t>ECONOMIC AND POLITICAL STUDIES-EPS</t>
  </si>
  <si>
    <t>Voting behaviour; youth; Arab Spring; institutional change; the MENA region; &gt;</t>
  </si>
  <si>
    <t>POLITICAL-PARTICIPATION; TURNOUT; BEHAVIOR; VOTERS; EMPLOYMENT; GAP</t>
  </si>
  <si>
    <t>Using a unique and novel dataset on the youth, the SAHWA Youth Survey (2016), we apply probit and ordered probit models to study the determinants of voting behaviour change among the youth in the Middle East and North Africa (MENA) region in the post-Arab Spring era. We find that drivers of voting vary depending on whether we consider the voting behaviour in the last elections or the likelihood of voting in the next elections. Specifically, socioeconomic variables and some Arab Spring factors are significant for both types of elections. However, institutional variables and personal beliefs only affect the likelihood of voting in the next elections. We also document heterogeneous effects for the last and next votes by gender.</t>
  </si>
  <si>
    <t>[Fakih, Ali] Lebanese Amer Univ, Dept Econ, Beirut, Lebanon; [Hammoud, Mohammad] Ctr Lebanese Studies, Beirut, Lebanon; [Sayour, Nagham] Zayed Univ, Dept Econ &amp; Finance, Dubai, U Arab Emirates</t>
  </si>
  <si>
    <t>Lebanese American University; Zayed University</t>
  </si>
  <si>
    <t>Fakih, A (corresponding author), Lebanese Amer Univ, Dept Econ, Beirut, Lebanon.</t>
  </si>
  <si>
    <t>afakih@lau.edu.lb</t>
  </si>
  <si>
    <t>Sayour, Nagham/AAE-7985-2020</t>
  </si>
  <si>
    <t>Sayour, Nagham/0000-0002-9352-1782</t>
  </si>
  <si>
    <t>2095-4816</t>
  </si>
  <si>
    <t>2470-4024</t>
  </si>
  <si>
    <t>ECON POLIT STUD-EPS</t>
  </si>
  <si>
    <t>Econ. Polit. Stud.-EPS</t>
  </si>
  <si>
    <t>10.1080/20954816.2023.2226827</t>
  </si>
  <si>
    <t>O7ER8</t>
  </si>
  <si>
    <t>WOS:001045403300001</t>
  </si>
  <si>
    <t>Kassem, R</t>
  </si>
  <si>
    <t>Kassem, Rasha</t>
  </si>
  <si>
    <t>Police Crime: Investigating Insider Fraud in UK Policing</t>
  </si>
  <si>
    <t>DEVIANT BEHAVIOR</t>
  </si>
  <si>
    <t>CORRUPTION; PERCEPTION; DEVIANCE; ENGLAND</t>
  </si>
  <si>
    <t>This study is the first to provide a holistic view of an understudied topic, insider fraud in UK policing. Using semi-structured interviews with twenty-six UK police officers, it explores insider fraud forms, methods, perpetrators, consequences, and detection. The study finds corruption and asset misappropriation the primary forms of insider fraud in UK policing. Various methods for committing these two fraud schemes are identified. However, abusing authority for sexual gain is the most common form of corruption. In contrast, selling confidential data on police systems to criminals for financial gain is the predominant form of asset misappropriation. Financially motivated insider fraud is less likely to be committed by senior management. Conflicts of interest are more likely to be perpetrated by higher managerial ranks, such as superintendents and above. In most cases, the perpetrators were dismissed rather than prosecuted, and in other cases, they did not even get dismissed. Detecting insider fraud in UK policing is reactive rather than proactive. The findings have implications for policing research, policy, and practice, later discussed.</t>
  </si>
  <si>
    <t>[Kassem, Rasha] Aston Univ, Birmingham, England</t>
  </si>
  <si>
    <t>Aston University</t>
  </si>
  <si>
    <t>Kassem, R (corresponding author), Aston Univ, Birmingham, England.</t>
  </si>
  <si>
    <t>rasha.kassemuk@gmail.com</t>
  </si>
  <si>
    <t>Kassem, Rasha/L-4256-2019</t>
  </si>
  <si>
    <t>Kassem, Rasha/0000-0001-5384-3800</t>
  </si>
  <si>
    <t>0163-9625</t>
  </si>
  <si>
    <t>1521-0456</t>
  </si>
  <si>
    <t>DEVIANT BEHAV</t>
  </si>
  <si>
    <t>Deviant Behav.</t>
  </si>
  <si>
    <t>10.1080/01639625.2023.2244116</t>
  </si>
  <si>
    <t>Criminology &amp; Penology; Psychology, Social; Sociology</t>
  </si>
  <si>
    <t>Criminology &amp; Penology; Psychology; Sociology</t>
  </si>
  <si>
    <t>O3YN0</t>
  </si>
  <si>
    <t>WOS:001043206300001</t>
  </si>
  <si>
    <t>Kouba, O</t>
  </si>
  <si>
    <t>Kouba, Omran</t>
  </si>
  <si>
    <t>Binomial identities obtained from the Gegenbauer series expansion</t>
  </si>
  <si>
    <t>INTEGRAL TRANSFORMS AND SPECIAL FUNCTIONS</t>
  </si>
  <si>
    <t>Gegenbauer polynomials; Legendre polynomials; Chebyshev polynomials of the first and second kind; gamma function; Pochhammer symbol</t>
  </si>
  <si>
    <t>INTERPLAY</t>
  </si>
  <si>
    <t>Using the Fourier-Gegenbauer series, we prove several identities that generalize known results. In particular, it is proved, that Sigma(infinity)(n=0) 1/4(n) (2n/n) z-2n/(z-1/2/n)) (z/n)(3) = tan (pi z)/pi for all complex numbers z such that R(z) &gt; 1/2 and z is not an element of 1/2 + z. In addition, for all nonnegative integers m, we obtain the Ramanujan-type series 2/pi = Sigma(infinity)(n=m) (-1)(n-m) (1+4n)/64(n) (2n-2m / n-m ) (2n/n) (2n+2m / m+n ) 2(4m+5) / pi(2) = Sigma(infinity)(n=0) (1+2m+4n)(2m+1)(2m+3)/(m+n+1)(2) (2n-1)(2) 256(n) (2n/n)(2) (2m+2m/m+n)(2). Which are known in the case m=0.</t>
  </si>
  <si>
    <t>[Kouba, Omran] Higher Inst Appl Sci &amp; Technol, Damascus, Syria; [Kouba, Omran] Higher Inst Appl Sci &amp; Technol, Dept Math, POB 31983, Damascus, Syria</t>
  </si>
  <si>
    <t>Kouba, O (corresponding author), Higher Inst Appl Sci &amp; Technol, Dept Math, POB 31983, Damascus, Syria.</t>
  </si>
  <si>
    <t>omran_kouba@hiast.edu.sy</t>
  </si>
  <si>
    <t>kouba, omran/G-5044-2017</t>
  </si>
  <si>
    <t>kouba, omran/0000-0002-9577-3326</t>
  </si>
  <si>
    <t>1065-2469</t>
  </si>
  <si>
    <t>1476-8291</t>
  </si>
  <si>
    <t>INTEGR TRANSF SPEC F</t>
  </si>
  <si>
    <t>Integral Transform. Spec. Funct.</t>
  </si>
  <si>
    <t>10.1080/10652469.2023.2244648</t>
  </si>
  <si>
    <t>Mathematics, Applied; Mathematics</t>
  </si>
  <si>
    <t>P1BA6</t>
  </si>
  <si>
    <t>WOS:001048048400001</t>
  </si>
  <si>
    <t>Lake, RW</t>
  </si>
  <si>
    <t>Lake, Robert W.</t>
  </si>
  <si>
    <t>From Professional Geography to Public Geography, from Representational Certainty to Not Knowing the Answer</t>
  </si>
  <si>
    <t>PROFESSIONAL GEOGRAPHER</t>
  </si>
  <si>
    <t>certainty; knowledge; plurality; pragmatism; publicity</t>
  </si>
  <si>
    <t>PRAGMATISM</t>
  </si>
  <si>
    <t>Most practices of professional geography employ a realist ontology of knowledge, seeking accurate representations of an external world that exists in itself, prior to our attempts to know it. Certainty in the accuracy of our interior representations of an external world, however, breeds dogmatic claims to truth in the attempt to bridge the unbridgeable gap separating matter from mind. A reading of Rorty's (2021) posthumously published Pragmatism as Anti-Authoritarianism offers an escape from authoritarian certainty by charting a shift from professional geography to a public geography (although he never used that term). Making this move entails a shift from analysis to conversation; from abstract theorization to the extension of loyalty to the widest possible plurality of publics; and from representing an antecedent truth to the pragmatist's goal of reaching collective agreement on what to do. Rorty's antiauthoritarian pragmatism makes a compelling case to stop thinking of knowledge as correctly answering a multiple-choice question in which the answer is known in advance and instead to nurture a public geography aimed toward the larger challenge of negotiating collective agreement on how we should live together in an interdependent world.</t>
  </si>
  <si>
    <t>[Lake, Robert W.] Rutgers State Univ, Bloustein Sch Planning &amp; Publ Policy, New Brunswick, NJ 08901 USA</t>
  </si>
  <si>
    <t>Rutgers State University New Brunswick</t>
  </si>
  <si>
    <t>Lake, RW (corresponding author), Rutgers State Univ, Bloustein Sch Planning &amp; Publ Policy, New Brunswick, NJ 08901 USA.</t>
  </si>
  <si>
    <t>rlake@rutgers.edu</t>
  </si>
  <si>
    <t>I thank Priti Narayan and Emily Rosenman for organizing this Focus section and for generously including me in the discussion. Bob Beauregard, Carol Corden, Kathe Newman, Tamar Rothenberg, and Jane Wills provided extremely helpful comments on previous draft</t>
  </si>
  <si>
    <t>I thank Priti Narayan and Emily Rosenman for organizing this Focus section and for generously including me in the discussion. Bob Beauregard, Carol Corden, Kathe Newman, Tamar Rothenberg, and Jane Wills provided extremely helpful comments on previous drafts.</t>
  </si>
  <si>
    <t>0033-0124</t>
  </si>
  <si>
    <t>1467-9272</t>
  </si>
  <si>
    <t>PROF GEOGR</t>
  </si>
  <si>
    <t>Prof. Geogr.</t>
  </si>
  <si>
    <t>10.1080/00330124.2023.2242465</t>
  </si>
  <si>
    <t>R7YA9</t>
  </si>
  <si>
    <t>WOS:001066463900001</t>
  </si>
  <si>
    <t>Mariadoss, S; Augustin, F</t>
  </si>
  <si>
    <t>Mariadoss, Stephen; Augustin, Felix</t>
  </si>
  <si>
    <t>Fuzzy entropy DEMATEL inference system for accurate and efficient cardiovascular disease diagnosis</t>
  </si>
  <si>
    <t>Cardiovascular disease; fuzzy DEMATEL; CFCS method; entropy measure; rule reduction; Mamdani fuzzy inference system</t>
  </si>
  <si>
    <t>RISK; CLASSIFICATION; PREDICTION; RECOMMENDATION; MAMDANI; IF</t>
  </si>
  <si>
    <t>The global population is at risk from both communicable and non-communicable deadly diseases, including cardiovascular disease. Early detection and prevention of cardiovascular disease require an accurate self-detection model. Therefore, this study introduces a novel fuzzy entropy DEMATEL inference system for accurate self-detection of cardiovascular disease. It combines fuzzy DEMATEL, entropy, and Mamdani fuzzy inference, utilizing innovative strategies like attribute reduction, entropy-based clustering, influential factor selection, and rule reduction. The system achieves high accuracy (98.69%) and sensitivity (98.62%), outperforming existing methods. Validation includes satisfactory factor analysis, performance measures and statistical analysis, demonstrating its effectiveness in addressing complexity and prioritizing factors.</t>
  </si>
  <si>
    <t>[Mariadoss, Stephen; Augustin, Felix] Vellore Inst Technol, Sch Adv Sci, Div Math, Chennai, Tamil Nadu, India</t>
  </si>
  <si>
    <t>Vellore Institute of Technology (VIT); VIT Chennai</t>
  </si>
  <si>
    <t>Augustin, F (corresponding author), Vellore Inst Technol, Sch Adv Sci, Div Math, Chennai, Tamil Nadu, India.</t>
  </si>
  <si>
    <t>felix.a@vit.ac.in</t>
  </si>
  <si>
    <t>AUG 9</t>
  </si>
  <si>
    <t>10.1080/10255842.2023.2245518</t>
  </si>
  <si>
    <t>P9DS8</t>
  </si>
  <si>
    <t>WOS:001053614300001</t>
  </si>
  <si>
    <t>Staples-Dixon, JM</t>
  </si>
  <si>
    <t>Staples-Dixon, Jeanine M.</t>
  </si>
  <si>
    <t>Extraordinary literacies &amp; empyreal logics: regarding the everyday praxises of Black girls and women in schools and society</t>
  </si>
  <si>
    <t>[Staples-Dixon, Jeanine M.] Penn State Univ, Dept Curriculum &amp; Instruct, Literacy &amp; Language, University Pk, PA 16802 USA; [Staples-Dixon, Jeanine M.] Penn State Univ, Dept African Amer Studies, Literacy &amp; Language, University Pk, PA 16802 USA; [Staples-Dixon, Jeanine M.] Penn State Univ, Dept Womens Gender &amp; Sexual Studies, Literacy &amp; Language, University Pk, PA 16802 USA</t>
  </si>
  <si>
    <t>Pennsylvania Commonwealth System of Higher Education (PCSHE); Pennsylvania State University; Pennsylvania State University - University Park; Pennsylvania Commonwealth System of Higher Education (PCSHE); Pennsylvania State University; Pennsylvania State University - University Park; Pennsylvania Commonwealth System of Higher Education (PCSHE); Pennsylvania State University; Pennsylvania State University - University Park</t>
  </si>
  <si>
    <t>Staples-Dixon, JM (corresponding author), Penn State Univ, Dept Curriculum &amp; Instruct, Literacy &amp; Language, University Pk, PA 16802 USA.;Staples-Dixon, JM (corresponding author), Penn State Univ, Dept African Amer Studies, Literacy &amp; Language, University Pk, PA 16802 USA.;Staples-Dixon, JM (corresponding author), Penn State Univ, Dept Womens Gender &amp; Sexual Studies, Literacy &amp; Language, University Pk, PA 16802 USA.</t>
  </si>
  <si>
    <t>staples@psu.edu</t>
  </si>
  <si>
    <t>10.1080/09518398.2023.2203100</t>
  </si>
  <si>
    <t>N0YY6</t>
  </si>
  <si>
    <t>WOS:001034385100001</t>
  </si>
  <si>
    <t>Wang, J; Ding, XW; Wang, KX</t>
  </si>
  <si>
    <t>Wang, Juan; Ding, Xuanwen; Wang, Kexin</t>
  </si>
  <si>
    <t>Brand gestalt cognition and tourists' destination decision making: a study of international island destinations</t>
  </si>
  <si>
    <t>Tourists' decision making; brand gestalt; international island destinations; brand cognition; machine learning; &gt;</t>
  </si>
  <si>
    <t>MACHINE; EXPERIENCE; DIMENSIONS; TRAVELERS; MODEL</t>
  </si>
  <si>
    <t>Destination brand cognition plays an important role in tourists' decisions. This study constructs a decision-making framework based on the brand gestalt model to investigate how brand gestalt cognition influences tourists' destination choices. Findings were drawn from 182,357 online comments about seven international island destinations, posted on Chinese tourism social media platforms. Data were processed using emotion mining technology and random forest machine learning methods. Results showed that (1) the environment and product/service providers were key factors affecting tourists' decision making in island destinations. (2) Individuals' decision-making preferences were grouped into four types: environment-product/service preferences, story-product/service preferences, environment-experience preferences, and environment-tourist preferences. (3) Island destinations possessing strong competitiveness in all dimensions of brand gestalt could more effectively meet tourists' needs. This study enriches understanding of tourists' decision making from a brand gestalt perspective, and implications are provided for building destinations' brand ecosystems.</t>
  </si>
  <si>
    <t>[Wang, Juan; Wang, Kexin] Ocean Univ China, Sch Management, Qingdao, Peoples R China; [Wang, Juan] Ocean Univ China, Inst Marine Dev, Qingdao, Peoples R China; [Ding, Xuanwen] Nankai Univ, Coll Tourism &amp; Serv Management, Tianjin, Peoples R China</t>
  </si>
  <si>
    <t>Ocean University of China; Ocean University of China; Nankai University</t>
  </si>
  <si>
    <t>Wang, J (corresponding author), Ocean Univ China, Sch Management, Qingdao, Peoples R China.;Wang, J (corresponding author), Ocean Univ China, Inst Marine Dev, Qingdao, Peoples R China.</t>
  </si>
  <si>
    <t>wj@ouc.edu.cn</t>
  </si>
  <si>
    <t>Frontier Science Research Support Program, Management College, OUC [MCQYYB2301]; Natural Science Foundation of Shandong Province [ZR2023MG065]</t>
  </si>
  <si>
    <t>Frontier Science Research Support Program, Management College, OUC; Natural Science Foundation of Shandong Province(Natural Science Foundation of Shandong Province)</t>
  </si>
  <si>
    <t>This work was supported by Frontier Science Research Support Program, Management College, OUC: [Grant Number MCQYYB2301]; and Natural Science Foundation of Shandong Province: [Grant Number ZR2023MG065].</t>
  </si>
  <si>
    <t>10.1080/13683500.2023.2245108</t>
  </si>
  <si>
    <t>O3YE1</t>
  </si>
  <si>
    <t>WOS:001043197400001</t>
  </si>
  <si>
    <t>Zuev, D; Simpson, T</t>
  </si>
  <si>
    <t>Zuev, Dennis; Simpson, Tim</t>
  </si>
  <si>
    <t>Affective atmospheres in Macau: from the sublime to the uncanny</t>
  </si>
  <si>
    <t>VISUAL STUDIES</t>
  </si>
  <si>
    <t>This article examines the atmospheric identity of the Chinese city-state of Macau, which has a distinctive urban charisma owing to its 500-year history as a Portuguese colony and its contemporary development into a global tourist site. By analysing visual ethnographic data, the research understands Macau's urban space with attention to its affective atmospheres. The research explores how visual analysis of urban atmospheres may enhance understanding of a city's atmospheric identity. The article analyses the sublime and uncanny as two complementary affective fields exemplified by two unconventional locales: the Hong Kong-Zhuhai-Macau bridge and the adjacent Chinese Special Economic Zone of Hengqin Island. The article demonstrates that visual analysis of affective atmospheres can be instrumental in describing how people, emotions, objects and environments are reconstituted in a continuous process of urban change and development.</t>
  </si>
  <si>
    <t>[Zuev, Dennis] Univ St Joseph, Dept Hist &amp; Heritage, Macau, Peoples R China; [Zuev, Dennis] Res Lab Cultural Sustainabil, Macau, Peoples R China; [Zuev, Dennis] IUL, CIES ISCTE, Lisbon, Portugal; [Zuev, Dennis] Univ Lisbon, Inst Oriente, Lisbon, Portugal; [Simpson, Tim] Univ Macau, Fac Social Sci, Commun, Taipa, Peoples R China</t>
  </si>
  <si>
    <t>University of Saint Joseph (Macao); Instituto Universitario de Lisboa; Universidade de Lisboa; University of Macau</t>
  </si>
  <si>
    <t>Zuev, D (corresponding author), Univ St Joseph, Dept Hist &amp; Heritage, Macau, Peoples R China.;Zuev, D (corresponding author), IUL, CIES ISCTE, Lisbon, Portugal.;Zuev, D (corresponding author), Univ Lisbon, Inst Oriente, Lisbon, Portugal.</t>
  </si>
  <si>
    <t>1472-586X</t>
  </si>
  <si>
    <t>1472-5878</t>
  </si>
  <si>
    <t>VISUAL STUD</t>
  </si>
  <si>
    <t>Vis. Stud.</t>
  </si>
  <si>
    <t>10.1080/1472586X.2023.2232759</t>
  </si>
  <si>
    <t>O8YG2</t>
  </si>
  <si>
    <t>WOS:001046614100001</t>
  </si>
  <si>
    <t>[Anonymous]</t>
  </si>
  <si>
    <t>RETRACTION: Conversations across the veil: A review of Interdisciplinary Explorations of Postmortem Interaction: Dead Bodies, Funerary Objects, and Burial Spaces Through Texts and Time (Retraction of June, 10.1080/07481187.2023.2225905, 2023)</t>
  </si>
  <si>
    <t>DEATH STUDIES</t>
  </si>
  <si>
    <t>Retraction; Early Access</t>
  </si>
  <si>
    <t>0748-1187</t>
  </si>
  <si>
    <t>1091-7683</t>
  </si>
  <si>
    <t>DEATH STUD</t>
  </si>
  <si>
    <t>Death Stud.</t>
  </si>
  <si>
    <t>10.1080/07481187.2023.2246734</t>
  </si>
  <si>
    <t>Psychology, Multidisciplinary; Social Issues; Social Sciences, Biomedical</t>
  </si>
  <si>
    <t>Psychology; Social Issues; Biomedical Social Sciences</t>
  </si>
  <si>
    <t>P4JR4</t>
  </si>
  <si>
    <t>WOS:001050330000001</t>
  </si>
  <si>
    <t>Dlamini, SR</t>
  </si>
  <si>
    <t>Dlamini, Shokahle R.</t>
  </si>
  <si>
    <t>Shifting Trends in Nursing Education in High Commission Territories: The Case of Ainsworth Dickson Nurse Training School in Swaziland, 1948-1967</t>
  </si>
  <si>
    <t>SOUTH AFRICAN HISTORICAL JOURNAL</t>
  </si>
  <si>
    <t>Ainsworth Dickson Nurse Training School; accredited nursing education; High Commission territories; High Commission Territories Nursing Council; Raleigh Fitkin Memorial Hospital; Swaziland; &gt;</t>
  </si>
  <si>
    <t>HEALTH; SOUTH</t>
  </si>
  <si>
    <t>In 1948, the High Commission territories (HCTs) of Bechuanaland, Basutoland, and Swaziland (present-day Botswana, Lesotho, and Eswatini, respectively) formed an inter-territorial nursing council responsible for accrediting nursing schools and nurse registration. This article focuses on the Ainsworth Dickson Nurse Training School in Swaziland that was under the council's charge. The article argues that the medical personnel and epidemiological conditions in Swaziland before 1948 informed and shaped the development of the education of nurses afterwards, during the last two decades of colonial rule. Accredited nurse education led to a gradual emergence of fully trained nurses with the same kind of training as that required for the nurse certificate issued by the neighbouring South African Nursing Council. The article examines the origins of Swaziland's public health problems and traces the evolution of accredited nursing in relation to these problems. It illuminates the shifts that occurred in the development of nurse education programmes and analyses these shifts in relation to the historical context of the time. It demonstrates how epidemiological, historical, political, and economic context of the time led to a collapse of the racial barriers in nursing so that African nurses could dispense biomedical services even to European patients.</t>
  </si>
  <si>
    <t>[Dlamini, Shokahle R.] Univ Eswatini, Kwaluseni, Eswatini</t>
  </si>
  <si>
    <t>Dlamini, SR (corresponding author), Univ Eswatini, Kwaluseni, Eswatini.</t>
  </si>
  <si>
    <t>shokahle@gmail.com</t>
  </si>
  <si>
    <t>0258-2473</t>
  </si>
  <si>
    <t>1726-1686</t>
  </si>
  <si>
    <t>S AFR HIST J</t>
  </si>
  <si>
    <t>S.-Afr. Hist. J.-S. Afr. Hist. J.</t>
  </si>
  <si>
    <t>2023 AUG 8</t>
  </si>
  <si>
    <t>10.1080/02582473.2023.2235910</t>
  </si>
  <si>
    <t>O5FQ9</t>
  </si>
  <si>
    <t>WOS:001044071800001</t>
  </si>
  <si>
    <t>Garli, M; Kusbeci, T; Aydin, F; Akmaz, O</t>
  </si>
  <si>
    <t>Garli, Murat; Kusbeci, Tuncay; Aydin, Figen; Akmaz, Okan</t>
  </si>
  <si>
    <t>The effect of hyperbaric oxygen therapy on corneal endothelial structure and anterior segment parameters</t>
  </si>
  <si>
    <t>CUTANEOUS AND OCULAR TOXICOLOGY</t>
  </si>
  <si>
    <t>Hyperbaric oxygen therapy; specular microscope; corneal endothelial layer; endothelial cell density; intraocular pressure; &gt;</t>
  </si>
  <si>
    <t>OXIDATIVE STRESS; COMPLICATIONS; ANTIOXIDANTS; PATHOGENESIS; ENZYMES</t>
  </si>
  <si>
    <t>PurposeTo assess the effect of hyperbaric oxygen therapy (HBOT) on corneal endothelial structure and anterior segment parameters in healthy eyes.Methods17 eyes of 17 patients who were scheduled to receive HBOT for other than ophthalmologic indications were investigated in this prospective study. Central corneal thickness (CCT) and corneal endothelial properties were evaluated using a specular microscope. Endothelial cell density (ECD), average cell area (AVG), coefficient of variation in cell size (CV), percentage of hexagonal cells (HEX), CCT, intraocular pressure (IOP), spherical equivalent (SE), axial length (AL) and anterior chamber depth (ACD) values were measured before the HBOT, after the 1st session, and after the 20th session of therapy.Results47% of the patients (n = 8) received HBOT because of avascular necrosis, 35% (n = 6) due to sudden hearing loss, 12% (n = 2) for diabetic foot, and 6% (n = 1) for wound infection. The mean IOP was 14,80 mmHg before HBOT, 14,20 mmHg after the 1st session, and 13,73 mmHg after the 20th session. The mean ACD was 3,38 mm before HBOT, 3,34 mm after the 1st session, and 3,16 mm after the 20th session. Although the mean IOP and ACD decreased after HBOT sessions, it was not statistically significant (p &gt; 0.05). A significant reduction was observed in SE values after 20 sessions of HBOT compared to the values measured before HBOT (p = 0,009). The mean ECD was 2572,53 &amp; PLUSMN; 261,51 cells/mm(2) before HBOT, 2554,47 &amp; PLUSMN; 236,13 after the 1st session, and 2563,13 &amp; PLUSMN; 226,92 after the 20th session. When the corneal properties measured before and after HBOT sessions were compared, no significant difference was found in terms of CCT, ECD, AVG, CV, and HEX (p &gt; 0.05).ConclusionWe observed no significant change in CCT, corneal endothelial layer properties, and anterior segment morphology after the 1st session, and after the 20th session of HBOT. Although HBOT reduced IOP and ACD, it was not statistically significant. HBOT may lead to a significant decrease in SE values after the 20th session.</t>
  </si>
  <si>
    <t>[Garli, Murat; Kusbeci, Tuncay; Akmaz, Okan] Univ Hlth Sci, Izmir Bozyaka Training &amp; Res Hosp, Dept Ophthalmol, Izmir, Turkiye; [Aydin, Figen] Univ Hlth Sci, Izmir Bozyaka Training &amp; Res Hosp, Dept Underwater Med &amp; Hyperbar Med, Izmir, Turkiye; [Garli, Murat] Univ Hlth Sci, Izmir Bozyaka Training &amp; Res Hosp, Dept Ophthalmol, Bahar Mah Saim Cikrikci Cad 59 Karabaglar, Izmir, Turkiye</t>
  </si>
  <si>
    <t>Izmir Bozyaka Training &amp; Research Hospital; University of Health Sciences Turkey; University of Health Sciences Turkey; Izmir Bozyaka Training &amp; Research Hospital; University of Health Sciences Turkey; Izmir Bozyaka Training &amp; Research Hospital</t>
  </si>
  <si>
    <t>Garli, M (corresponding author), Univ Hlth Sci, Izmir Bozyaka Training &amp; Res Hosp, Dept Ophthalmol, Bahar Mah Saim Cikrikci Cad 59 Karabaglar, Izmir, Turkiye.</t>
  </si>
  <si>
    <t>muratgarli@hotmail.com</t>
  </si>
  <si>
    <t>AYDIN, FİGEN/AAJ-2148-2021; Garlı, Murat/IYV-9895-2023</t>
  </si>
  <si>
    <t>AYDIN, FİGEN/0000-0001-8947-8446; Garlı, Murat/0000-0002-9383-6194; AKMAZ, Okan/0000-0003-2438-5083</t>
  </si>
  <si>
    <t>1556-9527</t>
  </si>
  <si>
    <t>1556-9535</t>
  </si>
  <si>
    <t>CUTAN OCUL TOXICOL</t>
  </si>
  <si>
    <t>Cutan. Ocul. Toxicol.</t>
  </si>
  <si>
    <t>10.1080/15569527.2023.2243499</t>
  </si>
  <si>
    <t>Ophthalmology; Toxicology</t>
  </si>
  <si>
    <t>O5FH9</t>
  </si>
  <si>
    <t>WOS:001044062800001</t>
  </si>
  <si>
    <t>Nappi, RE; Panay, N; Palacios, S; Banerji, V; Hall, G; Particco, M; Atkins, D</t>
  </si>
  <si>
    <t>Nappi, Rossella E.; Panay, Nicholas; Palacios, Santiago; Banerji, Vivek; Hall, Genevieve; Particco, Martire; Atkins, Dan</t>
  </si>
  <si>
    <t>Using advanced analytics to help identify women who are more likely to have a severe subjective experience of vulvovaginal atrophy: a modeling study</t>
  </si>
  <si>
    <t>Menopause; vulvovaginal atrophy; machine learning; model; &gt;</t>
  </si>
  <si>
    <t>QUALITY-OF-LIFE; GENITOURINARY SYNDROME; POSTMENOPAUSAL WOMEN; SEXUAL HEALTH; MENOPAUSE; SYMPTOMS; IMPACT; PERCEPTIONS; ATTITUDES</t>
  </si>
  <si>
    <t>Objective To develop a model to identify women likely to be severely impacted by vulvovaginal atrophy (VVA), based on their experience of symptoms and non-clinical factors. Methods Multivariate statistics and machine-learning algorithms were used to develop models using data from a cross-sectional, observational, multinational European survey. A set of independent variables were chosen to assess subjective VVA severity and its impact on daily activities. Results A final composite model was selected that included three categories of variables: clinical severity, patient demographics/clinical characteristics and Day-to-Day Impact of Vaginal Aging (DIVA) variables related to emotion/mood, impact on lifestyle and frequency of sex. The model accurately classified 71% of women. Three DIVA variables (feeling bad about yourself, desire/interest in sex, physical comfort related to sitting) explained much of the variation in the dependent variable of the model. Over 90% of the impact of VVA relates to certain psychosocial and behavioral aspects that can be identified without the need to consider physical signs/symptoms. Conclusion Non-clinical factors can contribute significantly to the overall VVA burden. Questions used in developing the composite model could form the basis of an instrument to help screen women prior to clinical consultation and improve VVA management.</t>
  </si>
  <si>
    <t>[Nappi, Rossella E.] Univ Pavia, Dept Clin Surg Diagnost &amp; Paediat Sci, Pavia, Italy; [Nappi, Rossella E.] IRCCS S Matteo Fdn, Res Ctr Reprod Med, Unit Gynecol Endocrinol &amp; Menopause, Pavia, Italy; [Panay, Nicholas] Imperial Coll London, Queen Charlottes &amp; Chelsea &amp; Westminster Hosp, UK Int Ctr Hormone Hlth, London, England; [Palacios, Santiago] Salud &amp; Med Mujer Inst Palacios, Madrid, Spain; [Banerji, Vivek; Hall, Genevieve] Insight Dojo, London, England; [Particco, Martire; Atkins, Dan] Shionogi B V, London, England; [Panay, Nicholas] Imperial Coll London, Queen Charlottes &amp; Chelsea &amp; Westminster Hosp, Du Cane Rd, London W12 0HS, England</t>
  </si>
  <si>
    <t>University of Pavia; IRCCS Fondazione San Matteo; Imperial College London; Imperial College London</t>
  </si>
  <si>
    <t>Panay, N (corresponding author), Imperial Coll London, Queen Charlottes &amp; Chelsea &amp; Westminster Hosp, Du Cane Rd, London W12 0HS, England.</t>
  </si>
  <si>
    <t>nickpanay@msn.com</t>
  </si>
  <si>
    <t>Shionogi Europe</t>
  </si>
  <si>
    <t>This work was supported by Shionogi Europe.</t>
  </si>
  <si>
    <t>AUG 8</t>
  </si>
  <si>
    <t>10.1080/09513590.2023.2245479</t>
  </si>
  <si>
    <t>P2JI8</t>
  </si>
  <si>
    <t>WOS:001048950200001</t>
  </si>
  <si>
    <t>Nikolov, GN; Thomsen, AN; Mikkelstrup, AF; Kristiansen, M</t>
  </si>
  <si>
    <t>Nikolov, G. N.; Thomsen, A. N.; Mikkelstrup, A. F.; Kristiansen, Morten</t>
  </si>
  <si>
    <t>Computer-aided process planning system for laser forming: from CAD to part</t>
  </si>
  <si>
    <t>Process planning; laser forming; laser cutting; automation; manufacturing; sheet metal; &gt;</t>
  </si>
  <si>
    <t>Laser forming is a highly flexible and iterative contactless thermomechanical forming process that utilises a defocused laser beam to induce material shortening and bending. There is a high potential for the use of laser forming in rapid prototyping, small and unique batch production; however, to achieve that potential a certain level of automation is required. The presented work seeks to address this need of automation by proposing an end-to-end sheet-metal manufacturing system utilising laser forming and cutting, where the input for the system is a 3D CAD model and the output is a manufactured product. The contribution of the presented work is interconnected laser forming and cutting framework. The presented framework consists of subsystems for automatic extraction of geometrical information from a CAD model, process planning and generation of manufacturing information, scheduling of tasks and a feedback control loop for laser forming. The framework is experimentally validated and has shown consistent forming and cutting behaviour on two types of parts with variation in cutting features, bend angle and lengths of the bend's free edge.</t>
  </si>
  <si>
    <t>[Nikolov, G. N.; Thomsen, A. N.; Mikkelstrup, A. F.; Kristiansen, Morten] Aalborg Univ, Aalborg, Denmark; [Nikolov, G. N.] Aalborg Univ, Fibigerstraede 16, Aalborg, Denmark</t>
  </si>
  <si>
    <t>Aalborg University; Aalborg University</t>
  </si>
  <si>
    <t>Nikolov, GN (corresponding author), Aalborg Univ, Fibigerstraede 16, Aalborg, Denmark.</t>
  </si>
  <si>
    <t>gnn@mp.aau.dk</t>
  </si>
  <si>
    <t>Mikkelstrup, Anders Faarbaek/0000-0001-8209-6787; Kristiansen, Morten/0000-0001-9652-3348; Nikolov, Georgi/0000-0001-5161-9223</t>
  </si>
  <si>
    <t>Innovation Fund Denmark project INTERLASE [7050-00024B]; Poul Due Jensen Foundation project Laser Forming [2020-006]</t>
  </si>
  <si>
    <t>Innovation Fund Denmark project INTERLASE; Poul Due Jensen Foundation project Laser Forming</t>
  </si>
  <si>
    <t>This work was supported by Innovation Fund Denmark project INTERLASE [grant number 7050-00024B]; Poul Due Jensen Foundation project Laser Forming [grant number 2020-006].</t>
  </si>
  <si>
    <t>10.1080/00207543.2023.2241565</t>
  </si>
  <si>
    <t>O5MC5</t>
  </si>
  <si>
    <t>WOS:001044239400001</t>
  </si>
  <si>
    <t>Praud, J</t>
  </si>
  <si>
    <t>Praud, Julia</t>
  </si>
  <si>
    <t>Le Chercheur d'Afriques: Henri Lopes, Cr &amp; eacute;olit &amp; eacute;, and Jazz</t>
  </si>
  <si>
    <t>CONTEMPORARY FRENCH AND FRANCOPHONE STUDIES</t>
  </si>
  <si>
    <t>Henri Lopes; Creolite; Jazz; Congo; Francophone</t>
  </si>
  <si>
    <t>Henri Lopes's 1990 novel, Le Chercheur d'Afriques, embraces the post-colonial reality of multiple roots (Glissant). Much like Jazz music itself, the novel embodies the principles of la creolite outlined by Bernabe, Chamoiseau, and Confiant in their 1989 work, eloge de la Creolite. This paper will explore the rhythms, musical composition, and musical intersections that enrich and shape the novel paying particular attention to jazz music, lyrics, rhythm, and sounds embedded in the novel's structure, language, and imagery, and examine ways in which the layering music and musical references throughout the text has the power to create soundscapes, evoke emotions and memories.</t>
  </si>
  <si>
    <t>[Praud, Julia] US Mil Acad, French, West Point, NY 10996 USA; [Praud, Julia] US Mil Acad, Dept Foreign Language, West Point, NY 10996 USA</t>
  </si>
  <si>
    <t>United States Department of Defense; United States Army; United States Military Academy; United States Military Academy; United States Department of Defense; United States Army</t>
  </si>
  <si>
    <t>Praud, J (corresponding author), US Mil Acad, French, West Point, NY 10996 USA.;Praud, J (corresponding author), US Mil Acad, Dept Foreign Language, West Point, NY 10996 USA.</t>
  </si>
  <si>
    <t>1740-9292</t>
  </si>
  <si>
    <t>1740-9306</t>
  </si>
  <si>
    <t>CONTEMP FR FRANCOPH</t>
  </si>
  <si>
    <t>Contemp. Fr. Francoph. Stud.</t>
  </si>
  <si>
    <t>10.1080/17409292.2023.2237781</t>
  </si>
  <si>
    <t>S3UJ3</t>
  </si>
  <si>
    <t>WOS:001070451200001</t>
  </si>
  <si>
    <t>Scamuffa, MC; Latagliata, R; Carmosino, I; Di Veroli, A; Scalzulli, E; Trape, G; Ciotti, G; De Angelis, G; Tartaglia, G; Tarnani, M; Breccia, M; Girmenia, C</t>
  </si>
  <si>
    <t>Scamuffa, Maria Cristina; Latagliata, Roberto; Carmosino, Ida; Di Veroli, Ambra; Scalzulli, Emilia; Trape, Giulio; Ciotti, Giulia; De Angelis, Gioia; Tartaglia, Germana; Tarnani, Michela; Breccia, Massimo; Girmenia, Corrado</t>
  </si>
  <si>
    <t>Pulmonary infections in patients with acute myeloid leukemia receiving frontline treatment with hypomethylating agents</t>
  </si>
  <si>
    <t>LEUKEMIA &amp; LYMPHOMA</t>
  </si>
  <si>
    <t>Acute myeloid leukemia; hypomethylating agents; pulmonary infections; &gt;</t>
  </si>
  <si>
    <t>FUNGAL-INFECTIONS; AZACITIDINE; ORGANIZATION; MANAGEMENT</t>
  </si>
  <si>
    <t>Pulmonary infections (PIs) are a major complication of Acute Myeloid Leukemia (AML) treated with hypomethylating agents (HMA). We retrospectively evaluated 147 AML patients treated frontline with HMA in 2 Centers. Total number of HMA cycles was 1397. There were 88 episodes of PI in 64 patients (43.5%). Thirty-five/147 patients at risk (23.8%) developed at least 1 episode of early PI (during cycles 1-2). Median OS in patients who developed early PI was 3.3 months (95% CI 0.8 - 5.8) versus 10.5 months (95% CI 8.4 - 12.7) in patients without PI or with PI beyond the 2nd cycle (p &lt; .001). Early PIs were an independent factor predicting lower survival (OR 1.94, 95% CI 1.28 - 2.93; p = .002). In conclusion, early PIs are common in AML patients receiving HMA and are associated with an unfavorable outcome. The results of our study raise the issue of a tailored infection prevention strategy.</t>
  </si>
  <si>
    <t>[Scamuffa, Maria Cristina; Carmosino, Ida; Scalzulli, Emilia; Ciotti, Giulia; Tartaglia, Germana; Breccia, Massimo; Girmenia, Corrado] Sapienza Univ Rome, AOU Policlin Umberto I, Dept Translat &amp; Precis Med, Hematol, Rome, Italy; [Latagliata, Roberto; Di Veroli, Ambra; Trape, Giulio; De Angelis, Gioia; Tarnani, Michela] Belcolle Hosp, Hematol, Viterbo, Italy; [Latagliata, Roberto] Belcolle Hosp, Hhematol, Via Sammartinese, I-01100 Viterbo, Italy</t>
  </si>
  <si>
    <t>Sapienza University Rome</t>
  </si>
  <si>
    <t>Latagliata, R (corresponding author), Belcolle Hosp, Hhematol, Via Sammartinese, I-01100 Viterbo, Italy.</t>
  </si>
  <si>
    <t>rob.lati@libero.it</t>
  </si>
  <si>
    <t>1042-8194</t>
  </si>
  <si>
    <t>1029-2403</t>
  </si>
  <si>
    <t>LEUKEMIA LYMPHOMA</t>
  </si>
  <si>
    <t>Leuk. Lymphoma</t>
  </si>
  <si>
    <t>10.1080/10428194.2023.2239407</t>
  </si>
  <si>
    <t>Oncology; Hematology</t>
  </si>
  <si>
    <t>O5FJ7</t>
  </si>
  <si>
    <t>WOS:001044064600001</t>
  </si>
  <si>
    <t>Sha, RC</t>
  </si>
  <si>
    <t>Sha, Richard C.</t>
  </si>
  <si>
    <t>The science of life and death in Frankenstein</t>
  </si>
  <si>
    <t>NINETEENTH-CENTURY CONTEXTS-AN INTERDISCIPLINARY JOURNAL</t>
  </si>
  <si>
    <t>[Sha, Richard C.] Amer Univ, Dept Philosophy &amp; Relig, Washington, DC 20016 USA</t>
  </si>
  <si>
    <t>Sha, RC (corresponding author), Amer Univ, Dept Philosophy &amp; Relig, Washington, DC 20016 USA.</t>
  </si>
  <si>
    <t>rcsha@american.edu</t>
  </si>
  <si>
    <t>0890-5495</t>
  </si>
  <si>
    <t>1477-2663</t>
  </si>
  <si>
    <t>19 CENTURY CONTEXTS</t>
  </si>
  <si>
    <t>Ninet.-Century Contexts</t>
  </si>
  <si>
    <t>10.1080/08905495.2023.2241276</t>
  </si>
  <si>
    <t>O1WQ7</t>
  </si>
  <si>
    <t>WOS:001041797200001</t>
  </si>
  <si>
    <t>Taylan, F; Ermergen, T</t>
  </si>
  <si>
    <t>Taylan, Fatih; Ermergen, Tolgahan</t>
  </si>
  <si>
    <t>The Effect of High-Pressure Jet Cooling on Surface Roughness, Cutting Force and Chip Formation of Ti-6Al-4V ELI in High-Speed Turning</t>
  </si>
  <si>
    <t>MACHINING SCIENCE AND TECHNOLOGY</t>
  </si>
  <si>
    <t>Chip formation; cutting force; high-pressure coolant; surface roughness; turning; Ti-6Al-4V ELI</t>
  </si>
  <si>
    <t>COOLANT; MACHINABILITY; TEMPERATURE</t>
  </si>
  <si>
    <t>In the machining of difficult-to-machine metals, such as titanium-based alloys, the delivery of coolant with high pressure can increase machining efficiency and improve process stability through more efficient chip breaking and better cooling. Proper selection of machining conditions can also increase the productivity of the process by reducing cutting forces and tool wear rate. To investigate the effect of high-pressure jet cooling (HPJC) on cutting force, surface roughness, and chip formation of Ti-6Al-4V ELI in high-speed turning, Grade 5 Ti ELI turning tests were carried out under coolant pressure of 200 bar. A lower pressure of 6 bar was also used in this study to compare the results of the pressure change. In general, surface roughness increased as the feed rate increased at constant cutting speeds in experiments with both 6 bar and 200 bar coolant pressures. Even though 200 bar pressure provided a better cooling thus reduced cutting force, and tool wear rate; the surface roughness values obtained from the experiments with 200 bar were relatively worse than the experiments with 6 bar pressure. It was also seen that 200 bar coolant pressure may result in instabilities in the turning process in terms of chip geometries and formations.</t>
  </si>
  <si>
    <t>[Taylan, Fatih; Ermergen, Tolgahan] Isparta Univ Appl Sci, Dept Mech Engn, Bahcelievler Mh 102 Cd 24, TR-32200 Isparta, Turkiye</t>
  </si>
  <si>
    <t>Isparta University of Applied Sciences</t>
  </si>
  <si>
    <t>Ermergen, T (corresponding author), Isparta Univ Appl Sci, Dept Mech Engn, Bahcelievler Mh 102 Cd 24, TR-32200 Isparta, Turkiye.</t>
  </si>
  <si>
    <t>tolgahanermergen@isparta.edu.tr</t>
  </si>
  <si>
    <t>Ermergen, Tolgahan/0000-0001-6831-1268; Taylan, Fatih/0000-0002-4518-0645</t>
  </si>
  <si>
    <t>1091-0344</t>
  </si>
  <si>
    <t>1532-2483</t>
  </si>
  <si>
    <t>MACH SCI TECHNOL</t>
  </si>
  <si>
    <t>Mach. Sci. Technol.</t>
  </si>
  <si>
    <t>10.1080/10910344.2023.2246052</t>
  </si>
  <si>
    <t>Engineering, Manufacturing; Engineering, Mechanical; Materials Science, Multidisciplinary</t>
  </si>
  <si>
    <t>Q4WH1</t>
  </si>
  <si>
    <t>WOS:001057534500001</t>
  </si>
  <si>
    <t>Yamada, M; Kawano, T</t>
  </si>
  <si>
    <t>Yamada, Miho; Kawano, Tomoyo</t>
  </si>
  <si>
    <t>Dance/movement therapy pedagogy with Japanese psychology graduate students: facing 'haji'</t>
  </si>
  <si>
    <t>BODY MOVEMENT AND DANCE IN PSYCHOTHERAPY</t>
  </si>
  <si>
    <t>Dance; movement therapy; haji; graduate students; case study; critical pedagogy; &gt;</t>
  </si>
  <si>
    <t>CULTURALLY SUSTAINING PEDAGOGY</t>
  </si>
  <si>
    <t>The Japanese cultural trait, haji can manifest as a barrier to self-expression in dance/movement therapy (DMT). Fifteen DMT groups were facilitated with three Japanese clinical psychology graduate students over eight months to cultivate Japanese psychology graduate students' empathic, bodily, nonverbal interactions. A cultural protocol was developed to attend to the participants' sense of haji: (1) Creating Ba (safe place), (2) Repetition of activities with kata (forms), and (3) Acquiring Kamae (embodied preparedness). The case study illustrates how the manifestation of haji can be used as an indicator to confirm a sense of safety. The importance of conveying the essence of DMT in a manner that takes into account the cultural protocols of the trainees are discussed. The authors recommend that educators pay attention to the blending of various influences in culture rather than dichotomising knowledge and practice.</t>
  </si>
  <si>
    <t>[Yamada, Miho] Ochanomizu Univ, Bunkyo Ku, Tokyo, Japan; [Kawano, Tomoyo] Antioch Univ New England, Keene, NH USA; [Yamada, Miho] Ochanomizu Univ, Main Bldg 348,2-1-1 Otsuka,Bunkyo Ku, Tokyo 1128610, Japan</t>
  </si>
  <si>
    <t>Ochanomizu University; Antioch University New England; Ochanomizu University</t>
  </si>
  <si>
    <t>Yamada, M (corresponding author), Ochanomizu Univ, Main Bldg 348,2-1-1 Otsuka,Bunkyo Ku, Tokyo 1128610, Japan.</t>
  </si>
  <si>
    <t>yamada.miho@ocha.ac.jp</t>
  </si>
  <si>
    <t>Kawano, Tomoyo/0000-0002-4882-5007</t>
  </si>
  <si>
    <t>1743-2979</t>
  </si>
  <si>
    <t>1743-2987</t>
  </si>
  <si>
    <t>BODY MOV DANCE PSYCH</t>
  </si>
  <si>
    <t>Body Mov. Dance Psychother.</t>
  </si>
  <si>
    <t>10.1080/17432979.2023.2245431</t>
  </si>
  <si>
    <t>Psychology, Clinical</t>
  </si>
  <si>
    <t>O3XD1</t>
  </si>
  <si>
    <t>WOS:001043170200001</t>
  </si>
  <si>
    <t>Peralta, MJ; Ferrero, BS</t>
  </si>
  <si>
    <t>Javier Peralta, Matias; Soledad Ferrero, Brenda</t>
  </si>
  <si>
    <t>First Quaternary fossil record of a blind snake (Scolecophidia, Serpentes) from South America (Argentina)</t>
  </si>
  <si>
    <t>Trunk Vertebra; Leptotyphlopidae; Herpetofauna; Holocene; Quaternary; Entre Rios; &gt;</t>
  </si>
  <si>
    <t>PLEISTOCENE; SYSTEMATICS</t>
  </si>
  <si>
    <t>We report and describe the first fossil of a blind snake (Scolecophidia, Serpentes) for Argentina. The fossil is a complete and isolated vertebra assigned to Epictia sp. (Leptotyphlopidae). Modern members of Leptotyphlopidae are common in South America, especially in Argentina. The fossil was recovered from the basal layer of an Early Holocene fluvial unit in Entre Rios province, northeastern Argentina. In addition to its important contribution to the fossil record of South America, this scolecophidian specimen also represents one of the few fossils documented from the Southern Hemisphere. Furthermore, this study represents the first contribution to the knowledge of scolecophidian trunk vertebral morphology in Argentinian species.</t>
  </si>
  <si>
    <t>[Javier Peralta, Matias; Soledad Ferrero, Brenda] Ctr Invest Cient &amp; Transferencia Tecnol Prod CICYT, Lab Paleontol Vertebrados, 149 Diamante, Santa Fe, Entre Rios, Argentina; [Javier Peralta, Matias; Soledad Ferrero, Brenda] Univ Autonoma Entre Rios FCyT UADER, Fac Ciencia &amp; Tecnol, Lab Paleovertebrados, Tratado Pilar 314, RA-3105 Diamante, Argentina; [Javier Peralta, Matias] Ctr Invest Cient &amp; Transferencia Tecnol Prod CICYT, Lab Paleontol Vertebrados, RA-E3105BWA Diamante, Entre Rios, Argentina</t>
  </si>
  <si>
    <t>Peralta, MJ (corresponding author), Ctr Invest Cient &amp; Transferencia Tecnol Prod CICYT, Lab Paleontol Vertebrados, RA-E3105BWA Diamante, Entre Rios, Argentina.</t>
  </si>
  <si>
    <t>matiasperalta1991@gmail.com</t>
  </si>
  <si>
    <t>Ferrero, Brenda/0000-0002-6672-8411</t>
  </si>
  <si>
    <t>2023 AUG 7</t>
  </si>
  <si>
    <t>10.1080/08912963.2023.2242369</t>
  </si>
  <si>
    <t>O2XC4</t>
  </si>
  <si>
    <t>WOS:001042490500001</t>
  </si>
  <si>
    <t>Salehi, B; Dimitrijevic, M; Aleksic, A; Neffe-Skocinska, K; Zielinska, D; Kolozyn-Krajewska, D; Sharifi-Rad, Z; Stojanovic-Radic, Z; Prabu, SM; Rodrigues, CF; Martins, N</t>
  </si>
  <si>
    <t>Salehi, B.; Dimitrijevic, M.; Aleksic, A.; Neffe-Skocinska, K.; Zielinska, D.; Kolozyn-Krajewska, D.; Sharifi-Rad, Z.; Stojanovic-Radic, Z.; Prabu, S. Milton; Rodrigues, C. F.; Martins, N.</t>
  </si>
  <si>
    <t>RETRACTION: Human microbiome and homeostasis: Insights into the key role of prebiotics, probiotics, and symbiotics (Retraction of Vol 61, Pg 1415, 2021)</t>
  </si>
  <si>
    <t>CRITICAL REVIEWS IN FOOD SCIENCE AND NUTRITION</t>
  </si>
  <si>
    <t>1040-8398</t>
  </si>
  <si>
    <t>1549-7852</t>
  </si>
  <si>
    <t>CRIT REV FOOD SCI</t>
  </si>
  <si>
    <t>Crit. Rev. Food Sci. Nutr.</t>
  </si>
  <si>
    <t>AUG 7</t>
  </si>
  <si>
    <t>10.1080/10408398.2022.2078104</t>
  </si>
  <si>
    <t>Food Science &amp; Technology; Nutrition &amp; Dietetics</t>
  </si>
  <si>
    <t>M4DS7</t>
  </si>
  <si>
    <t>WOS:001029724700031</t>
  </si>
  <si>
    <t>Smith, PM; Allen, HJ</t>
  </si>
  <si>
    <t>Smith, Patrick M. M.; Allen, Heidi J. J.</t>
  </si>
  <si>
    <t>Early Ordovician trilobites from Barnicarndy 1 stratigraphic well of the southern Canning Basin, Western Australia</t>
  </si>
  <si>
    <t>ALCHERINGA</t>
  </si>
  <si>
    <t>Trilobite; Nambeet Formation; Fly Flat Member; Samphire Marsh Member; biostratigraphy</t>
  </si>
  <si>
    <t>BIOSTRATIGRAPHY; TREMADOCIAN; ARGENTINA; AREA</t>
  </si>
  <si>
    <t>Twenty-three trilobite taxa are described here from the Early Ordovician (Tremadocian to Floian) Nambeet Formation retrieved from the Barnicarndy 1 drillcore, Canning Basin, Western Australia. This includes one new genus, Veeversaspis gen. nov., and six new species: Asaphellus zheni sp. nov., Madiganaspis lauriei sp. nov., Norasaphus (Norasaphus) jagoi sp. nov., Rodingaia leggi sp. nov., Sanbernardaspis excalibur sp. nov., and Veeversaspis jelli gen. et sp. nov. This fauna can be divided into three stratigraphically distinct assemblages, the Apatokephalus sp.-Veeversaspis jelli gen. et sp. nov. Assemblage (2177.50-2382.94 m depth), Asaphellus trinodosus Assemblage (2030.07-2177.52 m depth), and Asaphellus zheni sp. nov. Assemblage (1595.83-2001.88 m depth). The two strati-graphically lowest assemblages are consistent with a late to latest Tremadocian age (both within the Paroistodus proteus Zone). The third, and highest, assemblage is consistent with a mid-Floian age (within the Oepikodus communis Zone). This systematic contribution refines previous biostratigraphic work based on an age-diagnostic conodont fauna and demonstrates the stratigraphic utility of using multiple taxonomic groups for more robust biostratigraphic age estimates.</t>
  </si>
  <si>
    <t>[Smith, Patrick M. M.] Australian Museum Res Inst, Palaeontol Dept, Sydney, NSW 2010, Australia; [Smith, Patrick M. M.] Macquarie Univ, Dept Biol Sci, Sydney, NSW 2109, Australia; [Allen, Heidi J. J.] Geol Survey Western Australia, Dept Mines Ind Regulat &amp; Safety, Mineral House,100 Plain St, East Perth, WA 6004, Australia</t>
  </si>
  <si>
    <t>Australian Museum; Macquarie University; Geological Survey of Western Australia</t>
  </si>
  <si>
    <t>Smith, PM (corresponding author), Australian Museum Res Inst, Palaeontol Dept, Sydney, NSW 2010, Australia.;Smith, PM (corresponding author), Macquarie Univ, Dept Biol Sci, Sydney, NSW 2109, Australia.</t>
  </si>
  <si>
    <t>Patrick.Smith@austmus.gov.au; heidi.allen@dmirs.wa.gov.au</t>
  </si>
  <si>
    <t>Allen, Heidi Jane/0000-0001-7279-2797</t>
  </si>
  <si>
    <t>0311-5518</t>
  </si>
  <si>
    <t>1752-0754</t>
  </si>
  <si>
    <t>Alcheringa</t>
  </si>
  <si>
    <t>10.1080/03115518.2023.2226194</t>
  </si>
  <si>
    <t>Paleontology</t>
  </si>
  <si>
    <t>O5JR5</t>
  </si>
  <si>
    <t>WOS:001044176400001</t>
  </si>
  <si>
    <t>Stanek, C; Mattson, G</t>
  </si>
  <si>
    <t>Stanek, Charis; Mattson, Greggor</t>
  </si>
  <si>
    <t>'At Least You're Not Neurotypical': Stigma, Mental Illness Disclosure, and Social Capital Among Privileged College Students</t>
  </si>
  <si>
    <t>SELF-STIGMA; GENDER-DIFFERENCES; HIGHER-EDUCATION; PUBLIC STIGMA; HEALTH; CONSEQUENCES; ENVIRONMENTS; STRATEGIES; IDENTITY; SUPPORT</t>
  </si>
  <si>
    <t>This mixed-methods study investigated if individuals in high-resource, low-stigma environments experience any benefits from disclosing their mental illness. Participants were recruited from a small Midwestern liberal arts college. Survey data were collected on attitudes toward mental illness on campus (N = 384) that showed low levels of public stigma and moderate levels of self-stigma. Class year and mental health status were predictors of public stigma and campus-specific attitudes toward mental illness, but not self-stigma; race and gender were not significant predictors of either. Screening questions yielded 50 in-depth interviews about stigma on campus, mental illness disclosure, and students' social capital. Qualitative coding revealed four findings: 1) students reported low levels of public stigma associated with mental illness; 2) white students, but not students of color, reported an inverted status hierarchy that incentivized mental illness disclosure; 3) white students garnered social capital from disclosing their mental illness; 4) mental illness was used by white students as a social buffer against shame over unearned privileges. In high-resource, low-stigma environments, privileged individuals may experience social motivation to publicly disclose mental illness. This has implications for student help-seeking behaviors and poor mental health outcomes on college campuses.</t>
  </si>
  <si>
    <t>[Stanek, Charis; Mattson, Greggor] Oberlin Coll, Oberlin, OH USA; [Stanek, Charis] Oberlin Coll, Dept Sociol, 173 W Lorain St, Oberlin, OH 44074 USA</t>
  </si>
  <si>
    <t>Oberlin College; Oberlin College</t>
  </si>
  <si>
    <t>Stanek, C (corresponding author), Oberlin Coll, Dept Sociol, 173 W Lorain St, Oberlin, OH 44074 USA.</t>
  </si>
  <si>
    <t>charis.stanek@gmail.com</t>
  </si>
  <si>
    <t>10.1080/01639625.2023.2244118</t>
  </si>
  <si>
    <t>O2SO7</t>
  </si>
  <si>
    <t>WOS:001042372000001</t>
  </si>
  <si>
    <t>Thom, RP; Wu, MC; Ravichandran, C; McDougle, CJ</t>
  </si>
  <si>
    <t>Thom, Robyn P.; Wu, Michael; Ravichandran, Caitlin; McDougle, Christopher J.</t>
  </si>
  <si>
    <t>Clozapine for treatment refractory catatonia in individuals with autism spectrum disorder: a retrospective chart review study</t>
  </si>
  <si>
    <t>autism spectrum disorder; catatonia; clozapine; lorazepam; psychopharmacology; &gt;</t>
  </si>
  <si>
    <t>ADOLESCENCE; PREVALENCE; ECT</t>
  </si>
  <si>
    <t>BackgroundCatatonia is increasingly recognized in individuals with autism spectrum disorder (ASD). Empirical data on treating catatonia in this population are limited. The purpose of this study is to provide naturalistic data on the use of clozapine for the treatment of catatonia in patients with ASD.Research design and methodsMedical records of 12 individuals with ASD and catatonia who received treatment with clozapine were reviewed. Treatment response to clozapine was rated by assigning a retrospective Clinical Global Impression Improvement scale (CGI-I) score.ResultsMean (SD) and median (IQR) age at initiation of clozapine treatment were 22.1 (7.7) and 20.4 (9.7) years, with a range of 10-39 years. Eleven of the 12 patients had received treatment with lorazepam prior to initiating clozapine and 9 of the 12 patients received concomitant treatment with lorazepam and clozapine. Eleven of the 12 patients (92%; 95% CI: 65%, 99%) responded to clozapine. All 12 patients remained on clozapine at the time of their most recent clinical note. All 12 patients (100%; 95% CI: 76%, 100%) experienced one or more adverse events, the most common of which was sedation (n = 11, 92%).ConclusionsOverall, clozapine was associated with a high response rate for the treatment of catatonia in patients with ASD. These naturalistic data support the use of clozapine for the treatment of catatonia in patients with ASD for whom lorazepam is either ineffective or partially effective.</t>
  </si>
  <si>
    <t>[Thom, Robyn P.; Wu, Michael; Ravichandran, Caitlin; McDougle, Christopher J.] Lurie Ctr Autism, 1 Maguire Rd, Lexington, MA 02421 USA; [Thom, Robyn P.; Wu, Michael; Ravichandran, Caitlin; McDougle, Christopher J.] Massachusetts Gen Hosp, 55 Fruit St, Boston, MA USA; [Thom, Robyn P.; Ravichandran, Caitlin; McDougle, Christopher J.] Harvard Med Sch, Dept Psychiat, Boston, MA USA; [Ravichandran, Caitlin] McLean Hosp, Belmont, MA USA</t>
  </si>
  <si>
    <t>Harvard University; Massachusetts General Hospital; Harvard University; Harvard Medical School; Harvard University; McLean Hospital</t>
  </si>
  <si>
    <t>Thom, RP (corresponding author), Lurie Ctr Autism, 1 Maguire Rd, Lexington, MA 02421 USA.</t>
  </si>
  <si>
    <t>rthom@mgh.harvard.edu</t>
  </si>
  <si>
    <t>10.1080/17512433.2023.2243820</t>
  </si>
  <si>
    <t>O3XX6</t>
  </si>
  <si>
    <t>WOS:001043190800001</t>
  </si>
  <si>
    <t>Brahmam, M</t>
  </si>
  <si>
    <t>Brahmam, Maya</t>
  </si>
  <si>
    <t>The Best We Share: Nation and World-making in the UNESCO World Heritage Arena</t>
  </si>
  <si>
    <t>INTERNATIONAL JOURNAL OF HERITAGE STUDIES</t>
  </si>
  <si>
    <t>[Brahmam, Maya] Johns Hopkins Univ, Baltimore, MD 21218 USA</t>
  </si>
  <si>
    <t>Johns Hopkins University</t>
  </si>
  <si>
    <t>Brahmam, M (corresponding author), Johns Hopkins Univ, Baltimore, MD 21218 USA.</t>
  </si>
  <si>
    <t>Mbrahma1@jh.edu</t>
  </si>
  <si>
    <t>1352-7258</t>
  </si>
  <si>
    <t>1470-3610</t>
  </si>
  <si>
    <t>INT J HERIT STUD</t>
  </si>
  <si>
    <t>Int. J. Herit. Stud.</t>
  </si>
  <si>
    <t>10.1080/13527258.2023.2243469</t>
  </si>
  <si>
    <t>Humanities, Multidisciplinary; Social Sciences, Interdisciplinary</t>
  </si>
  <si>
    <t>Arts &amp; Humanities - Other Topics; Social Sciences - Other Topics</t>
  </si>
  <si>
    <t>Q7NE0</t>
  </si>
  <si>
    <t>WOS:001043015800001</t>
  </si>
  <si>
    <t>Li, Y; Liu, Y; Yang, BY; Li, GH; Chu, HY</t>
  </si>
  <si>
    <t>Li, Yan; Liu, Ye; Yang, Boya; Li, Guohui; Chu, Huiying</t>
  </si>
  <si>
    <t>Polarizable atomic multipole-based force field for cholesterol</t>
  </si>
  <si>
    <t>Cholesterol; polarizable force field; MD simulation; &gt;</t>
  </si>
  <si>
    <t>COARSE-GRAINED MODEL; MOLECULAR-DYNAMICS SIMULATIONS; ORDER PARAMETERS; LIPID-BILAYERS; NMR; ELECTROSTATICS; LANOSTEROL; ERGOSTEROL; MEMBRANES; DMPC</t>
  </si>
  <si>
    <t>Cholesterol is one of the essential component of lipid in membrane. We present a polarizable atomic multipole force field (FF) for the molecular dynamic simulation of cholesterol. The FF building process follows the computational framework as the atomic multipole optimized energetics for biomolecular applications (AMOEBA) model. In this framework, the electronics parameters, including atomic monopole moments, dipole moments, and quadrupole moments calculated from ab initio calculations in the gas phase, are applied to represent the charge distribution. Furthermore, the many-body polarization is modeled by following the same pattern of distributed atomic polarizabilities. Then, the bilayers composed of two typical phospholipid molecules, 1,2-dimyristoyl-sn-glycero-3-phosphocholine (DMPC), and 1-palmitoyl-2-oleoyl-sn-glycero-3-phosphocholine (POPC), in a range of different cholesterol concentrations are built and implemented by molecular dynamics (MD) simulations based on the proposed polarizable FF. The simulation results are statistically analyzed to validate the feasibility of the proposed FF. The structural properties of the bilayers are calculated to compare with the related experimental values. The MD values show the same trend of experimental values changes.Communicated by Ramaswamy H. Sarma</t>
  </si>
  <si>
    <t>[Li, Yan; Liu, Ye; Li, Guohui; Chu, Huiying] Chinese Acad Sci, Dalian Inst Chem Phys, Lab Mol Modeling &amp; Design, State Key Lab Mol React Dynam, 457 Zhongshan Rd, Dalian 116023, Liaoning, Peoples R China; [Yang, Boya] Dalian Municipal Cent Hosp, Dalian, Liaoning, Peoples R China</t>
  </si>
  <si>
    <t>Chinese Academy of Sciences; Dalian Institute of Chemical Physics, CAS</t>
  </si>
  <si>
    <t>Li, GH; Chu, HY (corresponding author), Chinese Acad Sci, Dalian Inst Chem Phys, Lab Mol Modeling &amp; Design, State Key Lab Mol React Dynam, 457 Zhongshan Rd, Dalian 116023, Liaoning, Peoples R China.</t>
  </si>
  <si>
    <t>chuhy2009@dicp.ac.cn</t>
  </si>
  <si>
    <t>zhang, yue/JAC-3705-2023; li, xiao/HKV-8405-2023; cheng, shu/IZE-4788-2023</t>
  </si>
  <si>
    <t>National Natural Science Foundation of China [21933010, 21907094]</t>
  </si>
  <si>
    <t>This work was supported by the National Natural Science Foundation of China Grant (21933010 (G.L.), and 21907094 (H.C.)).</t>
  </si>
  <si>
    <t>2023 AUG 6</t>
  </si>
  <si>
    <t>10.1080/07391102.2023.2245045</t>
  </si>
  <si>
    <t>O8CO9</t>
  </si>
  <si>
    <t>WOS:001046034800001</t>
  </si>
  <si>
    <t>Adhikary, K; Banerjee, P; Barman, S; Bandyopadhyay, B; Bagchi, D</t>
  </si>
  <si>
    <t>Adhikary, Krishnendu; Banerjee, Pradipta; Barman, Saurav; Bandyopadhyay, Bidyut; Bagchi, Debasis</t>
  </si>
  <si>
    <t>Nutritional Aspects, Chemistry Profile, Extraction Techniques of Lemongrass Essential Oil and It's Physiological Benefits</t>
  </si>
  <si>
    <t>JOURNAL OF THE AMERICAN NUTRITION ASSOCIATION</t>
  </si>
  <si>
    <t>Lemongrass oil; MAHD; supercritical carbon dioxide extraction; solvent extraction; diabetic wound healing; tissue regeneration; arthritis; &gt;</t>
  </si>
  <si>
    <t>SUPERCRITICAL CO2 EXTRACTION; ORANGE PEEL; HYDRODISTILLATION; YIELD; OSTEOARTHRITIS; PERFORMANCE; BIOACTIVITY; DIAGNOSIS; KINETICS; QUALITY</t>
  </si>
  <si>
    <t>Lemongrass contains a variety of substances that are known to have antioxidant and disease-preventing properties, including essential oils, compounds, minerals, and vitamins. Lemongrass (Cymbopogon Spp.) essential oil (LGEO) has been demonstrated to ameliorate diabetes and accelerate wound healing. A member of the Poaceae family, Lemongrass, a fragrant plant, is cultivated for the extraction of essential oils including myrcene and a mixture of geranial and neral isomers of citral monoterpenes. Active constituents in lemongrass essential oil are myrcene, followed by limonene and citral along with geraniol, citronellol, geranyl acetate, neral, and nerol, which are beneficial to human health. A large part of lemongrass' expansion is driven by the plant's huge industrial potential in the food, cosmetics, and medicinal sectors. A great deal of experimental and modeling study was conducted on the extraction of essential oils. Using Google Scholar and PubMed databases, a systematic review of the literature covering the period from 1996 to 2022 was conducted, in accordance with the PRISMA declaration. There were articles on chemistry, biosynthesis, extraction techniques and worldwide demand of lemongrass oil. We compared the effectiveness of several methods of extracting lemongrass essential oil, including solvent extraction, supercritical CO2 extraction, steam distillation, hydrodistillation (HD), and microwave aided hydrodistillation (MAHD). Moreover, essential oils found in lemongrass and its bioactivities have a significant impact on human health. This manuscript demonstrates the different extraction techniques of lemongrass essential oil and its physiological benefits on diabetic wound healing, tissue repair and regeneration, as well as its immense contribution in ameliorating arthritis and joint pain.Key teaching pointsThe international market demand prediction and the pharmacological benefits of the Lemongrass essential oil have been thoroughly reported here.This article points out that different extraction techniques yield different percentages of citral and other secondary metabolites from lemon grass, for example, microwave assisted hydrodistillation and supercritical carbon dioxide extraction process yields more citral.This article highlights the concept and application of lemongrass oil in aromatherapy, joint-pain, and arthritis.Moreover, this manuscript includes a discussion about the effect of lemongrass oil on diabetic wound healing and tissue regeneration - that paves the way for further research.</t>
  </si>
  <si>
    <t>[Adhikary, Krishnendu] Centur Univ Technol &amp; Management, Dept Interdisciplinary Sci, R Sitapur, Odisha, India; [Banerjee, Pradipta] Univ Pittsburgh, Dept Surg, Pittsburgh, PA 15260 USA; [Banerjee, Pradipta] Centur Univ Technol &amp; Management, Dept Biochem &amp; Plant Physiol, R Sitapur, Odisha, India; [Barman, Saurav] Centur Univ Technol &amp; Management, Dept Agr Chem &amp; Soil Sci, R Sitapur, Odisha, India; [Bandyopadhyay, Bidyut] Oriental Inst Sci &amp; Technol, Dept Biochem &amp; Biotechnol, Burdwan, India; [Bagchi, Debasis] Adelphi Univ, Coll Arts &amp; Sci, Gordon F Derner Sch Psychol, Dept Psychol, Garden City, NY USA; [Bagchi, Debasis] Adelphi Univ, Coll Arts &amp; Sci, Dept Biol, Garden City, NY USA; [Bagchi, Debasis] Texas Southern Univ, Coll Pharm &amp; Hlth Sci, Dept Pharmaceut Sci, Houston, TX USA</t>
  </si>
  <si>
    <t>Centurion University of Technology &amp; Management; Pennsylvania Commonwealth System of Higher Education (PCSHE); University of Pittsburgh; Centurion University of Technology &amp; Management; Centurion University of Technology &amp; Management; Adelphi University; Adelphi University; Texas Southern University</t>
  </si>
  <si>
    <t>Banerjee, P (corresponding author), Univ Pittsburgh, Dept Surg, Pittsburgh, PA 15260 USA.</t>
  </si>
  <si>
    <t>banerjeepradipto.123@gmail.com</t>
  </si>
  <si>
    <t>Banerjee, Pradipta/AAN-8473-2020</t>
  </si>
  <si>
    <t>Banerjee, Pradipta/0000-0002-2609-8849; BAGCHI, DEBASIS/0000-0001-9478-6427</t>
  </si>
  <si>
    <t>2769-7061</t>
  </si>
  <si>
    <t>2769-707X</t>
  </si>
  <si>
    <t>J AM NUTR ASSOC</t>
  </si>
  <si>
    <t>J. Am. Nutr. Assoc.</t>
  </si>
  <si>
    <t>2023 AUG 5</t>
  </si>
  <si>
    <t>10.1080/27697061.2023.2245435</t>
  </si>
  <si>
    <t>Nutrition &amp; Dietetics</t>
  </si>
  <si>
    <t>P0XL6</t>
  </si>
  <si>
    <t>WOS:001047954500001</t>
  </si>
  <si>
    <t>Baccaglini-Frank, A; Lisarelli, G</t>
  </si>
  <si>
    <t>Baccaglini-Frank, Anna; Lisarelli, Giulia</t>
  </si>
  <si>
    <t>The Mathematics Teacher in the Digital Era: International Research on Professional Learning and Practice</t>
  </si>
  <si>
    <t>RESEARCH IN MATHEMATICS EDUCATION</t>
  </si>
  <si>
    <t>[Baccaglini-Frank, Anna; Lisarelli, Giulia] Univ Pisa, Dept Math, Pisa, Italy</t>
  </si>
  <si>
    <t>University of Pisa</t>
  </si>
  <si>
    <t>Baccaglini-Frank, A (corresponding author), Univ Pisa, Dept Math, Pisa, Italy.</t>
  </si>
  <si>
    <t>anna.baccaglinifrank@unipi.it</t>
  </si>
  <si>
    <t>BACCAGLINI FRANK, ANNA ETHELWYN/A-7716-2017</t>
  </si>
  <si>
    <t>BACCAGLINI FRANK, ANNA ETHELWYN/0000-0002-8116-5370</t>
  </si>
  <si>
    <t>1479-4802</t>
  </si>
  <si>
    <t>1754-0178</t>
  </si>
  <si>
    <t>RES MATH EDUCAT</t>
  </si>
  <si>
    <t>Res. Math. Educ.</t>
  </si>
  <si>
    <t>10.1080/14794802.2023.2243250</t>
  </si>
  <si>
    <t>O4KQ6</t>
  </si>
  <si>
    <t>WOS:001043524200001</t>
  </si>
  <si>
    <t>Banerjee, A; Fatima, F; Tiwari, NK; Akhtar, MJ</t>
  </si>
  <si>
    <t>Banerjee, Apala; Fatima, Farheen; Tiwari, Nilesh K.; Akhtar, M. J.</t>
  </si>
  <si>
    <t>Flexible printed electrically small microwave resonator for automated displacement tracking</t>
  </si>
  <si>
    <t>JOURNAL OF ELECTROMAGNETIC WAVES AND APPLICATIONS</t>
  </si>
  <si>
    <t>ANN; displacement; flexible; printable sensor; rotation; &gt;</t>
  </si>
  <si>
    <t>ANGULAR-DISPLACEMENT; SENSOR; ALIGNMENT</t>
  </si>
  <si>
    <t>In this paper, a planar split ring resonator-based flexible RF sensor is developed for linear and rotational position tracking of a target object. The proposed sensing scheme employs a 100 &amp; mu;m thin flexible printed resonator that facilitates ease of adherence to a target object than that of the conventional RF sensor. The realized printed resonator is excited by a near-field proximity coupling mechanism using a standard 50 &amp; OHM; microstrip line. A detailed numerical analysis for the linear and rotational displacement of several dummy targets is carried out by recording the change in measured parameters corresponding to the relative change in position of the printed resonator attached to a dummy target under test. Afterward, the equivalent circuit and fabricated prototype of a printed flexible sensor is developed and tested for the linear and rotational displacement of several target materials under observation and an ANN model is developed to curb the uncertainty.</t>
  </si>
  <si>
    <t>[Banerjee, Apala; Fatima, Farheen; Tiwari, Nilesh K.; Akhtar, M. J.] Indian Inst Technol Kanpur, Dept Elect Engn, Kanpur, Uttar Pradesh, India; [Banerjee, Apala] Indian Inst Technol Kanpur, Dept Elect Engn, Kanpur 208016, Uttar Pradesh, India</t>
  </si>
  <si>
    <t>Indian Institute of Technology System (IIT System); Indian Institute of Technology (IIT) - Kanpur; Indian Institute of Technology System (IIT System); Indian Institute of Technology (IIT) - Kanpur</t>
  </si>
  <si>
    <t>Banerjee, A (corresponding author), Indian Inst Technol Kanpur, Dept Elect Engn, Kanpur 208016, Uttar Pradesh, India.</t>
  </si>
  <si>
    <t>apala@iitk.ac.in</t>
  </si>
  <si>
    <t>Tiwari, Nilesh kumar/JCE-7360-2023</t>
  </si>
  <si>
    <t>Tiwari, Nilesh kumar/0000-0003-2582-0286</t>
  </si>
  <si>
    <t>0920-5071</t>
  </si>
  <si>
    <t>1569-3937</t>
  </si>
  <si>
    <t>J ELECTROMAGNET WAVE</t>
  </si>
  <si>
    <t>J. Electromagn. Waves Appl.</t>
  </si>
  <si>
    <t>10.1080/09205071.2023.2243255</t>
  </si>
  <si>
    <t>Engineering, Electrical &amp; Electronic; Physics, Applied</t>
  </si>
  <si>
    <t>Engineering; Physics</t>
  </si>
  <si>
    <t>O4KD7</t>
  </si>
  <si>
    <t>WOS:001043511300001</t>
  </si>
  <si>
    <t>Barrio, A; Borro, V; Cicchino, M; Moron, A; Coronel, L; Vuolo, J; Mayon, P; Moroz, A; Maisa, P; Alcantara, S; Torras, M; Cervini, M; Arzeno, M; Godoy, C; Campillay, D; Filliel, N; Salas, A; Salvio, P</t>
  </si>
  <si>
    <t>Barrio, Alejandro; Borro, Veronica; Cicchino, Marcelo; Moron, Adriana; Coronel, Lorena; Vuolo, Juan; Mayon, Paula; Moroz, Ayelen; Maisa, Paula; Alcantara, Sebastian; Torras, Maria; Cervini, Marcos; Arzeno, Martin; Godoy, Cristian; Campillay, Diego; Filliel, Nestor; Salas, Ana; Salvio, Paula</t>
  </si>
  <si>
    <t>Detection of SARS-CoV-2 in wastewater as an early warning in the metropolitan area of the city of Buenos Aires (BAMA)</t>
  </si>
  <si>
    <t>RIBAGUA-REVISTA IBEROAMERICANA DEL AGUA</t>
  </si>
  <si>
    <t>SARS-CoV-2; covid 19; wastewater based epidemiology; virus surveillance; large WWTP's</t>
  </si>
  <si>
    <t>PCR; POLYVINYLPYRROLIDONE; EFFICIENCY</t>
  </si>
  <si>
    <t>Agua y Saneamientos Argentinos S.A. (AySA) provides essential services encompassing drinking water production and wastewater treatment for a population exceeding 14.5 million residents in the Buenos Aires Metropolitan Area (BAMA), Argentina. In response to the declaration of the COVID-19 pandemic by the World Health Organization (WHO), AySA developed a methodology to assess the viral genetic load of SARS-CoV-2 in untreated wastewater. This approach aimed to leverage the potential of wastewater-based epidemiological surveillance, drawing from international experiences. To monitor viral load in the representative sections of the sewage collection system, we employed an adapted ultracentrifugation technique to concentrate samples. Following this, RNA extraction and RT-qPCR were performed to quantify the target Orf1ab gene of SARS-CoV-2. This study was conducted from December 2020 to June 2021 to proactively anticipate the current second wave of the pandemic. By analyzing data from four large wastewater treatment plants, we identified statistically significant associations between log10 viral genomic load and log10 positive cases reported one to two weeks after. Based on the results obtained, we conclude that virus levels of the sewage system could be a good predictor of future clinical cases to be diagnosed in the immediate future.</t>
  </si>
  <si>
    <t>[Barrio, Alejandro; Borro, Veronica; Cicchino, Marcelo; Moron, Adriana; Coronel, Lorena; Vuolo, Juan; Mayon, Paula; Moroz, Ayelen; Maisa, Paula; Alcantara, Sebastian; Torras, Maria; Cervini, Marcos; Arzeno, Martin; Godoy, Cristian; Campillay, Diego; Filliel, Nestor; Salas, Ana; Salvio, Paula] Agua &amp; Saneamientos Argentinos SA Aysa, Tech Direct &amp; Technol Dev, Buenos Aires, Argentina</t>
  </si>
  <si>
    <t>Mayon, P (corresponding author), Agua &amp; Saneamientos Argentinos SA Aysa, Tech Direct &amp; Technol Dev, Buenos Aires, Argentina.</t>
  </si>
  <si>
    <t>paula_mayon@aysa.com.ar</t>
  </si>
  <si>
    <t>2386-3781</t>
  </si>
  <si>
    <t>2529-8968</t>
  </si>
  <si>
    <t>RIBAGUA-REV IBEROAM</t>
  </si>
  <si>
    <t>RIBAGUA-Rev. Iberoam. Agua</t>
  </si>
  <si>
    <t>10.1080/23863781.2023.2241637</t>
  </si>
  <si>
    <t>P1BS5</t>
  </si>
  <si>
    <t>WOS:001048066300001</t>
  </si>
  <si>
    <t>Fama, M; Corrado, A</t>
  </si>
  <si>
    <t>Fama, Marco; Corrado, Alessandra</t>
  </si>
  <si>
    <t>EU Agricultural and Rural Development Policies Vis-a-Vis the Ecological Crisis</t>
  </si>
  <si>
    <t>FORUM FOR SOCIAL ECONOMICS</t>
  </si>
  <si>
    <t>European agricultural policy; rural development; ecological crisis; food regimes; capitalist development; &gt;</t>
  </si>
  <si>
    <t>FOOD; QUALITY</t>
  </si>
  <si>
    <t>The paper critically analyzes the trajectories of EU agricultural and rural policies, exploring their link to the economic, social, and environmental crises of the last few decades and drawing a balance of their outcomes. In doing so, the authors focus on ongoing patterns of agrarian change shedding light on the complex and multifaceted features of the European agri-food system, as characterized by the hybridization of diverse agricultural models and non-linear processes of rural differentiations. In this respect, EU agricultural and rural development policies, within the context of the 'corporate-environmental food regime', have played a key role. In particular, the article makes the point that the various attempts to reform EU agriculture and provide responses to the ecological crisis have produced an 'institutional ambiguity', which, in turn, reflects a range of unresolved tensions and conflicts underpinning the EU agri-food system, where discourses about sustainability are contended among actors with divergent interests and vision of rural development. Against this background, new general tendencies are emerging entailing both risk and opportunities for the building of a more sustainable EU agri-food system.</t>
  </si>
  <si>
    <t>[Fama, Marco] Univ Bergamo, Dipartimento Lettere Filosofia Comunicaz, Bergamo, Italy; [Corrado, Alessandra] Univ Calabria, Dipartimento Sci Polit &amp; Sociali, Arcavacata Di Rende, Italy</t>
  </si>
  <si>
    <t>University of Bergamo; University of Calabria</t>
  </si>
  <si>
    <t>Fama, M (corresponding author), Univ Bergamo, Dipartimento Lettere Filosofia Comunicaz, Bergamo, Italy.</t>
  </si>
  <si>
    <t>0736-0932</t>
  </si>
  <si>
    <t>1874-6381</t>
  </si>
  <si>
    <t>FORUM SOC ECON</t>
  </si>
  <si>
    <t>Forum Soc. Econ.</t>
  </si>
  <si>
    <t>10.1080/07360932.2023.2245975</t>
  </si>
  <si>
    <t>P0BI1</t>
  </si>
  <si>
    <t>WOS:001047374300001</t>
  </si>
  <si>
    <t>Heckel, L; Eime, R; Karg, A; McDonald, H; Yeomans, C; O'Boyle, I</t>
  </si>
  <si>
    <t>Heckel, Leila; Eime, Rochelle; Karg, Adam; McDonald, Heath; Yeomans, Carleigh; O'Boyle, Ian</t>
  </si>
  <si>
    <t>A systematic review of the wellbeing benefits of being active through leisure and fitness centres</t>
  </si>
  <si>
    <t>LEISURE STUDIES</t>
  </si>
  <si>
    <t>Aquatic recreation and leisure centres; gymnasium; swimming pools; social wellbeing; psychological wellbeing; mental health; &gt;</t>
  </si>
  <si>
    <t>QUALITY-OF-LIFE; PHYSICAL-ACTIVITY; DOSE-RESPONSE; MENTAL-HEALTH; PARTICIPATION; SPORT; EXERCISE; DEPRESSION; RESISTANCE; IMPACT</t>
  </si>
  <si>
    <t>The aim of this systematic review was to provide an overview of the scientific evidence for psychosocial wellbeing benefits for individuals who are active through settings like leisure centres, gymnasiums or swimming pools. The level of physical activity required to achieve wellbeing outcomes through centre usage was a focal point. Nine electronic databases (AUSPORT, SPORTDiscus, EMBASE, MEDLINE, CINAHL complete, PsycINFO, Web of Science, PubMed, Scopus) were systematically searched to identify relevant literature, including all articles published in English from January 2011 to December 2021. A total of 1667 manuscripts were identified of which 31 articles were included in this review. Mental health was the most investigated psychological outcome, followed by stress reduction and relaxation; bonding with family/friends was the most frequently studied social outcome. Regular physical activity at leisure/fitness centres may be associated with increased social and psychological wellbeing. Participation in group programmes seems to be superior to individual activities in achieving health benefits due to its social nature. Findings from this review confirm that outcomes of being active through leisure/fitness centres go beyond physical benefits. However, scientific evidence is limited and more longitudinal studies with larger samples, and a focus on the dose-response relationship issue are recommended.</t>
  </si>
  <si>
    <t>[Heckel, Leila; O'Boyle, Ian] Univ South Australia, UniSa Business, Adelaide, Australia; [Eime, Rochelle] Federat Univ, Sch Sci Psychol &amp; Sport, Ballarat, Australia; [Eime, Rochelle] Victoria Univ, Inst Hlth &amp; Sport, Melbourne, Australia; [Karg, Adam; Yeomans, Carleigh] Swinburne Univ Technol, Sch Business Law &amp; Entrepreneurship, Melbourne, Australia; [McDonald, Heath] RMIT Univ, Sch Econ Finance &amp; Mkt, Melbourne, Australia</t>
  </si>
  <si>
    <t>University of South Australia; Federation University Australia; Victoria University; Swinburne University of Technology; Royal Melbourne Institute of Technology (RMIT)</t>
  </si>
  <si>
    <t>Heckel, L (corresponding author), Univ South Australia, UniSa Business, Adelaide, Australia.</t>
  </si>
  <si>
    <t>leila.heckel@unisa.edu.au</t>
  </si>
  <si>
    <t>O'Boyle, Ian/D-8507-2015</t>
  </si>
  <si>
    <t>O'Boyle, Ian/0000-0003-3501-8692; Heckel, Leila/0000-0002-9138-1034</t>
  </si>
  <si>
    <t>Australian Research Council [LP190100376]; Australian Research Council [LP190100376] Funding Source: Australian Research Council</t>
  </si>
  <si>
    <t>Australian Research Council(Australian Research Council); Australian Research Council(Australian Research Council)</t>
  </si>
  <si>
    <t>This work was supported by a grant from the Australian Research Council (LP190100376).</t>
  </si>
  <si>
    <t>0261-4367</t>
  </si>
  <si>
    <t>1466-4496</t>
  </si>
  <si>
    <t>LEISURE STUD</t>
  </si>
  <si>
    <t>Leis. Stud.</t>
  </si>
  <si>
    <t>10.1080/02614367.2023.2243654</t>
  </si>
  <si>
    <t>O0KT2</t>
  </si>
  <si>
    <t>WOS:001040803100001</t>
  </si>
  <si>
    <t>Pallavi; Basumatary, B; Shukla, R; Kumar, R; Das, B; Sahani, AK</t>
  </si>
  <si>
    <t>Pallavi, Bijit; Basumatary, Bijit; Shukla, Rahul; Kumar, Rakesh; Das, Bodhisatwa; Sahani, Ashish Kumar</t>
  </si>
  <si>
    <t>A Deep Learning-based System for Detecting Anemia from Eye Conjunctiva Images Taken from a Smartphone</t>
  </si>
  <si>
    <t>IETE TECHNICAL REVIEW</t>
  </si>
  <si>
    <t>Anemia; Chatbot; Convolution neural networks; Deep learning; Image classification; Image segmentation; Non-invasive disease diagnosis; Transfer learning; U-Net; &gt;</t>
  </si>
  <si>
    <t>Anemia is a severe health condition commonly prevalent among women of reproductive age and children below five years. Screening patients before the condition becomes critical and can save many lives. World Health Organization (WHO) has set the Global nutrition target 2025-anemia, aiming to reduce 50% of anemia cases among women of reproductive age. This target can be achieved through a time-efficient, cost-effective, and easy-to-use tool. Traditional testing methods require specific chemicals, machines, and equipment that are not available everywhere. It also requires the presence of nurses, laboratory workers, and doctors. These methods are costly, time-consuming, and produce biohazard waste, thus polluting the environment. We developed an Artificial Intelligence (AI)-based bot that can be used for screening people for anemia. The bot service is based on two models: a segmentation model to segment the Region of Interest (ROI) and a classification model to classify anemic cases from normal ones. To train the model, we have collected data from 160 anemic and 140 non-anemic persons. In this paper, we have explained the architecture of the models, all the training parameters, and their deployment on cloud services using the REAN chatbot service. We manage to reach an Intersection Over Union (IOU) score of 0.922 for the segmentation model; validation recall of 0.95 and validation accuracy of 0.9699 for the classification model. This system is easy to use and does not depend on the availability of comprehensive laboratory infrastructure or trained personnel and thus can enable screening of anemia in low-resource settings.</t>
  </si>
  <si>
    <t>[Pallavi, Bijit; Basumatary, Bijit; Shukla, Rahul; Das, Bodhisatwa; Sahani, Ashish Kumar] Indian Inst Technol Ropar, Biomed Engn, Rupnagar, Punjab, India; [Kumar, Rakesh] REAN Fdn, Leesburg, VA USA</t>
  </si>
  <si>
    <t>Indian Institute of Technology System (IIT System); Indian Institute of Technology (IIT) - Ropar</t>
  </si>
  <si>
    <t>Basumatary, B (corresponding author), Indian Inst Technol Ropar, Biomed Engn, Rupnagar, Punjab, India.</t>
  </si>
  <si>
    <t>2020bmm1012@iitrpr.ac.in; bijit.21bmz0002@iitrpr.ac.in; rahulshukla0031@gmail.com; rakesh.garg@reanfoundation.org; bodhisatwa.das@iitrpr.ac.in; ashish.sahani@iitrpr.ac.in</t>
  </si>
  <si>
    <t>Basumatary, Bijit/JFK-1285-2023</t>
  </si>
  <si>
    <t>Basumatary, Bijit/0000-0002-2994-8562</t>
  </si>
  <si>
    <t>0256-4602</t>
  </si>
  <si>
    <t>0974-5971</t>
  </si>
  <si>
    <t>IETE TECH REV</t>
  </si>
  <si>
    <t>IETE Tech. Rev.</t>
  </si>
  <si>
    <t>10.1080/02564602.2023.2242318</t>
  </si>
  <si>
    <t>Engineering, Electrical &amp; Electronic; Telecommunications</t>
  </si>
  <si>
    <t>Engineering; Telecommunications</t>
  </si>
  <si>
    <t>O6MR8</t>
  </si>
  <si>
    <t>WOS:001044931800001</t>
  </si>
  <si>
    <t>Phillips, MG; Osmond, G; Wheeler, K</t>
  </si>
  <si>
    <t>Phillips, Murray G. G.; Osmond, Gary; Wheeler, Keane</t>
  </si>
  <si>
    <t>Aboriginal and Torres Strait Islander Sport: Sporting Literacy, Attenuated Agency, and Survivance</t>
  </si>
  <si>
    <t>INTERNATIONAL JOURNAL OF THE HISTORY OF SPORT</t>
  </si>
  <si>
    <t>Aboriginal and Torres Strait Islander peoples; attenuated agency; resistance; sporting literacy; survivance</t>
  </si>
  <si>
    <t>CRICKET TOUR; HISTORY</t>
  </si>
  <si>
    <t>In Australia, Aboriginal and Torres Strait Islander peoples have a long history of involvement in Western sports. Many of these physical activities emanated originally from Britain, Europe, and the United States of America, and some were distinctly Australian. In order to understand this involvement, the concept of sporting literacy is introduced as a way to capture their motivations, the decision-making processes involved, the attenuated agency they possessed, and how sport was a forum for resistance used by Aboriginal and Torres Strait Islander peoples to mitigate the power imbalances of settler colonialism. Four examples are examined - written correspondence about sporting opportunities, a strike by Aboriginal footballers, the sport of marching girls, and a rugby league competition organized by Aboriginal people. These case studies are analyzed and understood as what Anishinaabe cultural theorist Gerald Vizenor describes as survivance stories.</t>
  </si>
  <si>
    <t>[Phillips, Murray G. G.; Osmond, Gary; Wheeler, Keane] Univ Queensland, Sch Human Movement &amp; Nutr Sci, Brisbane, Australia</t>
  </si>
  <si>
    <t>Phillips, MG (corresponding author), Univ Queensland, Sch Human Movement &amp; Nutr Sci, Brisbane, Australia.</t>
  </si>
  <si>
    <t>m.phillips@uq.edu.au</t>
  </si>
  <si>
    <t>Phillips, Murray/0000-0001-5842-8913; Wheeler, Keane/0000-0001-8165-2892; Osmond, Gary/0000-0002-4866-3765</t>
  </si>
  <si>
    <t>Australian Research Council [DP190100647, FT160100212]; Australian Research Council [FT160100212] Funding Source: Australian Research Council</t>
  </si>
  <si>
    <t>This work was supported by the Australian Research Council under a Discovery Grant DP190100647 (2020-2023) and a Future Fellowship FT160100212 (2017-2022).</t>
  </si>
  <si>
    <t>0952-3367</t>
  </si>
  <si>
    <t>1743-9035</t>
  </si>
  <si>
    <t>INT J HIST SPORT</t>
  </si>
  <si>
    <t>Int. J. Hist. Sport</t>
  </si>
  <si>
    <t>10.1080/09523367.2023.2245765</t>
  </si>
  <si>
    <t>History; Hospitality, Leisure, Sport &amp; Tourism</t>
  </si>
  <si>
    <t>History; Social Sciences - Other Topics</t>
  </si>
  <si>
    <t>P3MV9</t>
  </si>
  <si>
    <t>WOS:001049726600001</t>
  </si>
  <si>
    <t>Weng, ZY; Fan, F; Yang, BH; Zhang, H</t>
  </si>
  <si>
    <t>Weng, Zongyuan; Fan, Fei; Yang, Bihong; Zhang, Hong</t>
  </si>
  <si>
    <t>Regional differences and drivers of patent transfer-in between Chinese cities: a city absorptive capacity perspective</t>
  </si>
  <si>
    <t>TECHNOLOGY ANALYSIS &amp; STRATEGIC MANAGEMENT</t>
  </si>
  <si>
    <t>Patent transfer-in; regional differences; driving factors; city absorptive capacity; &gt;</t>
  </si>
  <si>
    <t>FOREIGN DIRECT-INVESTMENT; RESEARCH-AND-DEVELOPMENT; TECHNOLOGY-TRANSFER; INNOVATIVE PERFORMANCE; KNOWLEDGE; DETERMINANTS; SPILLOVERS</t>
  </si>
  <si>
    <t>Patent transfer-in is a crucial approach and source for regions to reduce R &amp; D costs and develop innovative technologies. Referring to patent transfer records from the China National Intellectual Property Administration as the data source, this paper explores the drivers of patent transfer-in in Chinese cities using geographically and temporally weighted regression and geographical detectors. Results show that: (1) from 2013 to 2019, the quantity of urban patent transfer-in increased obviously and distributed heterogeneously. The Gini coefficient remained above 0.7, while the overall difference in patent transfer-in significantly declined. (2) The contribution of each influencing factor showed spatial heterogeneity. Foreign direct investment had a negative impact on the acquisition of patented technologies from other domestic cities in most cities. In addition, most cities within the Beijing-Tianjin-Hebei region had not benefited from the accumulation of urban human capital for patent transfer-in. (3) Regional economic development and R &amp; D investment gradually became the dominant influencing factors of patent transfer-in at the city level. In 2019, the influencing factors showed relatively-balanced interactions, but the interactions between human capital and industrial scale remained high.</t>
  </si>
  <si>
    <t>[Weng, Zongyuan; Fan, Fei] Wuhan Univ, Sch Econ &amp; Management, Wuhan, Peoples R China; [Fan, Fei] Wuhan Univ, Ctr Reg Econ Res, Wuhan, Peoples R China; [Yang, Bihong] Beijing Normal Univ, Fac Geog Sci, Beijing Engn Res Ctr Global Land Remote Sensing Pr, State Key Lab Remote Sensing Sci, Beijing, Peoples R China; [Zhang, Hong] East China Normal Univ, Inst Global Innovat &amp; Dev, Shanghai, Peoples R China; [Zhang, Hong] East China Normal Univ, Sch Urban &amp; Reg Sci, Shanghai, Peoples R China; [Zhang, Hong] East China Normal Univ, Inst Global Innovat &amp; Dev, Shanghai 200062, Peoples R China; [Zhang, Hong] East China Normal Univ, Sch Urban &amp; Reg Sci, Shanghai 200062, Peoples R China</t>
  </si>
  <si>
    <t>Wuhan University; Wuhan University; Beijing Normal University; East China Normal University; East China Normal University; East China Normal University; East China Normal University</t>
  </si>
  <si>
    <t>Zhang, H (corresponding author), East China Normal Univ, Inst Global Innovat &amp; Dev, Shanghai 200062, Peoples R China.;Zhang, H (corresponding author), East China Normal Univ, Sch Urban &amp; Reg Sci, Shanghai 200062, Peoples R China.</t>
  </si>
  <si>
    <t>hzhang@re.ecnu.edu.cn</t>
  </si>
  <si>
    <t>ZHANG, Hong/B-6221-2019</t>
  </si>
  <si>
    <t>ZHANG, Hong/0000-0003-2057-8427</t>
  </si>
  <si>
    <t>Major Program of National Philosophy and Social Science Foundation of China [21ZDA011]; Natural Science Foundation of Shanghai [21ZR1421100]; General Program of National Natural Science Foundation of China [42071154, 42171420]; Institute of Wuhan Studies of Jianghan University Open Projects [IWHS20211002]; Major Program of the Key Research Bases of Humanities and Social Sciences of Ministry of Education of China [22JJD790030]; Shanghai Soft Science Research Project [22692108000]; Projects of Science and Technology Innovation Think Tank of Wuhan Association for Science and Technology [WHKX202302]</t>
  </si>
  <si>
    <t>Major Program of National Philosophy and Social Science Foundation of China; Natural Science Foundation of Shanghai(Natural Science Foundation of Shanghai); General Program of National Natural Science Foundation of China(National Natural Science Foundation of China (NSFC)); Institute of Wuhan Studies of Jianghan University Open Projects; Major Program of the Key Research Bases of Humanities and Social Sciences of Ministry of Education of China; Shanghai Soft Science Research Project; Projects of Science and Technology Innovation Think Tank of Wuhan Association for Science and Technology</t>
  </si>
  <si>
    <t>This work was supported by Major Program of National Philosophy and Social Science Foundation of China [grant number 21ZDA011]; Natural Science Foundation of Shanghai [grant number 21ZR1421100]; General Program of National Natural Science Foundation of China [grant number 42071154, 42171420]; Institute of Wuhan Studies of Jianghan University Open Projects [grant number IWHS20211002]; Major Program of the Key Research Bases of Humanities and Social Sciences of Ministry of Education of China [grant number 22JJD790030]; Shanghai Soft Science Research Project [grant number 22692108000]; Projects of Science and Technology Innovation Think Tank of Wuhan Association for Science and Technology [grant number WHKX202302].</t>
  </si>
  <si>
    <t>0953-7325</t>
  </si>
  <si>
    <t>1465-3990</t>
  </si>
  <si>
    <t>TECHNOL ANAL STRATEG</t>
  </si>
  <si>
    <t>Technol. Anal. Strateg. Manage.</t>
  </si>
  <si>
    <t>10.1080/09537325.2023.2242509</t>
  </si>
  <si>
    <t>Management; Multidisciplinary Sciences</t>
  </si>
  <si>
    <t>Business &amp; Economics; Science &amp; Technology - Other Topics</t>
  </si>
  <si>
    <t>O3OL6</t>
  </si>
  <si>
    <t>WOS:001042943500001</t>
  </si>
  <si>
    <t>Guo, CL; Hou, SC; Jin, HL; Wang, WW</t>
  </si>
  <si>
    <t>Guo, Chunlei; Hou, Shaochun; Jin, Hailong; Wang, Weiwei</t>
  </si>
  <si>
    <t>Adsorption of tannic acid as depressant in the flotation separation of fluorite and bastnaesite</t>
  </si>
  <si>
    <t>MINERAL PROCESSING AND EXTRACTIVE METALLURGY-TRANSACTIONS OF THE INSTITUTIONS OF MINING AND METALLURGY</t>
  </si>
  <si>
    <t>Bastnaesite; fluorite; tannic acid; flotation separation; &gt;</t>
  </si>
  <si>
    <t>SELECTIVE FLOTATION; SURFACE-CHEMISTRY; PHTHALIC-ACID; FATTY-ACIDS; CALCITE; MECHANISM; MINERALS; BENEFICIATION; BASTNASITE; SCHEELITE</t>
  </si>
  <si>
    <t>Fluorite, a strategic industrial mineral, was investigated for flotation separation from bastnaesite with tannic acid (TA) as depressant. In this study, the adsorption analysis indicates that the adsorption density of TA on bastnaesite was greater than that of fluorite. The zeta potential, Fourier transform infrared spectroscopy (FTIR), and X-ray photoelectron spectroscopy (XPS) provide the evidence that chemisorption and electrostatic attraction occurred simultaneously between TA and fluorite or bastnaesite at optimal pH, the latter also involving hydrogen bonding interactions. Furthermore, the micro-flotation and batch flotation results suggest that TA could effectively depress bastnaesite with a negligible effect on fluorite at low concentrations, and that TA attached to the surface of bastnaesite precluded the adsorption of phthalic acid (PA) as collector, whereas it could be adsorbed on the fluorite surface. These findings offer a robust theoretical foundation and valid guidance for the flotation separation of fluorite from bastnaesite in industrial processes.</t>
  </si>
  <si>
    <t>[Guo, Chunlei; Hou, Shaochun; Jin, Hailong; Wang, Weiwei] Baotou Res Inst Rare Earths, Inst Resources &amp; Ecol Environm, Baotou, Peoples R China; [Guo, Chunlei] Baotou Res Inst Rare Earths, Inst Resources &amp; Ecol Environm, Baotou 014080, Inner Mongolia, Peoples R China</t>
  </si>
  <si>
    <t>Guo, CL (corresponding author), Baotou Res Inst Rare Earths, Inst Resources &amp; Ecol Environm, Baotou 014080, Inner Mongolia, Peoples R China.</t>
  </si>
  <si>
    <t>qw884317@126.com</t>
  </si>
  <si>
    <t>National Key Ramp;D Program Strategic Mineral Resources Development and Utilization Key Project [2022YFC2905300]</t>
  </si>
  <si>
    <t>National Key Ramp;D Program Strategic Mineral Resources Development and Utilization Key Project</t>
  </si>
  <si>
    <t>The authors sincerely thank National Key R&amp;D Program Strategic Mineral Resources Development and Utilization Key Project (2022YFC2905300) for project support.</t>
  </si>
  <si>
    <t>2572-6641</t>
  </si>
  <si>
    <t>2572-665X</t>
  </si>
  <si>
    <t>MIN PROC EXT MET-UK</t>
  </si>
  <si>
    <t>Miner. Proc. Extr. Metall.</t>
  </si>
  <si>
    <t>2023 AUG 4</t>
  </si>
  <si>
    <t>10.1080/25726641.2023.2243198</t>
  </si>
  <si>
    <t>Mining &amp; Mineral Processing</t>
  </si>
  <si>
    <t>O2XD0</t>
  </si>
  <si>
    <t>WOS:001042491100001</t>
  </si>
  <si>
    <t>Randall, RR</t>
  </si>
  <si>
    <t>Randall, Renee Ragin</t>
  </si>
  <si>
    <t>Lebanon in the Devil's Waters: the literary supernatural in Ghada al-Samman's civil war trilogy</t>
  </si>
  <si>
    <t>MIDDLE EASTERN LITERATURES</t>
  </si>
  <si>
    <t>Ghada al-Samman; Lebanese civil war; Supernatural; Postcolonial; Jinn</t>
  </si>
  <si>
    <t>In the early 1970s, Syrian-born author, Ghada al-Samman authored two essays on the supernatural based, in part, on her experiences in Beirut. These essays mark the beginning of what I identify as her sustained literary interest in the supernatural. While al-Samman's political investments as a feminist and leftist writer have been the primary lenses through which critics have considered her work, this essay recenters her literary contributions. Focusing on her Lebanese civil war trilogy, I explore how she constructs and sustains a supernatural literary sensibility over the course of several decades, amalgamating Arabo-Islamic cosmologies, Euro-American psychoanalytic notions, and Shakespearean aesthetics. The result, I argue, is a supernatural hermeneutic which highlights the irreparable damage of both pre-war and wartime environs to the individual soul and the body politic.</t>
  </si>
  <si>
    <t>[Randall, Renee Ragin] Univ Michigan, Ann Arbor, MI 48109 USA</t>
  </si>
  <si>
    <t>University of Michigan System; University of Michigan</t>
  </si>
  <si>
    <t>Randall, RR (corresponding author), Univ Michigan, Ann Arbor, MI 48109 USA.</t>
  </si>
  <si>
    <t>reneeran@umich.edu</t>
  </si>
  <si>
    <t>1475-262X</t>
  </si>
  <si>
    <t>1475-2638</t>
  </si>
  <si>
    <t>MIDDLE EAST LIT</t>
  </si>
  <si>
    <t>Middle East. Lit.</t>
  </si>
  <si>
    <t>2-3</t>
  </si>
  <si>
    <t>10.1080/1475262X.2023.2242294</t>
  </si>
  <si>
    <t>S8FA2</t>
  </si>
  <si>
    <t>WOS:001042398600001</t>
  </si>
  <si>
    <t>Seo, J</t>
  </si>
  <si>
    <t>Seo, Joohee</t>
  </si>
  <si>
    <t>A Bastard's Confession: National Forgetting, Remasculinization, and the Ethics of Just Memory in Viet Thanh Nguyen's The Sympathizer</t>
  </si>
  <si>
    <t>CRITIQUE-STUDIES IN CONTEMPORARY FICTION</t>
  </si>
  <si>
    <t>This paper examines the representation and critique of Asian masculinity and patriarchy in Viet Thanh Nguyen's The Sympathizer. In his written confession, the narrator retraces the events after the Fall/Liberation of Saigon during his espionage on the defected South Vietnamese veterans who try to reclaim their country while relocated to the U.S. as refugees. The metatextual, confessional form of the novel embodies the act of remembering and forgetting, writing and rewriting. This paper argues that the narrator, ostracized as a bastard due to his biracial parentage, observes the interlocking of patriarchy and nationhood from the perspective of a marginalized outsider of Vietnamese society. The paper first examines the marginalization of the narrator as a bastard within the patriarchal Vietnamese society. Then, the paper analyzes how the process of remasculinization is incorporated into the General's mission of rebuilding nationhood and how it inevitably fails. Finally, the paper assesses the narrator's masculinist tendencies which inform his written confession. While the bastard narrator is a minoritarian subject that problematizes the ideology of nationhood that is based on heteronormative patrilineage, he himself is also a problematic figure whose masculinism lead him to purposely forget and erase his own involvements in acts of violence afflicted upon women. The narrator's final act of remembrance enacts Nguyen's notion of just memory.</t>
  </si>
  <si>
    <t>[Seo, Joohee] Seoul Natl Univ, Dept English Language &amp; Literature, 1 Gwanak ro, Seoul 08826, South Korea</t>
  </si>
  <si>
    <t>Seoul National University (SNU)</t>
  </si>
  <si>
    <t>Seo, J (corresponding author), Seoul Natl Univ, Dept English Language &amp; Literature, 1 Gwanak ro, Seoul 08826, South Korea.</t>
  </si>
  <si>
    <t>seo2004@snu.ac.kr</t>
  </si>
  <si>
    <t>Seo, Joohee/JFA-4052-2023</t>
  </si>
  <si>
    <t>Seo, Joohee/0009-0005-6333-6868</t>
  </si>
  <si>
    <t>0011-1619</t>
  </si>
  <si>
    <t>1939-9138</t>
  </si>
  <si>
    <t>CRITIQUE-ST CONTEMP</t>
  </si>
  <si>
    <t>Crit.-Stud. Contemp. Fiction</t>
  </si>
  <si>
    <t>10.1080/00111619.2023.2243822</t>
  </si>
  <si>
    <t>O2BC9</t>
  </si>
  <si>
    <t>WOS:001041914400001</t>
  </si>
  <si>
    <t>Wang, FM; King, RB; Fu, LY; Chai, CS; Leung, SO</t>
  </si>
  <si>
    <t>Wang, Faming; King, Ronnel B.; Fu, Lingyi; Chai, Ching-Sing; Leung, Shing On</t>
  </si>
  <si>
    <t>Overcoming adversity: exploring the key predictors of academic resilience in science</t>
  </si>
  <si>
    <t>INTERNATIONAL JOURNAL OF SCIENCE EDUCATION</t>
  </si>
  <si>
    <t>Academic resilience; socioeconomically disadvantaged students; science achievement; &gt;</t>
  </si>
  <si>
    <t>HONG-KONG; READING-ACHIEVEMENT; SCHOOL SCIENCE; MENTAL-HEALTH; STUDENTS; MATHEMATICS; OPPORTUNITY; CLASSROOM; FAMILY; MATH</t>
  </si>
  <si>
    <t>Resilient students attain high levels of academic achievement despite the presence of chronic socioeconomic disadvantage. Identifying factors that promote resilience in the domain of science is crucial to making equitable and high-quality science education accessible for all students. Rooted in the opportunity-propensity framework, this study examined the relative importance of opportunity, propensity, and antecedent factors in understanding academic resilience. The data came from 3377 Grade 8 students in Hong Kong. Among them, 844 students who are in the bottom 25% of SES were selected. Machine learning analyses indicated that ten variables best predicted academic resilience. These variables, in order of predictive power, were: confidence in science, home resources, liking for learning science, valuing of science, instructional clarity, instructional time, content exposure to biology topics, sense of school belonging, school emphasis on academic success, and content exposure to physical science. Mean-level comparisons corroborated the machine learning findings showing that resilient students scored higher on these variables than non-resilient students. This study demonstrates the complexity of academic resilience in science by showing the relative importance of multiple predictors. The findings of the current study could provide policymakers and practitioners with information to identify the most promising intervention targets to promote academic resilience.</t>
  </si>
  <si>
    <t>[Wang, Faming; Fu, Lingyi] Univ Hong Kong, Fac Educ, Ctr Enhancement Teaching &amp; Learning, Hong Kong, Peoples R China; [King, Ronnel B.; Chai, Ching-Sing] Chinese Univ Hong Kong, Fac Educ, Dept Curriculum &amp; Instruct, Hong Kong, Peoples R China; [Leung, Shing On] Univ Macau, Fac Educ, Macau, Peoples R China; [King, Ronnel B.] Chinese Univ Hong Kong, Fac Educ, Dept Curriculum &amp; Instruct, Shatin, Hong Kong, Peoples R China</t>
  </si>
  <si>
    <t>University of Hong Kong; Chinese University of Hong Kong; University of Macau; Chinese University of Hong Kong</t>
  </si>
  <si>
    <t>King, RB (corresponding author), Chinese Univ Hong Kong, Fac Educ, Dept Curriculum &amp; Instruct, Shatin, Hong Kong, Peoples R China.</t>
  </si>
  <si>
    <t>ronnel.king@gmail.com</t>
  </si>
  <si>
    <t>Wang, Faming/0000-0001-7144-2939; King, Ronnel/0000-0003-1723-1748</t>
  </si>
  <si>
    <t>0950-0693</t>
  </si>
  <si>
    <t>1464-5289</t>
  </si>
  <si>
    <t>INT J SCI EDUC</t>
  </si>
  <si>
    <t>Int. J. Sci. Educ.</t>
  </si>
  <si>
    <t>10.1080/09500693.2023.2231117</t>
  </si>
  <si>
    <t>O2XM1</t>
  </si>
  <si>
    <t>WOS:001042500300001</t>
  </si>
  <si>
    <t>Yin, J; Qu, XQ; Ni, YS</t>
  </si>
  <si>
    <t>Yin, Jie; Qu, Xingqin; Ni, Yensen</t>
  </si>
  <si>
    <t>The marketing of destination distinctiveness: the power of tourism short videos with enjoyability and authenticity</t>
  </si>
  <si>
    <t>Perception of destination distinctiveness; concentration; electronic word-of-mouth; enjoyability; authenticity; emotion appraisal theory; &gt;</t>
  </si>
  <si>
    <t>WORD-OF-MOUTH; EWOM; EMOTIONS; ONLINE; TRUST; ACCEPTANCE; APPRAISALS; INTENTION; BEHAVIOR</t>
  </si>
  <si>
    <t>Tourism short videos are increasingly being utilized to promote tourism development and differentiate destinations through electronic word-of-mouth. This study explores the association between the perception of destination distinctiveness through tourism short videos (PDD) and electronic word-of-mouth on destination image (eWOM-DI), as online short videos gain more popularity. Drawing on the emotional appraisal theory, the study investigates how PDD affects eWOM-DI through concentration as a mediator and enjoyability and authenticity as moderators. The findings indicate that PDD has a direct and indirect effect on eWOM-DI through concentration. Additionally, the study reveals that higher levels of enjoyability or authenticity can strengthen the positive effects of PDD on concentration and eWOM-DI. These results provide valuable insights for effectively promoting destination distinctness through electronic word-of-mouth elicited by tourism short videos with enjoyability and authenticity.</t>
  </si>
  <si>
    <t>[Yin, Jie] Huaqiao Univ, Coll Tourism, Dept Exhibit Econ &amp; Management, Quanzhou, Peoples R China; [Qu, Xingqin] Huaqiao Univ, Coll Tourism, Quanzhou, Peoples R China; [Ni, Yensen] Tamkang Univ, Dept Management Sci, Taipei, Taiwan</t>
  </si>
  <si>
    <t>Huaqiao University; Huaqiao University; Tamkang University</t>
  </si>
  <si>
    <t>Ni, YS (corresponding author), Tamkang Univ, Dept Management Sci, Taipei, Taiwan.</t>
  </si>
  <si>
    <t>ysniysni@gmail.com</t>
  </si>
  <si>
    <t>Ni, Yensen/0000-0003-1980-591X</t>
  </si>
  <si>
    <t>Youth Project of National Social Science Foundation, China [20CGL022]; National Science and Technology Council, Taiwan [NSTC 112-2410-H-032-047]</t>
  </si>
  <si>
    <t>Youth Project of National Social Science Foundation, China; National Science and Technology Council, Taiwan</t>
  </si>
  <si>
    <t>This work was supported by Youth Project of National Social Science Foundation, China: [Grant Number 20CGL022]. (Jie Yin); National Science and Technology Council, Taiwan: [Grant Number NSTC 112-2410-H-032-047] (Yensen Ni).</t>
  </si>
  <si>
    <t>10.1080/13683500.2023.2242559</t>
  </si>
  <si>
    <t>O3YP0</t>
  </si>
  <si>
    <t>WOS:001043208400001</t>
  </si>
  <si>
    <t>Babac, MB; Podobnik, V</t>
  </si>
  <si>
    <t>Bagic Babac, Marina; Podobnik, Vedran</t>
  </si>
  <si>
    <t>World-class sporting events as arenas of emotional eruptions on social media</t>
  </si>
  <si>
    <t>SOCCER &amp; SOCIETY</t>
  </si>
  <si>
    <t>REFLECTED GLORY; FOOTBALL; SENTIMENT; BASKING</t>
  </si>
  <si>
    <t>Sporting events are arenas of emotional bursts, and social media is a place where such emotional irruptions of fans are encoded in their words and button clicks. This study investigates the use of Facebook reactions by sports fans during the most significant world-class sporting events in 2016: the UEFA Euro, the men's football championship of Europe, and the Summer Olympics Games, a major international multi-sport event. Our research challenge is to find out how people react to sports content and underscore the importance of emotional processes in shaping collective outcomes. In the paper, we propose a model for measuring the intensity of emotional charge, in terms of Facebook reactions and virality, and the results show what Facebook users think and feel about both sports events. According to our findings, the Olympics are the sporting arena of emotions of peace, and the Euro is the sporting arena of war of emotions.</t>
  </si>
  <si>
    <t>[Bagic Babac, Marina; Podobnik, Vedran] Univ Zagreb, Fac Elect Engn &amp; Comp, Zagreb, Croatia</t>
  </si>
  <si>
    <t>University of Zagreb</t>
  </si>
  <si>
    <t>Podobnik, V (corresponding author), Univ Zagreb, Fac Elect Engn &amp; Comp, Zagreb, Croatia.</t>
  </si>
  <si>
    <t>vedran.podobnik@fer.hr</t>
  </si>
  <si>
    <t>1466-0970</t>
  </si>
  <si>
    <t>1743-9590</t>
  </si>
  <si>
    <t>SOCCER SOC</t>
  </si>
  <si>
    <t>Soccer Soc.</t>
  </si>
  <si>
    <t>2023 AUG 3</t>
  </si>
  <si>
    <t>10.1080/14660970.2023.2229743</t>
  </si>
  <si>
    <t>O0GD3</t>
  </si>
  <si>
    <t>WOS:001040682000001</t>
  </si>
  <si>
    <t>Ballif, E</t>
  </si>
  <si>
    <t>Ballif, Edmee</t>
  </si>
  <si>
    <t>Multispecies Childcare: Child Veganism and the Reimagining of Health, Reproduction, and Gender in Switzerland</t>
  </si>
  <si>
    <t>MEDICAL ANTHROPOLOGY</t>
  </si>
  <si>
    <t>Switzerland; health; nutrition; parenting; reproductive imaginaries; veganism; &gt;</t>
  </si>
  <si>
    <t>ANIMAL RIGHTS; MORAL SHOCKS; DIET; FOOD; ENVIRONMENT; FUTURE; MEAT</t>
  </si>
  <si>
    <t>Influenced by nutritional science, feeding children is generally thought of in terms of children's health and well-being. Here, I ask whether child veganism, with its focus on animal welfare and environmental concerns, challenges this model. Drawing from reproductive studies, I focus on Swiss vegan parents' ideas about food to illuminate a multispecies, less anthropocentric form of childcare. While their ethic opens up new perspectives on health and childcare, I discuss how sustainable reproductive practices can also solidify gender stereotypes and modes of ordering species.</t>
  </si>
  <si>
    <t>[Ballif, Edmee] UCL, Social Res Inst, London, England; [Ballif, Edmee] UCL, Social Res Inst, 27-28 Woburn Sq, London WC1H 0AA, England</t>
  </si>
  <si>
    <t>University of London; University College London; University of London; University College London</t>
  </si>
  <si>
    <t>Ballif, E (corresponding author), UCL, Social Res Inst, 27-28 Woburn Sq, London WC1H 0AA, England.</t>
  </si>
  <si>
    <t>e.ballif@ucl.ac.uk</t>
  </si>
  <si>
    <t>Ballif, Edmee/0000-0002-2304-524X</t>
  </si>
  <si>
    <t>0145-9740</t>
  </si>
  <si>
    <t>1545-5882</t>
  </si>
  <si>
    <t>MED ANTHROPOL</t>
  </si>
  <si>
    <t>Med. Anthropol.</t>
  </si>
  <si>
    <t>10.1080/01459740.2023.2240944</t>
  </si>
  <si>
    <t>Anthropology; Reproductive Biology; Social Sciences, Biomedical</t>
  </si>
  <si>
    <t>Anthropology; Reproductive Biology; Biomedical Social Sciences</t>
  </si>
  <si>
    <t>N7FX1</t>
  </si>
  <si>
    <t>WOS:001038636700001</t>
  </si>
  <si>
    <t>Berlin, A; Matney, E; Jones, SG; Clark, ME; Swain, TA; McGwin, G; Martindale, RM; Sloan, KR; Owsley, C; Curcio, CA</t>
  </si>
  <si>
    <t>Berlin, Andreas; Matney, Emily; Jones, Skyler G.; Clark, Mark E.; Swain, Thomas A.; McGwin, Gerald; Martindale, Richard M.; Sloan, Kenneth R.; Owsley, Cynthia; Curcio, Christine A.</t>
  </si>
  <si>
    <t>Discernibility of the Interdigitation Zone (IZ), a Potential Optical Coherence Tomography (OCT) Biomarker for Visual Dysfunction in Aging</t>
  </si>
  <si>
    <t>Aging; age-related macular degeneration; structure-function correlation; optical coherence tomography; interdigitation zone; rod-mediated dark adaptation; &gt;</t>
  </si>
  <si>
    <t>SEGMENT TIPS LINE; DARK-ADAPTATION; MACULAR DEGENERATION; GEOGRAPHIC ATROPHY; FOVEAL CONES; RETINA; IMPACT; PROGRESSION; EXPRESSION; RECOVERY</t>
  </si>
  <si>
    <t>PurposePhotoreceptor (PR) outer segments, retinal pigment epithelium apical processes, and inter-PR matrix contribute to the interdigitation zone (IZ) of optical coherence tomography (OCT). We hypothesize that this interface degrades over adulthood, in concert with a delay of rod mediated dark adaptation (RMDA). To explore this idea, we determined IZ discernibility and RMDA in younger and older adults.MethodsFor this cross-sectional study, eyes of 20 young (20-30 years) and 40 older (&amp; GE;60 years) participants with normal maculas according to the AREDS 9-step grading system underwent OCT imaging and RMDA testing at 5 &amp; DEG; superior to the fovea. Custom FIJI plugins enabled analysis for IZ discernibility at 9 eccentricities in 0.5 mm steps on one single horizontal B-scan through the fovea. Locations with discernible IZ met two criteria: visibility on B-scans and a distinct peak on a longitudinal reflectivity profile. The frequency of sites meeting both criteria was compared between both age groups and correlated with rod intercept time (RIT).ResultsThe median number of locations with discernible IZ was significantly higher (foveal, 4 vs. 0, p = 0.0099; extra-foveal 6 vs. 0, p &lt; 0.001) in eyes of young (26 &amp; PLUSMN; 3 years) compared to older (73 &amp; PLUSMN; 5 years) participants. For the combined young and older sample, the higher frequency of discernible IZ was correlated with shorter RIT (faster dark adaptation) (r(s) = -0.56, p &lt; 0.0001). This association was significant within young eyes (r(s) = -0.54; p = 0.0134) and not within older eyes (r(s) = -0.29, p = 0.706).ConclusionsResults suggest that the interface between outer segments and apical processes degrades in normal aging, potentially contributing to delayed rod-mediated dark adaptation. More research is needed to verify an age-related association between IZ discernibility and rod-mediated dark adaptation. If confirmed in a large sample, IZ discernibility might prove to be a valuable biomarker and predictor for visual function in aging.</t>
  </si>
  <si>
    <t>[Berlin, Andreas; Matney, Emily; Jones, Skyler G.; Clark, Mark E.; Swain, Thomas A.; McGwin, Gerald; Martindale, Richard M.; Sloan, Kenneth R.; Owsley, Cynthia; Curcio, Christine A.] Univ Alabama Birmingham, Heersink Sch Med, Dept Ophthalmol &amp; Visual Sci, Birmingham, AL USA; [Berlin, Andreas] Univ Hosp Wurzburg, Dept Ophthalmol, Wurzburg, Germany; [McGwin, Gerald] Univ Alabama Birmingham, Sch Publ Hlth, Dept Epidemiol, Birmingham, AL USA; [Curcio, Christine A.] EyeSight Fdn Alabama VisionResearch Labs, Heersink Sch Med, Dept Ophthalmol &amp; Visual Sci, 1670 Univ Blvd Room 360, Birmingham, AL 35294 USA; [Jones, Skyler G.] Med Coll Georgia, Dept Ophthalmol, Augusta, GA USA</t>
  </si>
  <si>
    <t>University of Alabama System; University of Alabama Birmingham; University of Wurzburg; University of Alabama System; University of Alabama Birmingham; University System of Georgia; Augusta University</t>
  </si>
  <si>
    <t>Curcio, CA (corresponding author), EyeSight Fdn Alabama VisionResearch Labs, Heersink Sch Med, Dept Ophthalmol &amp; Visual Sci, 1670 Univ Blvd Room 360, Birmingham, AL 35294 USA.</t>
  </si>
  <si>
    <t>christinecurcio@uabmc.edu</t>
  </si>
  <si>
    <t>Curcio, Christine/0000-0001-9769-1538; Berlin, Andreas/0000-0002-0010-8914</t>
  </si>
  <si>
    <t>National Institutes of Health [R01EY029595, R01EY027948, P30EY03039]; Dorsett Davis Discovery Fund; Alfreda J. Schueler Trust; Dr. Werner Jackstadt-foundation; EyeSight Foundation of Alabama; Research to Prevent Blindness, Inc.</t>
  </si>
  <si>
    <t>National Institutes of Health(United States Department of Health &amp; Human ServicesNational Institutes of Health (NIH) - USA); Dorsett Davis Discovery Fund; Alfreda J. Schueler Trust; Dr. Werner Jackstadt-foundation; EyeSight Foundation of Alabama; Research to Prevent Blindness, Inc.(Research to Prevent Blindness (RPB))</t>
  </si>
  <si>
    <t>This work was supported by National Institutes of Health [R01EY029595 (CO and CAC), R01EY027948 (CAC), and P30EY03039 (CO)]; Dorsett Davis Discovery Fund; Alfreda J. Schueler Trust (CO); Dr. Werner Jackstadt-foundation (AB); Unrestricted funds to the Department of Ophthalmology and Visual Sciences (UAB) from Research to Prevent Blindness, Inc., and EyeSight Foundation of Alabama.</t>
  </si>
  <si>
    <t>10.1080/02713683.2023.2240547</t>
  </si>
  <si>
    <t>O2UH5</t>
  </si>
  <si>
    <t>WOS:001042416800001</t>
  </si>
  <si>
    <t>Demaj, U; Vandenbroucke, M</t>
  </si>
  <si>
    <t>Demaj, Uranela; Vandenbroucke, Mieke</t>
  </si>
  <si>
    <t>The geosemiotics of ethno-political graffiti in Kosovo: polyphony, emplacement and heteroglossia</t>
  </si>
  <si>
    <t>SOCIAL SEMIOTICS</t>
  </si>
  <si>
    <t>Kosovo; graffiti; polyphony; transgressivity; heteroglossia; emplacement; &gt;</t>
  </si>
  <si>
    <t>LINGUISTIC LANDSCAPE; LANGUAGE POLICY; CONFLICT; DISCOURSE; CONSTRUCTION; IDENTITY; ERASURE; PROTEST; SIGNS; ART</t>
  </si>
  <si>
    <t>This article examines the nature of graffiti semiotics in the public space of Kosovo's capital Pristina. By adopting a perspective on graffiti as a historically situated and semiotic practice, we identify distinct ethno-political voices, each relying on highly multimodal-linguistic resources to convey their respective political messages to a wider audience. The corpus was gathered during a specific period in Kosovo's history (2013-2014) and as such allows us to capture the idiosyncratic nature of the encountered graffiti as a phenomenon which emerges as a non-transgressively emplaced and dynamically constructed medium allowing conflicting views on the political future of Kosovo to enter in dialogue with one another for everyone to see in the public heart of the capital. Moreover, the dynamic nature of graffiti inscriptions in the Kosovo capital makes it a conversationally layered, inherently heteroglossic speech act with several dissenting authors at work. Our fieldwork and analysis contribute not only to insights in the nature of graffiti as a political medium but also to our understanding of the phenomenology of ethno-political graffiti in Kosovo, the complexities of which can only be appreciated against the history of both the country as a contested geographical entity, and the Balkan region at large.</t>
  </si>
  <si>
    <t>[Demaj, Uranela; Vandenbroucke, Mieke] AAB Coll, Pristina, Kosovo; [Demaj, Uranela; Vandenbroucke, Mieke] Univ Antwerp, Antwerp, Belgium</t>
  </si>
  <si>
    <t>University of Antwerp</t>
  </si>
  <si>
    <t>Vandenbroucke, M (corresponding author), AAB Coll, Pristina, Kosovo.;Vandenbroucke, M (corresponding author), Univ Antwerp, Antwerp, Belgium.</t>
  </si>
  <si>
    <t>mieke.vandenbroucke@uantwerpen.be</t>
  </si>
  <si>
    <t>Demaj, Uranela/0000-0002-0201-4508</t>
  </si>
  <si>
    <t>1035-0330</t>
  </si>
  <si>
    <t>1470-1219</t>
  </si>
  <si>
    <t>SOC SEMIOT</t>
  </si>
  <si>
    <t>Soc. Semiot.</t>
  </si>
  <si>
    <t>10.1080/10350330.2023.2239735</t>
  </si>
  <si>
    <t>Humanities, Multidisciplinary; Communication; Linguistics</t>
  </si>
  <si>
    <t>Arts &amp; Humanities - Other Topics; Communication; Linguistics</t>
  </si>
  <si>
    <t>O2BF9</t>
  </si>
  <si>
    <t>WOS:001041917500001</t>
  </si>
  <si>
    <t>Ellouz, H; Jrad, H; Wali, M; Dammak, F</t>
  </si>
  <si>
    <t>Ellouz, Hajer; Jrad, Hanen; Wali, Mondher; Dammak, Fakhreddine</t>
  </si>
  <si>
    <t>Large deflection analysis of FGM/magneto-electro-elastic smart shells with porosities under multi-physics loading</t>
  </si>
  <si>
    <t>MECHANICS OF ADVANCED MATERIALS AND STRUCTURES</t>
  </si>
  <si>
    <t>Porosity; large deflection response; smart FGM composite; finite element method; magneto-electro-elastic shell; multi-physics load; &gt;</t>
  </si>
  <si>
    <t>FUNCTIONALLY GRADED MATERIAL; VIBRATION ANALYSIS; PLATES; SIMULATION; BEHAVIOR; BEAMS</t>
  </si>
  <si>
    <t>This present research concerns the large deflection of smart functionally graded porous magneto-electro-elastic (FGP-MEE) composite shell structures. The accurate modeling method, based on the high-order shear deformation hypothesis, addresses scenarios involving multiple physics. The novelty of the current research lies in the introduction of a novel numerical approach that efficiently handles the non-linear behavior of MEE shells subjected to complex multi-physics loading conditions and considering FGM composite with porosities. New numerical results, physical insights and finding have been provided in the present manuscript taking into account influences of several physical factors, such as mechanical loads, external electric voltages, magnetic potentials, volume fraction index, porosity coefficient, various porosity distributions and various boundary conditions. The novel FGP-MEE model suggested in this study is highly useful for the accurate development and design of FG-MEE structures.</t>
  </si>
  <si>
    <t>[Ellouz, Hajer; Jrad, Hanen; Wali, Mondher; Dammak, Fakhreddine] Univ Sfax, Natl Engn Sch Sfax, Lab Electrochem &amp; Environm LEE, ENIS, Sfax, Tunisia; [Jrad, Hanen] Univ Sousse, Higher Sch Sci &amp; Technol Hammam Sousse, ESSTHS, Hammam Sousse, Tunisia; [Ellouz, Hajer; Jrad, Hanen] Univ Sfax, Natl Engn Sch Sfax, Lab LEE, ENIS, Sfax, Tunisia</t>
  </si>
  <si>
    <t>Universite de Sfax; Ecole Nationale dIngenieurs de Sfax (ENIS); Universite de Sousse; Universite de Sfax; Ecole Nationale dIngenieurs de Sfax (ENIS)</t>
  </si>
  <si>
    <t>Ellouz, H; Jrad, H (corresponding author), Univ Sfax, Natl Engn Sch Sfax, Lab LEE, ENIS, Sfax, Tunisia.</t>
  </si>
  <si>
    <t>hanen.j@gmail.com; hanen.jrad@essths.u-sousse.tn</t>
  </si>
  <si>
    <t>JRAD, Hanen/0000-0002-4980-1808</t>
  </si>
  <si>
    <t>1537-6494</t>
  </si>
  <si>
    <t>1537-6532</t>
  </si>
  <si>
    <t>MECH ADV MATER STRUC</t>
  </si>
  <si>
    <t>Mech. Adv. Mater. Struct.</t>
  </si>
  <si>
    <t>10.1080/15376494.2023.2243938</t>
  </si>
  <si>
    <t>Materials Science, Multidisciplinary; Mechanics; Materials Science, Characterization &amp; Testing; Materials Science, Composites</t>
  </si>
  <si>
    <t>Materials Science; Mechanics</t>
  </si>
  <si>
    <t>O5MJ2</t>
  </si>
  <si>
    <t>WOS:001044246100001</t>
  </si>
  <si>
    <t>Hadan, H; Zhang-Kennedy, L; Nacke, L; Makela, V</t>
  </si>
  <si>
    <t>Hadan, Hilda; Zhang-Kennedy, Leah; Nacke, Lennart; Makela, Ville</t>
  </si>
  <si>
    <t>Comprehending the Crypto-Curious: How Investors and Inexperienced Potential Investors Perceive and Practice Cryptocurrency Trading</t>
  </si>
  <si>
    <t>Cryptocurrency; price volatility; market manipulation; investor concerns; &gt;</t>
  </si>
  <si>
    <t>FINANCIAL LITERACY; BITCOIN</t>
  </si>
  <si>
    <t>With the increasing popularity of cryptocurrency, many people are interested in cryptocurrency investments, but have so far hesitated. Many others have made investments without adequate preparation. To help interested investors improve their understanding of cryptocurrency and make rational investment decisions, it is important to study their concerns and motivations and to draw upon experienced investors' experiences and practices. Therefore, we surveyed crypto investors and inexperienced potential investors interested in trading cryptocurrency (n = 395). Our results showed that extreme price volatility is the primary incentive and a substantial obstacle to market participation. Fraud risks, lack of personal funds, insufficient knowledge, and difficulty identifying credible information sources are also common barriers. Our findings highlight the need to build trustworthy exchange platforms and integrate educational features. Based on the reported concerns and experiences, we (1) identify learning components for new investors, and (2) formulate design recommendations for beginner-friendly exchange platforms.</t>
  </si>
  <si>
    <t>[Hadan, Hilda; Zhang-Kennedy, Leah; Nacke, Lennart; Makela, Ville] Univ Waterloo, Stratford Sch Interact Design &amp; Business, Stratford, ON, Canada</t>
  </si>
  <si>
    <t>University of Waterloo</t>
  </si>
  <si>
    <t>Hadan, H (corresponding author), Univ Waterloo, Stratford Sch Interact Design &amp; Business, Stratford, ON, Canada.</t>
  </si>
  <si>
    <t>hhadan@uwaterloo.ca</t>
  </si>
  <si>
    <t>Nacke, Lennart/0000-0003-4290-8829; Hadan, Hilda/0000-0002-5911-1405</t>
  </si>
  <si>
    <t>Mitacs Accelerate funding program [IT30275]; Steam Exchange Inc.</t>
  </si>
  <si>
    <t>Mitacs Accelerate funding program; Steam Exchange Inc.</t>
  </si>
  <si>
    <t>The research was supported by the Mitacs Accelerate funding program [#IT30275] for Gamified Learning about Cryptocurrency project, in partnering with Steam Exchange Inc. Any opinions, findings, and conclusions or recommendations expressed in this material are those of the author(s) and do not necessarily reflect the views of Mitacs, the Steam Exchange Inc, and the University of Waterloo.</t>
  </si>
  <si>
    <t>10.1080/10447318.2023.2239556</t>
  </si>
  <si>
    <t>O2BC7</t>
  </si>
  <si>
    <t>Green Accepted</t>
  </si>
  <si>
    <t>WOS:001041914200001</t>
  </si>
  <si>
    <t>Hu, J; Li, XY; Zhang, ZM; Wang, LY; Li, YZ; Xu, W</t>
  </si>
  <si>
    <t>Hu, Jun; Li, Xuyang; Zhang, Zheming; Wang, Lingyu; Li, Yizhuang; Xu, Wei</t>
  </si>
  <si>
    <t>Overcoming the strength-ductility trade-off in metastable dual-phase heterogeneous structures using variable temperature rolling and annealing</t>
  </si>
  <si>
    <t>Austenitic stainless steel; variable temperature rolling; heterogeneous lamellar structure; HDI hardening; TRIP effect</t>
  </si>
  <si>
    <t>AUSTENITIC STAINLESS-STEEL; MECHANICAL-PROPERTIES; MICROSTRUCTURE; MARTENSITE; BEHAVIOR; COLD; RECRYSTALLIZATION; REVERSION; EVOLUTION</t>
  </si>
  <si>
    <t>A novel variable temperature rolling (VTR) and annealing process was conducted on a metastable austenitic stainless steel. Strain softening occurred during tensile straining in both cold rolled and cryogenic rolled-annealed steels, leading to low uniform elongations of only 2-3%. In contrast, thanks to the metastable dual-phase heterogeneous lamellar structure achieved via the VTR process, a ultra-high strength of over 1 GPa was obtained, and strain hardening led to a remarkable increase of uniform elongation up to 10%. The high strength and ductility are attributed to the significant work-hardening derived from the superior heterogeneous deformation-induced hardening and sustained transformation-induced plasticity effect.</t>
  </si>
  <si>
    <t>[Hu, Jun; Li, Xuyang; Zhang, Zheming; Wang, Lingyu; Li, Yizhuang; Xu, Wei] Northeastern Univ, State Key Lab Rolling &amp; Automat, Shenyang 110819, Peoples R China</t>
  </si>
  <si>
    <t>Hu, J; Wang, LY (corresponding author), Northeastern Univ, State Key Lab Rolling &amp; Automat, Shenyang 110819, Peoples R China.</t>
  </si>
  <si>
    <t>hujun@ral.neu.edu.cn; wanglingyu@ral.neu.edu.cn</t>
  </si>
  <si>
    <t>National Natural Science Foundation of China [52071066]</t>
  </si>
  <si>
    <t>This work was supported by National Natural Science Foundation of China: [Grant Number 52071066].</t>
  </si>
  <si>
    <t>10.1080/21663831.2023.2209596</t>
  </si>
  <si>
    <t>F7QM1</t>
  </si>
  <si>
    <t>WOS:000984253300001</t>
  </si>
  <si>
    <t>Khan, M; Spinney, J; Monsur, M</t>
  </si>
  <si>
    <t>Khan, Matluba; Spinney, Justin; Monsur, Muntazar</t>
  </si>
  <si>
    <t>To do or not to do: practical and ethical concerns in online research with children and young people during crises</t>
  </si>
  <si>
    <t>CHILDRENS GEOGRAPHIES</t>
  </si>
  <si>
    <t>Online research; pandemic; children; young people; ethics; digital technology; &gt;</t>
  </si>
  <si>
    <t>SOCIAL MEDIA; ISSUES; PERSPECTIVES; VOICE</t>
  </si>
  <si>
    <t>This article contributes to an ongoing discussion regarding the ethics of online research involving children and young people (CYP) during crises. The paper critically reflects on our experience of designing, approving and conducting a multi-country study utilising an online diary to investigate how social, physical and virtual conditions shape and are shaped by CYP's everyday experiences during the COVID-19 pandemic. Our reflections identify four key ethical and practical areas of concern induced by the physical immobility of researchers and the need to research at a distance: (1) the ethics of doing and not doing research in times of crisis and rupture; (2) the digital divide and accessibility of tools; (3) ethical issues induced by institutional safeguarding procedure (e.g. issues of trust and rapport) and how these intersect with digital technologies and online platforms; and (4) the ethical issues that arise from breaching the 'social contract' to give voice to those CYPs who have provided data. We conclude that ethical restrictions and academic standards intended to minimise the harm of using online tools during a crisis can instead have the effect of silencing children and young people's voices. Accordingly, greater consideration and deliberation between researchers and ethics committees are required to find more reflexive ways to conduct research with CYP during crises.</t>
  </si>
  <si>
    <t>[Khan, Matluba; Spinney, Justin] Cardiff Univ, Sch Geog &amp; Planning, Cardiff, Wales; [Monsur, Muntazar] Texas Tech Univ, Dept Landscape Architecture, Lubbock, TX USA</t>
  </si>
  <si>
    <t>Cardiff University; Texas Tech University System; Texas Tech University</t>
  </si>
  <si>
    <t>Khan, M (corresponding author), Cardiff Univ, Sch Geog &amp; Planning, Cardiff, Wales.</t>
  </si>
  <si>
    <t>KhanM52@cardiff.ac.uk</t>
  </si>
  <si>
    <t>1473-3285</t>
  </si>
  <si>
    <t>1473-3277</t>
  </si>
  <si>
    <t>CHILD GEOGR</t>
  </si>
  <si>
    <t>Child. Geogr.</t>
  </si>
  <si>
    <t>10.1080/14733285.2023.2237916</t>
  </si>
  <si>
    <t>P0BA8</t>
  </si>
  <si>
    <t>WOS:001047367000001</t>
  </si>
  <si>
    <t>Pathak, A; Mondal, H; Karmakar, J; Pal, S; Nandi, D; Mandal, MK</t>
  </si>
  <si>
    <t>Pathak, Arghya; Mondal, Hrishikesh; Karmakar, Jayashree; Pal, Subhashish; Nandi, Debasish; Mandal, Mrinal Kanti</t>
  </si>
  <si>
    <t>Sparse Compression-Based Image Encryption using Data Encryption Standards RC5</t>
  </si>
  <si>
    <t>Sparse representation; data compression; dictionary learning; RC5 encryption; symmetric block Cipher; &gt;</t>
  </si>
  <si>
    <t>CHAOTIC SYSTEM; S-BOX; ALGORITHM; SCHEME</t>
  </si>
  <si>
    <t>In this work, we have used the standard symmetric key block cipher data encryption algorithm RC5(32,16,8) for the encryption of digital greyscale images. For this, we have only considered the nonzero elements of the sparse matrix of the images which have been generated using the sparse representation technique. The security strength of the proposed technique is verified through different quality parameters, e.g. information entropy, correlation coefficients, NPCR, UACI, and NIST test. Our proposed algorithm achieved the maximum information entropy value of 7.9977 for the cameraman image and nearly zero correlation coefficient values establish the robustness of the cryptosystem. The highest NPCR and UACI values obtained in our work are 99.6916 and 33.9605, which are closer to the maximum theoretical values. The proposed technique is also compared with some of the contemporary works to validate the credibility of our proposed algorithm.</t>
  </si>
  <si>
    <t>[Pathak, Arghya; Pal, Subhashish; Mandal, Mrinal Kanti] Natl Inst Technol, Phys Dept, Durgapur 713209, India; [Mondal, Hrishikesh] Durgapur Govt Coll, Phys Dept, Durgapur 713214, India; [Karmakar, Jayashree] Indian Inst Technol, MUSE Lab, Gandhinagar 382355, India; [Nandi, Debasish] Natl Inst Technol, Comp Sci Dept, Durgapur 713209, India</t>
  </si>
  <si>
    <t>National Institute of Technology (NIT System); National Institute of Technology Durgapur; Indian Institute of Technology System (IIT System); Indian Institute of Technology (IIT) - Gandhinagar; National Institute of Technology (NIT System); National Institute of Technology Durgapur</t>
  </si>
  <si>
    <t>Mandal, MK (corresponding author), Natl Inst Technol, Phys Dept, Durgapur 713209, India.</t>
  </si>
  <si>
    <t>ap.18ph1102@phd.nitdgp.ac.in; hm.13ph1505@phd.nitdgp.ac.in; jk.16ph1102@phd.nitdgp.ac.in; sp.20ph1501@phd.nitdgp.ac.in; debashis.nandi@cse.nitdg.ac.in; mrinalkanti.mandal@phy.nitdgp.ac.in</t>
  </si>
  <si>
    <t>10.1080/02564602.2023.2240286</t>
  </si>
  <si>
    <t>O0FJ9</t>
  </si>
  <si>
    <t>WOS:001040662300001</t>
  </si>
  <si>
    <t>Salgado, MTSF; Silva, EFE; do Nascimento, MA; Lopes, AC; de Paiva, LS; Votto, APD</t>
  </si>
  <si>
    <t>Salgado, Mariana Teixeira Santos Figueiredo; Fernandes e Silva, Estela; do Nascimento, Mariana Amaral; Lopes, Alessandra Costa; de Paiva, Luciana Souza; Votto, Ana Paula de Souza</t>
  </si>
  <si>
    <t>Potential Therapeutic Targets of Quercetin in the Cutaneous Melanoma Model and Its Cellular Regulation Pathways: A Systematic Review</t>
  </si>
  <si>
    <t>NUTRITION AND CANCER-AN INTERNATIONAL JOURNAL</t>
  </si>
  <si>
    <t>DAMAGE-INDUCED PHOSPHORYLATION; ESTROGEN-BINDING SITES; DNA-DAMAGE; IN-VITRO; B16F10 MELANOMA; ANTIPROLIFERATIVE ACTIVITIES; PHENOLIC-COMPOUNDS; INDUCED APOPTOSIS; LUNG METASTASIS; DOWN-REGULATION</t>
  </si>
  <si>
    <t>Melanoma is a skin cancer with a high mortality rate due to its invasive characteristics. Currently, immunotherapy and targeted therapy increase patient survival but are ineffective in the advanced stages of the tumor. Quercetin (Que) is a natural compound that has demonstrated chemopreventive effects against different types of tumors. This review provides evidence for the therapeutic potential of Que in melanoma and identifies its main targets. The Scopus, Web of Science, and PubMed databases were searched, and studies that used free or encapsulated Que in melanoma models were included, excluding associations, analogs, and extracts. As a result, 73 articles were retrieved and their data extracted. Que has multiple cellular targets in melanoma models, and the main regulated pathways are cell death, redox metabolism, metastasis, and melanization. Que was also able to regulate important targets of signaling pathways, such as PKC, RIG-I, STAT, and P53. In murine models, treatment with Que reduced tumor growth and weight, and decreased metastatic nodules and angiogenic vasculature. Several studies have incorporated Que into carriers, demonstrating improved efficacy and delivery to tumors. Thus, Que is a promising therapeutic agent for the treatment of melanoma; however, further studies are needed to evaluate its effectiveness in clinical trials.</t>
  </si>
  <si>
    <t>[Salgado, Mariana Teixeira Santos Figueiredo; Fernandes e Silva, Estela; Lopes, Alessandra Costa; Votto, Ana Paula de Souza] Fundacao Univ Fed Rio Grande, Lab Cultura Celular, ICB, Rio Grande, RS, Brazil; [Salgado, Mariana Teixeira Santos Figueiredo; Votto, Ana Paula de Souza] Fundacao Univ Fed Rio Grande, Programa Posgrad Ciencias Fisiol, ICB, Rio Grande, RS, Brazil; [do Nascimento, Mariana Amaral; de Paiva, Luciana Souza] Univ Fed Fluminense, Dept Imunobiol, Lab Imunorregulacao, Inst Biol, Niteroi, RJ, Brazil; [de Paiva, Luciana Souza] Univ Fed Fluminense, Fac Med, Programa Posgrad Patol, Niteroi, RJ, Brazil; [Votto, Ana Paula de Souza] Univ Fed Rio Grande FURG, Inst Ciencias Biol, Ave Italia,Km 8 S-N, BR-96203900 Rio Grande, RS, Brazil</t>
  </si>
  <si>
    <t>Universidade Federal do Rio Grande; Universidade Federal do Rio Grande; Universidade Federal Fluminense; Universidade Federal Fluminense; Universidade Federal do Rio Grande</t>
  </si>
  <si>
    <t>Votto, APD (corresponding author), Univ Fed Rio Grande FURG, Inst Ciencias Biol, Ave Italia,Km 8 S-N, BR-96203900 Rio Grande, RS, Brazil.</t>
  </si>
  <si>
    <t>anavotto@yahoo.com.br</t>
  </si>
  <si>
    <t>Paiva, Luciana Souza de/GQQ-2873-2022</t>
  </si>
  <si>
    <t>Paiva, Luciana Souza de/0000-0002-8579-5169</t>
  </si>
  <si>
    <t>Coordenacao de Aperfeicoamento de Pessoal de Nivel Superior, Brazil (CAPES) [001]</t>
  </si>
  <si>
    <t>Coordenacao de Aperfeicoamento de Pessoal de Nivel Superior, Brazil (CAPES)(Coordenacao de Aperfeicoamento de Pessoal de Nivel Superior (CAPES))</t>
  </si>
  <si>
    <t>This study was financed in part by the Coordenacao de Aperfeicoamento de Pessoal de Nivel Superior, Brazil (CAPES), Finance Code 001.</t>
  </si>
  <si>
    <t>0163-5581</t>
  </si>
  <si>
    <t>1532-7914</t>
  </si>
  <si>
    <t>NUTR CANCER</t>
  </si>
  <si>
    <t>Nutr. Cancer</t>
  </si>
  <si>
    <t>10.1080/01635581.2023.2241698</t>
  </si>
  <si>
    <t>Oncology; Nutrition &amp; Dietetics</t>
  </si>
  <si>
    <t>O6GF1</t>
  </si>
  <si>
    <t>WOS:001044762900001</t>
  </si>
  <si>
    <t>Zhang, SL</t>
  </si>
  <si>
    <t>Zhang, Shelley</t>
  </si>
  <si>
    <t>Across the Pacific: the strategic citizenship of Chinese musicians</t>
  </si>
  <si>
    <t>ETHNOMUSICOLOGY FORUM</t>
  </si>
  <si>
    <t>Chinese musicians; one-child policy; citizenship; transnationalism; precarity; Orientalism</t>
  </si>
  <si>
    <t>Since the 1990s, the world has seen an incredible surge of Chinese performers in Western classical music. Unknown to most outside of Chinese musical networks, these musicians often began their training as young children, learning from parents who lost musical ambitions during the Cultural Revolution and who hoped to realise them through their only child. However, as children rapidly developed musical skills and entered conservatories, other career paths became eliminated. Drawing from anthropologist Aihwa Ong's work on 'flexible citizenship' and ethnographic fieldwork in Mainland China, Canada, and the United States, I theorise the 'strategic citizenship' of these students and their families. I do so to argue that the strong presence of Chinese instrumentalists in Western classical music has resulted from a desire, even a desperation, amongst many families to negotiate intergenerational traumas and acquire socio-economic stability in the neoliberal age. In this process, transnational Chinese musicians must also contend with issues of precarity and Orientalisms abroad.</t>
  </si>
  <si>
    <t>[Zhang, Shelley] Rutgers State Univ, Mason Gross Sch Arts, New Brunswick, NJ 08901 USA</t>
  </si>
  <si>
    <t>Zhang, SL (corresponding author), Rutgers State Univ, Mason Gross Sch Arts, New Brunswick, NJ 08901 USA.</t>
  </si>
  <si>
    <t>shelley.zhang@rutgers.edu</t>
  </si>
  <si>
    <t>The author thanks Chi-ming Yang, Jim Sykes, Timothy Rommen, Lei X. Ouyang, members of the Dissertation Workshop at the University of Pennsylvania's Department of Music, members of the Wolf Humanities Center Mellon Research Seminar, fellow panellists and au</t>
  </si>
  <si>
    <t>The author thanks Chi-ming Yang, Jim Sykes, Timothy Rommen, Lei X. Ouyang, members of the Dissertation Workshop at the University of Pennsylvania's Department of Music, members of the Wolf Humanities Center Mellon Research Seminar, fellow panellists and audience participants of the Society for Ethnomusicology's Annual Conference in 2020, and the anonymous reviewers for their invaluable feedback. This research would not have been possible without the generosity of the author's interlocutors, who have been anonymized.</t>
  </si>
  <si>
    <t>1741-1912</t>
  </si>
  <si>
    <t>1741-1920</t>
  </si>
  <si>
    <t>ETHNOMUSICOL FORUM</t>
  </si>
  <si>
    <t>Ethnomusicol. Forum</t>
  </si>
  <si>
    <t>10.1080/17411912.2023.2230498</t>
  </si>
  <si>
    <t>S0IL7</t>
  </si>
  <si>
    <t>WOS:001068092300001</t>
  </si>
  <si>
    <t>Chen, B; Li, Q; Li, TC; Wu, XY; Shen, LY; Zhen, R</t>
  </si>
  <si>
    <t>Chen, Bo; Li, Qian; Li, Tianchang; Wu, Xinyue; Shen, Lingyan; Zhen, Rui</t>
  </si>
  <si>
    <t>Patterns of satisfaction with personal lives and online teaching among primary and middle school teachers during the COVID-19 pandemic</t>
  </si>
  <si>
    <t>EDUCATIONAL PSYCHOLOGY</t>
  </si>
  <si>
    <t>COVID-19; primary and secondary school teachers; satisfaction with online teaching; satisfaction with personal lives; latent profile analysis; &gt;</t>
  </si>
  <si>
    <t>WORK-FAMILY CONFLICT; LIFE SATISFACTION; JOB-SATISFACTION; EFFICACY BELIEFS; SELF; RESOURCES; STRESS; CONSERVATION; METAANALYSIS; DEMANDS</t>
  </si>
  <si>
    <t>This study aims to examine the co-existing patterns of teachers' satisfaction with personal lives and online teaching, and the factors of these patterns during the pandemic. Self-report questionnaire was administered to 751 primary and secondary school teachers in China during the pandemic. Latent profile analysis and multiple logistic regression were used. We found four patterns: Low satisfaction, High life-Low teaching satisfaction, Low life-Medium teaching satisfaction, and High satisfaction group. Sense of control was more associated with High life-Low teaching satisfaction group. Teaching efficacy and family interference with work were more associated with High satisfaction group. Job burnout and work interference with family were more associated with Low satisfaction and Low life-Medium teaching satisfaction group. The findings indicate the heterogeneity of teachers' satisfaction with personal lives and online teaching during the pandemic. Grade, sense of control, teaching efficacy, job burnout, and work-family conflict are important factors.</t>
  </si>
  <si>
    <t>[Chen, Bo; Li, Qian; Li, Tianchang; Shen, Lingyan; Zhen, Rui] Hangzhou Normal Univ, Jing Hengyi Sch Educ, Hangzhou 311121, Peoples R China; [Wu, Xinyue] Beijing Normal Univ, Fac Psychol, Beijing, Peoples R China</t>
  </si>
  <si>
    <t>Hangzhou Normal University; Beijing Normal University</t>
  </si>
  <si>
    <t>Zhen, R (corresponding author), Hangzhou Normal Univ, Jing Hengyi Sch Educ, Hangzhou 311121, Peoples R China.</t>
  </si>
  <si>
    <t>zhenrui1206@126.com</t>
  </si>
  <si>
    <t>0144-3410</t>
  </si>
  <si>
    <t>1469-5820</t>
  </si>
  <si>
    <t>EDUC PSYCHOL-UK</t>
  </si>
  <si>
    <t>Educ. Psychol.</t>
  </si>
  <si>
    <t>10.1080/01443410.2023.2241688</t>
  </si>
  <si>
    <t>Education &amp; Educational Research; Psychology, Educational</t>
  </si>
  <si>
    <t>S6IE5</t>
  </si>
  <si>
    <t>WOS:001040042400001</t>
  </si>
  <si>
    <t>Devasena, SM; Murali, G; Reddy, DA; Ratnakaram, YC; Smiley, AS; Kumar, KS; Vijayalakshmi, RP</t>
  </si>
  <si>
    <t>Devasena, S. M.; Murali, G.; Reddy, D. Amaranatha; Ratnakaram, Y. C.; Smiley, A. Sharon; Kumar, K. Sunil; Vijayalakshmi, R. P.</t>
  </si>
  <si>
    <t>Optical, magnetic, and photoluminescence properties of Cr/Mn-doped ZnO nanoparticles synthesised by solution combustion method</t>
  </si>
  <si>
    <t>Nanoparticles; Cr; Mn-doped ZnO; Photoluminescence; Magnetic properties; &gt;</t>
  </si>
  <si>
    <t>FERROMAGNETIC PROPERTIES; RIETVELD REFINEMENT; MN; TEMPERATURE; HYDROGEN; FILMS; FTIR; GAS; CO</t>
  </si>
  <si>
    <t>In this study, we investigated the structural, optical, photoluminescence, and magnetic characteristics of pristine and Cr/Mn-doped ZnO nanoparticles prepared via the solution combustion method. The prepared nanoparticles exhibited a monophasic hexagonal structure. The successful incorporation of Cr/Mn elements into the ZnO lattice is reflected in the X-ray photoelectron spectroscopy, UV-vis. absorbance spectroscopy and Fourier-transform infrared spectroscopy measurements. Further, the photoluminescence intensity of ZnO nanoparticles changed upon Cr/Mn-doping due to the changed defect structure of nanoparticles. Furthermore, both pristine and Cr/Mn-doped ZnO nanoparticles revealed the ferromagnetic behaviour, wherein the doping of Cr/Mn enhanced the ferromagnetic characteristics. Overall, our results divulged that doping ZnO nanoparticles with appropriate combination of transition elements would leads to unearth fascinating optical and magnetic properties.</t>
  </si>
  <si>
    <t>[Devasena, S. M.; Ratnakaram, Y. C.; Smiley, A. Sharon; Kumar, K. Sunil; Vijayalakshmi, R. P.] Sri Venkateswara Univ, Dept Phys, Tirupati, India; [Murali, G.] Korea Natl Univ Transportat, Chem Ind Inst, Dept Polymer Sci &amp; Engn, Dept IT Energy Convergence BK21 FOUR, Chungju, South Korea; [Reddy, D. Amaranatha] Indian Inst Informat Technol Design &amp; Mfg, Dept Phys, Kurnool, Andhra Pradesh, India; [Kumar, K. Sunil; Vijayalakshmi, R. P.] Univ Johannesburg, Dept Phys, Doornfontein Campus, Johannesburg, South Africa</t>
  </si>
  <si>
    <t>Sri Venkateswara University; Korea National University of Transportation; University of Johannesburg</t>
  </si>
  <si>
    <t>Reddy, DA (corresponding author), Indian Inst Informat Technol Design &amp; Mfg, Dept Phys, Kurnool, Andhra Pradesh, India.;Kumar, KS; Vijayalakshmi, RP (corresponding author), Univ Johannesburg, Dept Phys, Doornfontein Campus, Johannesburg, South Africa.</t>
  </si>
  <si>
    <t>vijayaraguru@gmail.com; seelaiah786@gmail.com</t>
  </si>
  <si>
    <t>KUMMARA, SUNIL KUMAR/AAI-5425-2021</t>
  </si>
  <si>
    <t>2023 AUG 2</t>
  </si>
  <si>
    <t>10.1080/02670836.2023.2239630</t>
  </si>
  <si>
    <t>O7CQ2</t>
  </si>
  <si>
    <t>WOS:001045348800001</t>
  </si>
  <si>
    <t>Errichiello, L; Drago, C</t>
  </si>
  <si>
    <t>Errichiello, Luisa; Drago, Carlo</t>
  </si>
  <si>
    <t>Destinations' environmental orientation: a symbolic cluster analysis based on hotel employees' environmental knowledge, awareness, and concern</t>
  </si>
  <si>
    <t>JOURNAL OF SUSTAINABLE TOURISM</t>
  </si>
  <si>
    <t>Environmental knowledge; environmental awareness; environmental concern; pro-environmental behavior; destination environmental orientation; symbolic data analysis; symbolic clustering; &gt;</t>
  </si>
  <si>
    <t>IMPLEMENT GREEN PRACTICES; SUSTAINABLE TOURISM; SOCIAL-RESPONSIBILITY; MANAGEMENT-PRACTICES; BEHAVIOR; INDUSTRY; INTENTIONS; INNOVATION; PROXIMITY; COMPETITIVENESS</t>
  </si>
  <si>
    <t>Environmental attitudes (environmental knowledge, awareness, and concern) are important drivers of pro-environmental behaviour for key destination stakeholder groups, including tourists, tourism business staff and residents. However, limited attention has been given to how individual attitudes within each role collectively contribute to the environmental sustainability of tourism destinations.The goal of the study is to fill this gap by conceptually and empirically linking the micro- and macro-levels of analysis, respectively focused on individuals and the destination. First, the concept of Destination Environmental Orientation (DEO) is proposed to indicate the collective attitude of a touristic place or destination towards the environment having micro-foundations in individuals' cognition, evaluation and affect. Then, focusing on local hotels' staff as a key destination stakeholder category, the study shows the methodological potential of Symbolic Data Analysis (SDA) to measure DEO based on underlying individual-level data about environmental knowledge, awareness, and concern. Survey-based data are collected among employees in thirty-three hotels located in eleven tourism municipalities of Naples, a province in the Campania region (Italy). The research identifies three groups of tourim municipalities with significant differences in the level of environmental orientation. The findings suggest that these groups exhibit different patterns of functioning and three models are identified based on context-related factors, i.e., the level of tourism developement, the reliance of tourism areas on natural resources, and geograhical and functional proximity among tourism municipalities: the Mature tourism destination model, the Island tourism destination model, and the Strategically positioned touristic place model. The implications to sustainable tourism theory and practice are discussed.</t>
  </si>
  <si>
    <t>[Errichiello, Luisa; Drago, Carlo] Natl Res Council Italy CNR, Inst Studies Mediterranean ISMed, Via Guglielmo Sanfelice 8, I-80134 Naples, Italy; [Drago, Carlo] Univ Niccolo Cusano, Rome, Italy</t>
  </si>
  <si>
    <t>Consiglio Nazionale delle Ricerche (CNR); Istituto di Studi sul Mediterraneo (ISMed-CNR); Niccolo Cusano Online University</t>
  </si>
  <si>
    <t>Errichiello, L (corresponding author), Natl Res Council Italy CNR, Inst Studies Mediterranean ISMed, Via Guglielmo Sanfelice 8, I-80134 Naples, Italy.</t>
  </si>
  <si>
    <t>luisa.errichiello@cnr.it</t>
  </si>
  <si>
    <t>0966-9582</t>
  </si>
  <si>
    <t>1747-7646</t>
  </si>
  <si>
    <t>J SUSTAIN TOUR</t>
  </si>
  <si>
    <t>J. Sustain. Tour.</t>
  </si>
  <si>
    <t>10.1080/09669582.2023.2244197</t>
  </si>
  <si>
    <t>Green &amp; Sustainable Science &amp; Technology; Hospitality, Leisure, Sport &amp; Tourism</t>
  </si>
  <si>
    <t>Science &amp; Technology - Other Topics; Social Sciences - Other Topics</t>
  </si>
  <si>
    <t>O8BD0</t>
  </si>
  <si>
    <t>WOS:001045996300001</t>
  </si>
  <si>
    <t>Henry, HM; Nasreldin, A; Orieby, D</t>
  </si>
  <si>
    <t>Henry, Hani M.; Nasreldin, Amina; Orieby, Deana</t>
  </si>
  <si>
    <t>Coming-out as a gay man in Egypt: a cultural perspective</t>
  </si>
  <si>
    <t>PSYCHOLOGY &amp; SEXUALITY</t>
  </si>
  <si>
    <t>Coming out; sexual identity development; collectivistic cultures; gay men; &gt;</t>
  </si>
  <si>
    <t>INDIVIDUALISM-COLLECTIVISM; SEXUAL ORIENTATION; IDENTITY FORMATION; MEN; LESBIANS; PARENTS; FAMILIES; SUPPORT; STRESS; MODEL</t>
  </si>
  <si>
    <t>This study examined the process of coming-out of selected Egyptian gay men using an interactionist sexual identity development model that described this process as a way of creating an identity through interactions with others, rather than independently discovering one's essence. Thematic analysis of these individuals' personal accounts of disclosing sexual identity via social media corroborated this sexual identity development model. Moreover, thematic analysis added cultural depth to this model by highlighting the role of collectivistic values, such as conformity to societal expectations and fear of disrupting family harmony, in creating experiences of regret and selectivity after disclosing sexual identity. Clinical recommendations for mental health professionals who help gay clients navigate the process of coming-out in a collectivistic cultural context are provided.</t>
  </si>
  <si>
    <t>[Henry, Hani M.; Nasreldin, Amina; Orieby, Deana] Amer Univ Cairo, Dept Psychol, New Cairo, Egypt</t>
  </si>
  <si>
    <t>Egyptian Knowledge Bank (EKB); American University Cairo</t>
  </si>
  <si>
    <t>Henry, HM (corresponding author), Amer Univ Cairo, Dept Psychol, New Cairo, Egypt.</t>
  </si>
  <si>
    <t>hhenry@aucegypt.edu</t>
  </si>
  <si>
    <t>1941-9899</t>
  </si>
  <si>
    <t>1941-9902</t>
  </si>
  <si>
    <t>PSYCHOL SEX</t>
  </si>
  <si>
    <t>Psychol. Sex.</t>
  </si>
  <si>
    <t>10.1080/19419899.2023.2241866</t>
  </si>
  <si>
    <t>N6KB4</t>
  </si>
  <si>
    <t>WOS:001038066300001</t>
  </si>
  <si>
    <t>Knyazeva, AG; Bukrina, NV</t>
  </si>
  <si>
    <t>Knyazeva, Anna Georgievna; Bukrina, Natalia Valerievna</t>
  </si>
  <si>
    <t>Simulation of reaction initiation in powder compacting from the surface with composite formation in equivalent reaction cell</t>
  </si>
  <si>
    <t>COMBUSTION THEORY AND MODELLING</t>
  </si>
  <si>
    <t>composite synthesis two-level model; accompanying stresses; quasi-static approach; &gt;</t>
  </si>
  <si>
    <t>HIGH-TEMPERATURE SYNTHESIS; MATHEMATICAL-MODEL; THERMAL-EXPLOSION; MIXTURE; SYSTEMS; NICKEL</t>
  </si>
  <si>
    <t>In the present work, we propose a new variant of the model of the composite synthesis under surface heating. We believe that the formation of the composition occurs at the level of reaction cell. The diffusion-controlled process of reduction of one material by another from an oxide is described in the framework of the problem with moving boundaries. It is assumed that the formation of the matrix composition is carried out by the diffusion mechanism. From the position of interfaces, we find the relative volume fractions of oxide phases and the fraction of volume occupied by the matrix. The averaging method of the analysis results at the reaction cell level makes it possible to use these data at the macroscopic level. Volume fractions of phases and average matrix composition (obtained by averaging over the area occupied by the matrix) provide values reflecting the composition of the composite at the macro level. The problem is solved numerically in dimensionless formulation. Dimensionless complexes of physical quantities are distinguished. The estimation of these parameters is performed. The conditions of correctness of the proposed approach are established from comparison of temporal and spatial scales of thermal and diffusion phenomena. A numerical algorithm for the joint solution of macro- and mesolevel problems has been developed. The proposed algorithm makes possible the investigation of the dynamics of composition changes at all points. The model is supplemented by the calculation of stresses and strains from the data on composition and temperature changes in reaction cells. Averaged values of stresses are transferred to macro level.</t>
  </si>
  <si>
    <t>[Knyazeva, Anna Georgievna; Bukrina, Natalia Valerievna] Russian Acad Sci, Inst Strength Phys &amp; Mat Sci, Siberian Branch, Lab Nonlinear Mech Metamat &amp; Multilevel Syst, Tomsk, Russia</t>
  </si>
  <si>
    <t>Institute of Strength Physics &amp; Materials Science, Siberian Branch of the RAS; Russian Academy of Sciences</t>
  </si>
  <si>
    <t>Bukrina, NV (corresponding author), Russian Acad Sci, Inst Strength Phys &amp; Mat Sci, Siberian Branch, Lab Nonlinear Mech Metamat &amp; Multilevel Syst, Tomsk, Russia.</t>
  </si>
  <si>
    <t>bnv@ispms.tsc.ru</t>
  </si>
  <si>
    <t>Russian Foundation for Basic Research (RFBR) [20-03-00303]</t>
  </si>
  <si>
    <t>Russian Foundation for Basic Research (RFBR)(Russian Foundation for Basic Research (RFBR))</t>
  </si>
  <si>
    <t>This work was supported by the Russian Foundation for Basic Research (RFBR) [grant number 20-03-00303].</t>
  </si>
  <si>
    <t>1364-7830</t>
  </si>
  <si>
    <t>1741-3559</t>
  </si>
  <si>
    <t>COMBUST THEOR MODEL</t>
  </si>
  <si>
    <t>Combust. Theory Model.</t>
  </si>
  <si>
    <t>10.1080/13647830.2023.2241421</t>
  </si>
  <si>
    <t>Thermodynamics; Energy &amp; Fuels; Engineering, Chemical; Mathematics, Interdisciplinary Applications</t>
  </si>
  <si>
    <t>Thermodynamics; Energy &amp; Fuels; Engineering; Mathematics</t>
  </si>
  <si>
    <t>N8TL8</t>
  </si>
  <si>
    <t>WOS:001039672200001</t>
  </si>
  <si>
    <t>Luxemburg-Peck, E</t>
  </si>
  <si>
    <t>Luxemburg-Peck, Eliana</t>
  </si>
  <si>
    <t>Credibility Trouble: When 'I Believe You' is an Epistemic Wrong</t>
  </si>
  <si>
    <t>SOCIAL EPISTEMOLOGY</t>
  </si>
  <si>
    <t>Epistemic injustice; epistemic oppression; credibility; Blasey Ford; &gt;</t>
  </si>
  <si>
    <t>HEALTH-CARE; INJUSTICE; PAIN; BIAS</t>
  </si>
  <si>
    <t>This article defends the counterintuitive conclusion that public assignments of credibility - including statements, by hearers, of 'that's right', 'she is credible', or 'I believe you' - can actually constitute a pernicious form of epistemic wrong. Sometimes referred to colloquially as 'lip service', the wrong occurs when, owing to ethically poisonous epistemic failures, hearers outwardly validate testifiers' credibility despite not fully or duly believing them. To explain this wrong, I introduce a distinction between performed and internal credibility assignments (PCA and ICA) and describe an epistemic dysfunction in which they misalign. I focus on cases in which misaligned PCA of 'credible' falsely - although sometimes non-deliberately - signal to testifiers and bystanders that testifiers have been believed; Republican hearers' positive reception of Christine Blasey Ford's 2018 testimony serves as a central case. Although some misaligned PCA are not wrongful, when epistemic and ethical failures including forms of identity prejudice and pernicious ignorance lead PCA of 'credible' to misalign, the PCA wrong testifiers in their capacities as knowers. These epistemic wrongs are particularly pernicious because the PCA conceal that testimony has not been efficacious, inflicting and exacerbating distinct harms.</t>
  </si>
  <si>
    <t>[Luxemburg-Peck, Eliana] CUNY, Grad Ctr, New York, NY USA; [Luxemburg-Peck, Eliana] CUNY, Grad Ctr, 365 Fifth Ave,Room 7113, New York, NY 10035 USA</t>
  </si>
  <si>
    <t>City University of New York (CUNY) System; City University of New York (CUNY) System</t>
  </si>
  <si>
    <t>Luxemburg-Peck, E (corresponding author), CUNY, Grad Ctr, 365 Fifth Ave,Room 7113, New York, NY 10035 USA.</t>
  </si>
  <si>
    <t>eluxemburgpeck@gradcenter.cuny.edu</t>
  </si>
  <si>
    <t>0269-1728</t>
  </si>
  <si>
    <t>1464-5297</t>
  </si>
  <si>
    <t>SOC EPISTEMOL</t>
  </si>
  <si>
    <t>Soc. Epistemol.</t>
  </si>
  <si>
    <t>10.1080/02691728.2023.2239753</t>
  </si>
  <si>
    <t>History &amp; Philosophy Of Science; Philosophy; Social Sciences, Interdisciplinary</t>
  </si>
  <si>
    <t>History &amp; Philosophy of Science; Philosophy; Social Sciences - Other Topics</t>
  </si>
  <si>
    <t>N9MY1</t>
  </si>
  <si>
    <t>WOS:001040180600001</t>
  </si>
  <si>
    <t>McKimm, A</t>
  </si>
  <si>
    <t>McKimm, Alice</t>
  </si>
  <si>
    <t>The Welfare State Generation: Women, Agency and Class in Britain since 1945</t>
  </si>
  <si>
    <t>CULTURAL &amp; SOCIAL HISTORY</t>
  </si>
  <si>
    <t>[McKimm, Alice] Univ Cambridge, Cambridge, England</t>
  </si>
  <si>
    <t>McKimm, A (corresponding author), Univ Cambridge, Cambridge, England.</t>
  </si>
  <si>
    <t>am2851@cam.ac.uk</t>
  </si>
  <si>
    <t>1478-0038</t>
  </si>
  <si>
    <t>1478-0046</t>
  </si>
  <si>
    <t>CULT SOC HIST</t>
  </si>
  <si>
    <t>Cult. Soc. Hist.</t>
  </si>
  <si>
    <t>10.1080/14780038.2023.2241747</t>
  </si>
  <si>
    <t>Q3BT7</t>
  </si>
  <si>
    <t>WOS:001040933600001</t>
  </si>
  <si>
    <t>Nawararthne, D; Storni, C</t>
  </si>
  <si>
    <t>Nawararthne, Dilina; Storni, Cristiano</t>
  </si>
  <si>
    <t>Black-boxing Journalistic Chains, an Actor-network Theory Inquiry into Journalistic Truth</t>
  </si>
  <si>
    <t>JOURNALISM STUDIES</t>
  </si>
  <si>
    <t>Actor-network theory; journalistic truth; epistemology of journalism; objectivity; subjectivity; Realism ‌; social constructivism</t>
  </si>
  <si>
    <t>NEWS; EPISTEMOLOGY; OBJECTIVITY</t>
  </si>
  <si>
    <t>Understanding journalistic truth has always been important in Journalism Studies, but it is increasingly significant in a society influenced by constantly evolving digital technologies and information disorder. This article explores the potential of actor-network theory to enhance the understanding of journalistic truth, surpassing the limitations of existing perspectives that categorise it as objective, subjective, or a combination of the two. Alternatively, through the utilisation of a plausibility probe case study in investigative journalism, the article suggests examining news-making as black-boxing and conceptualises journalistic truth as arising from the skilful construction of journalistic chains comprising heterogeneous actors. We discuss these as pivotal steps toward gaining a deeper understanding of journalistic truth that paves the way for constructing an alternative but empirical account of journalism.</t>
  </si>
  <si>
    <t>[Nawararthne, Dilina; Storni, Cristiano] Univ Limerick, Fac Sci &amp; Engn, Dept Comp Sci &amp; Informat Syst, Limerick, Ireland</t>
  </si>
  <si>
    <t>University of Limerick</t>
  </si>
  <si>
    <t>Nawararthne, D (corresponding author), Univ Limerick, Fac Sci &amp; Engn, Dept Comp Sci &amp; Informat Syst, Limerick, Ireland.</t>
  </si>
  <si>
    <t>dilina.nawarathne@ul.ie</t>
  </si>
  <si>
    <t>Accelerating Higher Education Expansion and Development (AHEAD) programme, Sri Lanka</t>
  </si>
  <si>
    <t>The paper is prepared from the work done for the doctoral research of Dilina Nawarathhe and it is partially funded by Accelerating Higher Education Expansion and Development (AHEAD) programme, Sri Lanka.</t>
  </si>
  <si>
    <t>1461-670X</t>
  </si>
  <si>
    <t>1469-9699</t>
  </si>
  <si>
    <t>JOURNALISM STUD</t>
  </si>
  <si>
    <t>Journal. Stud.</t>
  </si>
  <si>
    <t>10.1080/1461670X.2023.2241082</t>
  </si>
  <si>
    <t>Q3BM8</t>
  </si>
  <si>
    <t>WOS:001041791500001</t>
  </si>
  <si>
    <t>Poulakis, T; Tsaliki, P</t>
  </si>
  <si>
    <t>Poulakis, Thanos; Tsaliki, Persefoni</t>
  </si>
  <si>
    <t>Dynamic linkages between real exchange rates and real unit labour costs: evidence from 18 economies</t>
  </si>
  <si>
    <t>INTERNATIONAL REVIEW OF APPLIED ECONOMICS</t>
  </si>
  <si>
    <t>Real exchange rates; absolute cost advantage; international competition; real unit labour costs; CS-ARDL models</t>
  </si>
  <si>
    <t>TESTING SLOPE HOMOGENEITY; EMPIRICAL-EVIDENCE; COINTEGRATION; DETERMINANTS; PANELS; SPAIN</t>
  </si>
  <si>
    <t>The article examines the long-run behaviour of real exchange rates based on the premises of classical political economy. Specifically, it investigates the dynamics between real exchange rates and real unit labour costs of tradable commodities for 18 developed and developing economies. The analysis is carried out by applying recent methods of panel data, while the short- and long-run dynamics are estimated based on the cross-sectional autoregressive distributed lag model. Our findings confirm the presence of short- and long-run effects of real unit labour costs on real exchange rates. Consequently, new and more effective foreign exchange rate policies may be designed.</t>
  </si>
  <si>
    <t>[Poulakis, Thanos; Tsaliki, Persefoni] Aristotle Univ Thessaloniki, Dept Econ, Thessaloniki, Greece</t>
  </si>
  <si>
    <t>Aristotle University of Thessaloniki</t>
  </si>
  <si>
    <t>Poulakis, T (corresponding author), Aristotle Univ Thessaloniki, Dept Econ, Thessaloniki, Greece.</t>
  </si>
  <si>
    <t>poulakia@econ.auth.gr</t>
  </si>
  <si>
    <t>0269-2171</t>
  </si>
  <si>
    <t>1465-3486</t>
  </si>
  <si>
    <t>INT REV APPL ECON</t>
  </si>
  <si>
    <t>Int. Rev. Appl. Econ.</t>
  </si>
  <si>
    <t>10.1080/02692171.2023.2240257</t>
  </si>
  <si>
    <t>N9PD9</t>
  </si>
  <si>
    <t>WOS:001040238500001</t>
  </si>
  <si>
    <t>Richey, M; Brooks, JW</t>
  </si>
  <si>
    <t>Richey, Michelle; Brooks, Jade Wendy</t>
  </si>
  <si>
    <t>New development: From aid to empowerment-making refugee policy more sustainable</t>
  </si>
  <si>
    <t>Asylum seekers; business support; empowerment; opportunity; refugee policy; social integration; sustainable policy; &gt;</t>
  </si>
  <si>
    <t>IMPACT</t>
  </si>
  <si>
    <t>This article explores the growing shift towards opportunity-focused policies, particularly the support of refugee-founded businesses that bolster self-determination and dignity as individuals rebuild their lives. Examples of successfully implemented initiatives are provided. The authors call on researchers and public administrators to consider where transitions between humanitarian and opportunity systems can be co-ordinated. One key challenge facing policy-makers is that shifting to an opportunity-focused policy does not negate the need for sensitivity in supporting asylum seekers and refugees who are likely to have experienced trauma. Another challenge is that the refugee sector and business sector are not currently well aligned in most countries that have piloted business support programmes, creating some issues with implementation. The authors detail a research framework that is sensitive to the macro, meso and micro level implications of shifts towards greater opportunities for refugees and asylum seekers.</t>
  </si>
  <si>
    <t>[Richey, Michelle] Loughborough Univ, Loughborough Business Sch, Loughborough, England; [Brooks, Jade Wendy] Univ Auckland, Business Sch, Auckland, New Zealand</t>
  </si>
  <si>
    <t>Loughborough University; University of Auckland</t>
  </si>
  <si>
    <t>Richey, M (corresponding author), Loughborough Univ, Loughborough Business Sch, Loughborough, England.</t>
  </si>
  <si>
    <t>10.1080/09540962.2023.2238912</t>
  </si>
  <si>
    <t>P0XM2</t>
  </si>
  <si>
    <t>WOS:001047955100001</t>
  </si>
  <si>
    <t>Rokach, A</t>
  </si>
  <si>
    <t>Rokach, Ami</t>
  </si>
  <si>
    <t>Love Culturally: How Does Culture Affect Intimacy, Commitment &amp; amp; Love</t>
  </si>
  <si>
    <t>JOURNAL OF PSYCHOLOGY</t>
  </si>
  <si>
    <t>Love; culture; philosophy; belonging; marriage; communication; loneliness; romance</t>
  </si>
  <si>
    <t>RELATIONSHIP SATISFACTION; GENDER-DIFFERENCES; ROMANTIC LOVE; INTERPERSONAL PROCESS; SOCIAL SUPPORT; MARRIAGE; LONELINESS; AMERICAN; PERSPECTIVES; ADOLESCENTS</t>
  </si>
  <si>
    <t>This paper, relying on a thematic review of the literature, aimed to explore the influence of culture on human relations, particularly on love. We highlighted the innate need of humans to belong and be part of a community and, moreover, partake in an intimate relationship. Most humans yearn for intimacy, and thus it was defined and described. In our Western culture, intimacy is often found in marriage, usually built on love. Love, if not nurtured, may fade, and so we described what happens when it does. Romantic relationships, where love is usually expressed and actualized, were examined, including how it is shown, how time affects love, and what causes love relationships to be marred by loneliness. The main part of the paper is devoted to examining the effect of culture on love, its expression, and on romantic relationships. While love may be universal, its development, expression, and importance in intimate relationships differ depending on the culture and era in which it occurs.</t>
  </si>
  <si>
    <t>[Rokach, Ami] York Univ, Toronto, ON, Canada</t>
  </si>
  <si>
    <t>Rokach, A (corresponding author), York Univ, Toronto, ON, Canada.</t>
  </si>
  <si>
    <t>rokach@yorku.ca</t>
  </si>
  <si>
    <t>0022-3980</t>
  </si>
  <si>
    <t>1940-1019</t>
  </si>
  <si>
    <t>J PSYCHOL</t>
  </si>
  <si>
    <t>J. Psychol.</t>
  </si>
  <si>
    <t>10.1080/00223980.2023.2244129</t>
  </si>
  <si>
    <t>R1KL6</t>
  </si>
  <si>
    <t>WOS:001061999200001</t>
  </si>
  <si>
    <t>Seyyedi, SM; Hashemi-Tilehnoee, M; del Barrio, EP; Dogonchi, AS; Ghadami, SM; Sharifpur, M</t>
  </si>
  <si>
    <t>Seyyedi, Seyyed Masoud; Hashemi-Tilehnoee, Mehdi; Palomo del Barrio, Elena; Dogonchi, Abdul Sattar; Ghadami, Seyyed Mostafa; Sharifpur, Mohsen</t>
  </si>
  <si>
    <t>Electro-enhanced natural convection analysis for an Al2O3-water-filled enclosure by considering the effect of thermal radiation</t>
  </si>
  <si>
    <t>NUMERICAL HEAT TRANSFER PART A-APPLICATIONS</t>
  </si>
  <si>
    <t>CVFEM; electric field; nanofluid; natural convection; thermal radiation</t>
  </si>
  <si>
    <t>HEAT-TRANSFER; NANOFLUID; CAVITY; FIELD; FLOW; CONDUCTIVITY; SIMULATION; ANNULUS</t>
  </si>
  <si>
    <t>One of the most crucial topics in the thermal sciences is the analysis of how an external electric field affects the natural convection flow. In this study, the heat transfer of electro-hydrodynamic natural convection in an enclosure with a wavy hot wall is numerically studied. Al2O3-water nanofluid is considered as the working fluid, and furthermore, the effect of thermal radiation on the characteristics of fluid flow is simulated. Non-dimensional forms of governing equations are numerically solved using control volume finite element method. The effects of operational parameters such as Rayleigh number, nanoparticles volume-fraction, Lorentz force number, Eckert number, charge diffusivity number, and electric field number on the maximum absolute value of stream function and the average Nusselt number are investigated. Two new parameters are defined to evaluate the contribution of the electrical field and radiation effects on the fluid flow. The results show that Nuave ascends 7.95% when f increases from 0 to 0.05 at Ra=10(5). Also, the values of |?(max)| and Nuave increase 27.6% and 37.2%, respectively, when ? goes up from 0 to 0.5 at R-d=1.0. The values of |?(max)| and Nuave decrease 48.7% and 27.1%, respectively, with decreasing the amplitude parameter (a(n)) from 0.1 to 0.3 at Ra=10(5).</t>
  </si>
  <si>
    <t>[Seyyedi, Seyyed Masoud] Islamic Azad Univ, Dept Mech Engn, Aliabad Katoul Branch, Aliabad Katoul, Iran; [Seyyedi, Seyyed Masoud] Islamic Azad Univ, Energy Res Ctr, Aliabad Katoul Branch, Aliabad Katoul, Iran; [Hashemi-Tilehnoee, Mehdi; Palomo del Barrio, Elena] Ctr Cooperat Res Alternat Energies CIC energiGUNE, Basque Res &amp; Technol Alliance BRTA, Vitoria, Spain; [Palomo del Barrio, Elena] IKERBASQUE Basque Fdn Sci, Bilbao, Spain; [Ghadami, Seyyed Mostafa] Islamic Azad Univ, Dept Elect Engn, Aliabad Katoul Branch, Aliabad Katoul, Iran; [Sharifpur, Mohsen] Univ Pretoria, Dept Mech &amp; Aeronaut Engn, ZA-0002 Pretoria, South Africa; [Sharifpur, Mohsen] China Med Univ, China Med Univ Hosp, Dept Med Res, Taichung, Taiwan</t>
  </si>
  <si>
    <t>Islamic Azad University; Islamic Azad University; Basque Foundation for Science; Islamic Azad University; University of Pretoria; China Medical University Taiwan; China Medical University Hospital - Taiwan</t>
  </si>
  <si>
    <t>Seyyedi, SM (corresponding author), Islamic Azad Univ, Dept Mech Engn, Aliabad Katoul Branch, Aliabad Katoul, Iran.;Sharifpur, M (corresponding author), Univ Pretoria, Dept Mech &amp; Aeronaut Engn, ZA-0002 Pretoria, South Africa.</t>
  </si>
  <si>
    <t>1040-7782</t>
  </si>
  <si>
    <t>1521-0634</t>
  </si>
  <si>
    <t>NUMER HEAT TR A-APPL</t>
  </si>
  <si>
    <t>Numer. Heat Tranf. A-Appl.</t>
  </si>
  <si>
    <t>10.1080/10407782.2023.2243380</t>
  </si>
  <si>
    <t>P1SH4</t>
  </si>
  <si>
    <t>WOS:001048505300001</t>
  </si>
  <si>
    <t>Shee, B</t>
  </si>
  <si>
    <t>Shee, Bernard</t>
  </si>
  <si>
    <t>Indeterminate Crises, a Nuclear Continuum: Abe Kobo's The Ark Sakura and the Structures of Technological Discourse in the Nuclear Age</t>
  </si>
  <si>
    <t>JAPANESE STUDIES</t>
  </si>
  <si>
    <t>Be it the bombings of Hiroshima and Nagasaki, the escalations of the Cold War, or the triple disaster at Fukushima, the problem of representing disaster remains an exigent yet precarious one. Published amid rising global tensions, Abe Kobo's The Ark Sakura (Abe, 1984) questions the limits of representation within this perplexing discursive landscape. In this article, I will examine the text's engagement with the concepts of governmentality, time, and representation, with special consideration towards an overarching structural critique of the role of information - more specifically, the flow and distribution of information - within Cold War nuclear discourse. Just as the tunnels of the quarry in the novel amplify and distort every sound and utterance into confusing, often duplicitous signals, the discourses surrounding nuclear disaster have always had to traverse complex topologies of frequently conflicting signs and signifiers, including but not limited to corporate, geopolitical, and ideological interests. To that end, I propose a reading of the novel alongside a reconceptualization of nuclear discourse as belonging to a larger genealogy of technological narratives, media compositing, and networked power, and in so doing, attempt to situate it within ongoing modalities of how techno-ecological disaster is imagined and discussed.</t>
  </si>
  <si>
    <t>[Shee, Bernard] Princeton Univ, Dept East Asian Studies, Princeton, NJ 08544 USA</t>
  </si>
  <si>
    <t>Princeton University</t>
  </si>
  <si>
    <t>Shee, B (corresponding author), Princeton Univ, Dept East Asian Studies, Princeton, NJ 08544 USA.</t>
  </si>
  <si>
    <t>cshee@ccny.cuny.edu</t>
  </si>
  <si>
    <t>1037-1397</t>
  </si>
  <si>
    <t>1469-9338</t>
  </si>
  <si>
    <t>JPN STUD</t>
  </si>
  <si>
    <t>Jpn. Stud.</t>
  </si>
  <si>
    <t>10.1080/10371397.2023.2239164</t>
  </si>
  <si>
    <t>N9OC7</t>
  </si>
  <si>
    <t>WOS:001040211300001</t>
  </si>
  <si>
    <t>Waters, EA; Pachur, T; Pogge, G; Hunleth, J; Webster, GD; Fedele, DA; Shepperd, JA</t>
  </si>
  <si>
    <t>Waters, Erika A.; Pachur, Thorsten; Pogge, Gabrielle; Hunleth, Jean; Webster, Gregory D.; Fedele, David A.; Shepperd, James A.</t>
  </si>
  <si>
    <t>How are mental representations of asthma triggers and symptoms related to interpersonal risk perceptions? A psychometric investigation of caregivers of children with asthma</t>
  </si>
  <si>
    <t>PSYCHOLOGY &amp; HEALTH</t>
  </si>
  <si>
    <t>Asthma; caregivers; child; risk perception; psychometric; &gt;</t>
  </si>
  <si>
    <t>CHILDHOOD ASTHMA; EXPLANATORY MODELS; HEALTH; ILLNESS; CARE; MANAGEMENT; ADHERENCE; BELIEF</t>
  </si>
  <si>
    <t>ObjectiveParents and guardians (hereafter caregivers) make decisions for their children's medical care. However, many caregivers of children with asthma struggle to understand their child's illness. We used the psychometric paradigm to investigate how caregivers conceptualize, or mentally represent, asthma triggers and symptoms and how these representations are linked to perceived asthma exacerbation risk.MethodsWe asked 377 caregivers of children with asthma across the U.S. to rate 20 triggers or 20 symptoms along 15 characteristics. Caregivers also indicated their perceived risk of their child having an asthma exacerbation (hereafter interpersonal risk perceptions). Using principal components analysis, we extracted key dimensions underlying caregivers' ratings on the characteristics. Then we related the triggers' and symptoms' scores on the dimensions to caregivers' interpersonal risk perceptions.ResultsInterpersonal risk perceptions were higher for triggers with high ratings for the dimensions severe and relevant, and negative affect-yet manageable, but not chronic-yet unpredictable. Risk perceptions were also higher for symptoms with high ratings for the dimensions severe and unpredictable, and relevant and common, but not self-blame or manageable despite unknown cause.ConclusionBy identifying key dimensions underlying caregivers' mental representations of asthma triggers and symptoms, these findings can inform a new approach to asthma education.</t>
  </si>
  <si>
    <t>[Waters, Erika A.; Hunleth, Jean] Washington Univ St Louis, St Louis, MO USA; [Pachur, Thorsten] Max Planck Inst Human Dev, Berlin, Germany; [Pogge, Gabrielle; Webster, Gregory D.; Fedele, David A.; Shepperd, James A.] Univ Florida, Gainesville, FL USA; [Waters, Erika A.] Washington Univ St Louis, Washington Univ, Sch Med, Div Publ Hlth Sci,Dept Surg, Campus Box 8100,600 S Taylor Ave, St Louis, MO 63130 USA</t>
  </si>
  <si>
    <t>Washington University (WUSTL); Max Planck Society; State University System of Florida; University of Florida; Washington University (WUSTL)</t>
  </si>
  <si>
    <t>Waters, EA (corresponding author), Washington Univ St Louis, Washington Univ, Sch Med, Div Publ Hlth Sci,Dept Surg, Campus Box 8100,600 S Taylor Ave, St Louis, MO 63130 USA.</t>
  </si>
  <si>
    <t>waterse@wustl.edu</t>
  </si>
  <si>
    <t>Waters, Erika/0000-0001-7402-0133</t>
  </si>
  <si>
    <t>U.S. National Institutes of Health [R01HL137680]</t>
  </si>
  <si>
    <t>U.S. National Institutes of Health(United States Department of Health &amp; Human ServicesNational Institutes of Health (NIH) - USA)</t>
  </si>
  <si>
    <t>This research was supported by the U.S. National Institutes of Health [R01HL137680, Principal Investigators Erika A. Waters, James Shepperd].</t>
  </si>
  <si>
    <t>0887-0446</t>
  </si>
  <si>
    <t>1476-8321</t>
  </si>
  <si>
    <t>PSYCHOL HEALTH</t>
  </si>
  <si>
    <t>Psychol. Health</t>
  </si>
  <si>
    <t>10.1080/08870446.2023.2244522</t>
  </si>
  <si>
    <t>Public, Environmental &amp; Occupational Health; Psychology, Multidisciplinary</t>
  </si>
  <si>
    <t>Public, Environmental &amp; Occupational Health; Psychology</t>
  </si>
  <si>
    <t>O2ST1</t>
  </si>
  <si>
    <t>WOS:001042376400001</t>
  </si>
  <si>
    <t>Xiao, X; Bi, MX; Du, XX; Jiang, H</t>
  </si>
  <si>
    <t>Xiao, Xue; Bi, Mingxia; Du, Xixun; Jiang, Hong</t>
  </si>
  <si>
    <t>The ATP-sensitive potassium channel: a therapeutic target for neurodegeneration?</t>
  </si>
  <si>
    <t>K-ATP channels; Neurodegenerative diseases; K-ATP channel openers; K-ATP channel inhibitors; Therapeutic target</t>
  </si>
  <si>
    <t>SAFETY</t>
  </si>
  <si>
    <t>[Xiao, Xue; Bi, Mingxia; Du, Xixun; Jiang, Hong] Qingdao Univ, Med Coll, Sch Basic Med, Physiol, Qingdao, Peoples R China; [Jiang, Hong] Univ Hlth &amp; Rehabil Sci, Sch Hlth &amp; Life Sci, Qingdao, Shandong, Peoples R China; [Du, Xixun; Jiang, Hong] Qingdao Univ, Med Coll, Qingdao 266071, Shandong, Peoples R China</t>
  </si>
  <si>
    <t>Qingdao University; University of Health &amp; Rehabilitation Sciences; Qingdao University</t>
  </si>
  <si>
    <t>Du, XX; Jiang, H (corresponding author), Qingdao Univ, Med Coll, Qingdao 266071, Shandong, Peoples R China.</t>
  </si>
  <si>
    <t>xunxundu@qdu.edu.cn; hongjiang@qdu.edu.cn</t>
  </si>
  <si>
    <t>National Natural Science Foundation of China [32171131, 32270113]; Natural Science Foundation of Shandong Province [2021ZDSYS11, ZR2019ZD31, ZR2022MC098, ZR2020QH125]; Taishan Scholars Construction Project</t>
  </si>
  <si>
    <t>National Natural Science Foundation of China(National Natural Science Foundation of China (NSFC)); Natural Science Foundation of Shandong Province(Natural Science Foundation of Shandong Province); Taishan Scholars Construction Project</t>
  </si>
  <si>
    <t>This manuscript was funded by National Natural Science Foundation of China (32171131, 32270113); Natural Science Foundation of Shandong Province (Grant/Award Numbers: 2021ZDSYS11, ZR2019ZD31, ZR2022MC098 and ZR2020QH125); Taishan Scholars Construction Project.</t>
  </si>
  <si>
    <t>JUL 3</t>
  </si>
  <si>
    <t>10.1080/14728222.2023.2240023</t>
  </si>
  <si>
    <t>P2WV0</t>
  </si>
  <si>
    <t>WOS:001041540200001</t>
  </si>
  <si>
    <t>Yuan, M; Dervin, F; Liang, YY; Layne, H</t>
  </si>
  <si>
    <t>Yuan, Mei; Dervin, Fred; Liang, Yuyin; Layne, Heidi</t>
  </si>
  <si>
    <t>JUST TAKE YOUR TIME AND TALK TO US, OKAY? - INTERNATIONAL EDUCATION STUDENTS FACILITATING AND PROMOTING INTERCULTURALITY IN ONLINE INITIAL INTERACTIONS</t>
  </si>
  <si>
    <t>BRITISH JOURNAL OF EDUCATIONAL STUDIES</t>
  </si>
  <si>
    <t>initial interactions; self-disclosures; interculturality; dealing with uncertainty of first encounters</t>
  </si>
  <si>
    <t>SELF-DISCLOSURE; PRAGMATICS</t>
  </si>
  <si>
    <t>Meeting others abroad and/or online is considered important in the broad field of intercultural communication education (amongst others: international education, minority and migrant education, but also teacher education, language education) to test out one's learning about interculturality. For several weeks, a group of university students from China and a group of local and international students studying at a Finnish university met regularly online to talk about global educational issues. Using a specific lens of interculturality, which focuses on the discursive co-construction of identities, we explore their initial interactions, how they deal with the uncertainty and potential awkwardness of their very first encounters, before they start working on their educational tasks. Based on the students' self-disclosure (practices, thoughts, identity construction), and adopting a dialogical discourse analysis, the authors examine their co-construction of interculturality. The results show that the students try to facilitate interculturality while promoting it together more or less successfully. Reasons are discussed. The authors argue that research on the underexplored case of online initial interactions, which represent crucial moments in establishing and negotiating interculturality, could provide important research and pedagogical input for intercultural telecollaboration.</t>
  </si>
  <si>
    <t>[Yuan, Mei; Liang, Yuyin] Minzu Univ China, Sch Educ, Beijing, Peoples R China; [Dervin, Fred] Univ Helsinki, Fac Educ Sci, Helsinki, Finland; [Layne, Heidi] Univ Jyvaskyla, Fac Educ &amp; Psychol, Jyvaskyla, Finland</t>
  </si>
  <si>
    <t>Minzu University of China; University of Helsinki; University of Jyvaskyla</t>
  </si>
  <si>
    <t>Dervin, F (corresponding author), Univ Helsinki, Fac Educ Sci, Helsinki, Finland.</t>
  </si>
  <si>
    <t>fred.dervin@helsinki.fi</t>
  </si>
  <si>
    <t>0007-1005</t>
  </si>
  <si>
    <t>1467-8527</t>
  </si>
  <si>
    <t>BRIT J EDUC STUD</t>
  </si>
  <si>
    <t>Br. J. Educ. Stud.</t>
  </si>
  <si>
    <t>10.1080/00071005.2023.2231526</t>
  </si>
  <si>
    <t>S5NL9</t>
  </si>
  <si>
    <t>WOS:001071631900001</t>
  </si>
  <si>
    <t>Albahnasawi, A</t>
  </si>
  <si>
    <t>Albahnasawi, Ahmed</t>
  </si>
  <si>
    <t>Supercritical water oxidation: a breakthrough approach for remediation TNT-contaminated pink water</t>
  </si>
  <si>
    <t>Pink water; SCWO; oxidant ratio; TNT; TOC; toxicity assessment</t>
  </si>
  <si>
    <t>WASTE-WATER; RED WATER; 2,4,6-TRINITROTOLUENE; PARAMETERS; SOLVENT</t>
  </si>
  <si>
    <t>This study aimed to optimize the operating conditions of the supercritical water oxidation (SCWO) process for 2,4,6-trinitrotoluene (TNT)-containing pink water treatment. Lab-scale SCWO experiments were performed by varying the temperature (400-600 &amp; DEG;C), reaction time (45-180 sec), and oxidant ratio (100-300%). The performance of SCWO in terms of pink water treatment was evaluated using TNT and total organic carbon (TOC) removal efficiency, SCWO effluent toxicity, and generated by-products. The results showed that as temperature and residence time increased, the TNT and TOC removal efficiency increased due to solute-solvent reaction acceleration under SCWO conditions and long contact time between organic matter and oxidant. The optimal conditions for SCWO were identified as follows: a temperature of 500 &amp; DEG;C, a reaction time of 120 seconds, and an oxidant ratio of 150%. These conditions resulted in a TNT removal efficiency of 99.9% and a TOC removal efficiency of 93.5%. The by-products analysis results showed a relationship between operating temperature and the type of by-products produced. Various compounds such as toluene, nitrobenzene, TNT isomers, naphthalene, and simple alkane structures were formed. However, above 500 &amp; DEG;C, many of these species decomposed, giving rise to octadecanoic acid and 13- Docosenamide. The microbial toxicity test demonstrated that SCWO effluents showed no toxicity for all investigated SCWO conditions, demonstrating the superiority of the SCWO method for the toxicity removal of TNT-containing pink water.</t>
  </si>
  <si>
    <t>[Albahnasawi, Ahmed] Gebze Tech Univ, Dept Environm Engn, Kocaeli, Turkiye; [Albahnasawi, Ahmed] Gebze Tech Univ, Dept Environm Engn, TR-41400 Kocaeli, Turkiye</t>
  </si>
  <si>
    <t>Albahnasawi, A (corresponding author), Gebze Tech Univ, Dept Environm Engn, TR-41400 Kocaeli, Turkiye.</t>
  </si>
  <si>
    <t>ahmedalbahnasawi@gmail.com</t>
  </si>
  <si>
    <t>Albahnasawi, Ahmed/AAS-9740-2020; Albahnasawi, Ahmed/GYJ-0762-2022</t>
  </si>
  <si>
    <t>Albahnasawi, Ahmed/0000-0002-4343-4760; Albahnasawi, Ahmed/0000-0002-4343-4760</t>
  </si>
  <si>
    <t>AUG 1</t>
  </si>
  <si>
    <t>10.1080/15567036.2023.2235307</t>
  </si>
  <si>
    <t>L5XM8</t>
  </si>
  <si>
    <t>WOS:001023993900001</t>
  </si>
  <si>
    <t>Brazzoli, M; Piccioli, D; Marchetti, F</t>
  </si>
  <si>
    <t>Brazzoli, Michela; Piccioli, Diego; Marchetti, Federico</t>
  </si>
  <si>
    <t>Challenges in development of vaccines directed toward antimicrobial resistant bacterial species</t>
  </si>
  <si>
    <t>HUMAN VACCINES &amp; IMMUNOTHERAPEUTICS</t>
  </si>
  <si>
    <t>AMR; bacterial pathogens; vaccine; mucosal immunity; in vitro models</t>
  </si>
  <si>
    <t>STAPHYLOCOCCUS-AUREUS VACCINE; ESCHERICHIA-COLI; PROGRESS; PATHOGENESIS; INFECTIONS; IMMUNITY; DESIGN</t>
  </si>
  <si>
    <t>Antimicrobial resistance (AMR) is considered by WHO one of the top ten public health threats. New control strategies involving concerted actions of both public and private sectors need to be developed. Vaccines play a major role in controlling the spread of AMR pathogens by decreasing transmission and limiting the use of antibiotics, reducing at the end the selective pressure for the emergence of new resistant strains. In this review, by using as example some of the most serious AMR pathogens, we highlighted the major hurdles from a research and development point of view. New approaches to better understand the immunological mechanisms of response to both natural infections and vaccines that aimed to identify correlates of protection, together with the application of new technologies for vaccine design and delivery are discussed as potential solutions.</t>
  </si>
  <si>
    <t>[Brazzoli, Michela; Piccioli, Diego] GSK, Siena, Italy; [Marchetti, Federico] GSK, Verona, Italy; [Brazzoli, Michela] GSK, Via Fiorentina 1, I-53100 Siena, Italy</t>
  </si>
  <si>
    <t>GlaxoSmithKline; GlaxoSmithKline; GlaxoSmithKline</t>
  </si>
  <si>
    <t>Brazzoli, M (corresponding author), GSK, Via Fiorentina 1, I-53100 Siena, Italy.</t>
  </si>
  <si>
    <t>michela.x.brazzoli@gsk.com</t>
  </si>
  <si>
    <t>GlaxoSmithKline Biologicals SA</t>
  </si>
  <si>
    <t>GlaxoSmithKline Biologicals SA(GlaxoSmithKline)</t>
  </si>
  <si>
    <t>This work was undertaken at the request and sponsored by GlaxoSmithKline Biologicals SA.</t>
  </si>
  <si>
    <t>2164-5515</t>
  </si>
  <si>
    <t>2164-554X</t>
  </si>
  <si>
    <t>HUM VACC IMMUNOTHER</t>
  </si>
  <si>
    <t>Human Vaccines Immunother.</t>
  </si>
  <si>
    <t>10.1080/21645515.2023.2228669</t>
  </si>
  <si>
    <t>Biotechnology &amp; Applied Microbiology; Immunology</t>
  </si>
  <si>
    <t>L7PR4</t>
  </si>
  <si>
    <t>WOS:001025147800001</t>
  </si>
  <si>
    <t>Chido-Amajuoyi, OG; Onyeaka, H; Amonoo, H; Shete, S</t>
  </si>
  <si>
    <t>Chido-Amajuoyi, Onyema Greg; Onyeaka, Henry; Amonoo, Hermioni; Shete, Sanjay</t>
  </si>
  <si>
    <t>The influence of political ideology on awareness of HPV and HPV vaccine among adults in the United States</t>
  </si>
  <si>
    <t>Political ideology; HPV vaccine awareness; HPV awareness; HPV vaccination; &gt;</t>
  </si>
  <si>
    <t>NEWS MEDIA</t>
  </si>
  <si>
    <t>This study aimed to investigate the association between political ideology and awareness of HPV and HPV vaccine among US adults. Study data were derived from Health Information National Trends Survey 5 Cycle 4, a 2020 cross-sectional survey of US adults. Multivariable logistic regressions were conducted to examine the association between political ideology with HPV and HPV vaccine awareness. A total of 3418 adults participated in the study, with the majority being non-Hispanic White individuals and women. The results showed that 66.1% and 62.3% of the participants were aware of HPV and HPV vaccine, respectively. A total of 36.9%, 29.7% and 33.4% of the population reported moderate, liberal and conservative political ideologies respectively. Awareness levels were highest among liberals, with 77.1% and 72.7% reporting awareness of HPV and HPV vaccine respectively. Multivariable logistic regression analysis revealed that liberal participants were more likely to be aware of HPV (aOR, 1.94; 95% CI, 1.25-3.00), and HPV vaccines (aOR, 1.94; 95% CI, 1.37-2.74) compared to moderates. Also, liberals had higher odds of HPV (aOR, 2.41; 95% CI, 1.65-3.51), and HPV vaccine awareness (aOR, 1.91; 95% CI, 1.29-2.83) compared to conservatives. However, there was no significant difference in awareness between moderates and conservatives. Study findings point to an association between individuals' political ideology and HPV awareness. Further research is needed to understand the intricacies on how political ideology impacts HPV awareness. Overall, results highlight the need to incorporate individuals' political ideologies in interventions geared toward increasing the awareness and uptake of HPV vaccination.</t>
  </si>
  <si>
    <t>[Chido-Amajuoyi, Onyema Greg; Shete, Sanjay] Univ Texas MD Anderson Canc Ctr, Dept Epidemiol, Houston, TX USA; [Chido-Amajuoyi, Onyema Greg] Texas A&amp;M Univ, Dept Internal Med, Sch Med Christus Hlth, Longview, TX USA; [Onyeaka, Henry; Amonoo, Hermioni] Harvard Med Sch, Dept Psychiat, Boston, MA USA; [Onyeaka, Henry] Massachusetts Gen Hosp, Dept Psychiat, Boston, MA USA; [Onyeaka, Henry] McLean Hosp, Dept Psychiat, Belmont, MA USA; [Amonoo, Hermioni] Brigham &amp; Womens Hosp, Dept Psychiat, Boston, MA USA; [Amonoo, Hermioni] Dana Farber Canc Inst, Dept Psychosocial Oncol &amp; Palliat Care, Boston, MA USA; [Shete, Sanjay] Univ Texas MD Anderson Canc Ctr, Dept Biostat, Houston, TX USA; [Shete, Sanjay] Univ Texas MD Anderson Canc Ctr, Div Canc Prevent &amp; Populat Sci, Houston, TX USA; [Shete, Sanjay] Univ Texas MD Anderson Canc Ctr, Canc Prevent &amp; Populat Sci, Unit 1411,1400 Pressler Dr,FCT4 6012, Houston, TX 77030 USA</t>
  </si>
  <si>
    <t>University of Texas System; UTMD Anderson Cancer Center; Texas A&amp;M University System; Harvard University; Harvard Medical School; Harvard University; Massachusetts General Hospital; Harvard University; McLean Hospital; Harvard University; Brigham &amp; Women's Hospital; Harvard University; Dana-Farber Cancer Institute; University of Texas System; UTMD Anderson Cancer Center; University of Texas System; UTMD Anderson Cancer Center; University of Texas System; UTMD Anderson Cancer Center</t>
  </si>
  <si>
    <t>Shete, S (corresponding author), Univ Texas MD Anderson Canc Ctr, Canc Prevent &amp; Populat Sci, Unit 1411,1400 Pressler Dr,FCT4 6012, Houston, TX 77030 USA.</t>
  </si>
  <si>
    <t>sshete@mdanderson.org</t>
  </si>
  <si>
    <t>Chido-Amajuoyi, Onyema Greg/0000-0001-9139-7645</t>
  </si>
  <si>
    <t>Duncan Family Institute for Cancer Prevention and Risk Assessment; National Cancer Institute [P30CA016672]; Betty B. Marcus Chair in Cancer Prevention</t>
  </si>
  <si>
    <t>Duncan Family Institute for Cancer Prevention and Risk Assessment; National Cancer Institute(United States Department of Health &amp; Human ServicesNational Institutes of Health (NIH) - USANIH National Cancer Institute (NCI)); Betty B. Marcus Chair in Cancer Prevention</t>
  </si>
  <si>
    <t>The work was supported by the~Duncan Family Institute for Cancer Prevention and Risk Assessment, Betty B. Marcus Chair in Cancer Prevention, and National Cancer Institute [P30CA016672].</t>
  </si>
  <si>
    <t>10.1080/21645515.2023.2232706</t>
  </si>
  <si>
    <t>O1EZ5</t>
  </si>
  <si>
    <t>WOS:001041333400001</t>
  </si>
  <si>
    <t>Clemens, SAC; Marchevsky, N; Kelly, S; Felle, S; Eldawi, A; Rajasingam, R; Mahmud, R; Lambe, T; Voysey, M; Gonzalez, I; Milan, EP; Justino, MC; Bibi, S; Aley, P; Clemens, R; Pollard, AJ</t>
  </si>
  <si>
    <t>Clemens, Sue Ann Costa; Marchevsky, Natalie; Kelly, Sarah; Felle, Sally; Eldawi, Ahmed; Rajasingam, Rupetha; Mahmud, Rawan; Lambe, Teresa; Voysey, Merryn; Gonzalez, Isabela; Milan, Eveline Pipolo; Justino, Maria Cleonice; Bibi, Sagida; Aley, Parvinder; Clemens, Ralf; Pollard, Andrew J. J.</t>
  </si>
  <si>
    <t>Immunogenicity, safety and reactogenicity of heterologous (third dose) booster vaccination with a full or fractional dose of two different COVID-19 vaccines: A phase 4, single-blind, randomized controlled trial in adults</t>
  </si>
  <si>
    <t>COVID-19; vaccine; heterologous booster; fractional dose; neutralizing antibodies; ChAdOx1-S; BNT162b2</t>
  </si>
  <si>
    <t>In this phase 4 study we assessed boosting with fractional doses of heterologous COVID-19 vaccines in Brazilian adults primed with two doses of CoronaVac (Sinovac/Butantan, Sao Paulo, Brazil) at least 4 months previously. Participants received either full-dose of ChAdOx1-S (Group 1, n = 232), a half dose of ChAdOx1-S (Group 2, n = 236), or a half dose of BNT162b2 (Group 3, n = 234). The primary objective was to show 80% seroresponse rates (SRR) 28 d after vaccination measured as IgG antibodies against a prototype SARS-CoV-2 spike-protein. Safety was assessed as solicited and unsolicited adverse events. At baseline all participants were seropositive, with high IgG titers overall. SRR at Day 28 were 34.3%, 27.1% and 71.2%, respectively, not meeting the primary objective of 80%, despite robust immune responses in all three groups with geometric mean-fold rise (GMFR) in IgG titers of 3.39, 2.99 and 7.42, respectively. IgG immune responses with similar GMFR were also observed against SARS-CoV-2 variants, Alpha, Beta, Delta, Gamma and D614G. In subsets (n = 35) of participants GMFR of neutralizing immune responses against live prototype SARS-CoV-2 virus and Omicron BA.2 were similar to the IgG responses as were pseudo-neutralizing responses against SARS-CoV-2 prototype and Omicron BA.4/5 variants. All vaccinations were well tolerated with no vaccine-related serious adverse events and mainly transient mild-to-moderate local and systemic reactogenicity. Heterologous boosting with full or half doses of ChAdOx1-S or a half dose of BNT162b2 was safe and immunogenic in CoronaVac-primed adults, but seroresponse rates were limited by high baseline immunity.</t>
  </si>
  <si>
    <t>[Clemens, Sue Ann Costa; Marchevsky, Natalie; Kelly, Sarah; Felle, Sally; Eldawi, Ahmed; Rajasingam, Rupetha; Mahmud, Rawan; Lambe, Teresa; Voysey, Merryn; Bibi, Sagida; Aley, Parvinder; Pollard, Andrew J. J.] Univ Oxford, Dept Pediat, Oxford Vaccine Grp, Oxford, England; [Clemens, Sue Ann Costa; Gonzalez, Isabela] Univ Siena, Inst Global Hlth, Siena, Italy; [Marchevsky, Natalie; Kelly, Sarah; Felle, Sally; Eldawi, Ahmed; Rajasingam, Rupetha; Mahmud, Rawan; Voysey, Merryn; Bibi, Sagida; Aley, Parvinder; Pollard, Andrew J. J.] NIHR Oxford Biomed Res Ctr, Oxford, England; [Lambe, Teresa] Univ Oxford, Chinese Acad Med Sci Oxford Inst, Oxford, England; [Milan, Eveline Pipolo] Ctr Estudos &amp; Pesquisa Molestias Infecciosas Ltda, Natal, Brazil; [Justino, Maria Cleonice] Brazilian Minist Hlth, Hlth Surveillance Secretariat, Inst Evandro Chagas, Ananindeua, PA, Brazil; [Clemens, Ralf] GRID RIO, Rio De Janeiro, Brazil; [Clemens, Sue Ann Costa] Churchill Hosp, Ctr Clin Vaccinol &amp; Trop Med, Oxford Vaccine Grp, Oxford OX3 7LE, England</t>
  </si>
  <si>
    <t>University of Oxford; University of Siena; University of Oxford; University of Oxford; Instituto Evandro Chagas; University of Oxford</t>
  </si>
  <si>
    <t>Clemens, SAC (corresponding author), Churchill Hosp, Ctr Clin Vaccinol &amp; Trop Med, Oxford Vaccine Grp, Oxford OX3 7LE, England.</t>
  </si>
  <si>
    <t>sue.costaclemens@paediatrics.ox.ac.uk</t>
  </si>
  <si>
    <t>Lambe, Teresa/E-5733-2016</t>
  </si>
  <si>
    <t>Lambe, Teresa/0000-0001-7711-897X; Costa Clemens, Sue Ann/0000-0001-9576-0878; Clemens, Ralf/0000-0003-4685-4207</t>
  </si>
  <si>
    <t>Coalition for Epidemic Preparedness Innovations (CEPI)</t>
  </si>
  <si>
    <t>This research was funded by the Coalition for Epidemic Preparedness Innovations (CEPI), grant number FraCT-CoV-005. For the purpose of Open Access, the author has applied a CC BY public copyright license to any Author Accepted Manuscript (AAM) version arising from this submission.</t>
  </si>
  <si>
    <t>10.1080/21645515.2023.2233400</t>
  </si>
  <si>
    <t>L6QO1</t>
  </si>
  <si>
    <t>WOS:001024489800001</t>
  </si>
  <si>
    <t>Dolgui, A; Ivanov, D</t>
  </si>
  <si>
    <t>Dolgui, Alexandre; Ivanov, Dmitry</t>
  </si>
  <si>
    <t>Metaverse supply chain and operations management</t>
  </si>
  <si>
    <t>Manufacturing; supply chain management; metaverse; digital twin; blockchain; digital supply chain; &gt;</t>
  </si>
  <si>
    <t>LOGISTICS SYSTEMS; DIGITAL TWIN; NETWORKS</t>
  </si>
  <si>
    <t>The metaverse and Web 3.0 have created a new digital world with specific properties and behaviours replicating and influencing the behaviours and processes of physical entities. This study aims to advance our understanding of how the metaverse will impact supply chain and operations management (SCOM). Using elements of a structured literature search and building on the concepts of cyber-physical systems, digital supply chain twins, cloud supply chains, and Industry 4.0/Industry 5.0, we propose a framework for metaverse SCOM encompassing multiple socio-technological dimensions. We conclude that further metaverse developments could result in a co-existence of physical SCOM, metaverse SCOM, and SCOM for coordination of the physical and metaverse worlds. We offer a structured future research agenda pointing to new research questions and topics stemming from metaverse-driven visibility, computational power for data analytics, digital collaboration, and connectivity. New research areas can emerge for the novel metaverse SCOM processes and decision-making areas (e.g. joint demand forecasting for metaverse and physical products, digital inventory allocation in the metaverse, integrated production planning for the metaverse and physical worlds, and pricing and contracting for digital products), as well as new performance measures (e.g. virtual customer experience level, availability of digital products, and digital resilience and sustainability).</t>
  </si>
  <si>
    <t>[Dolgui, Alexandre] CNRS, IMT Atlantique, LS2N, Nantes, France; [Ivanov, Dmitry] Berlin Sch Econ &amp; Law, Dept Business Adm, Berlin, Germany; [Ivanov, Dmitry] Berlin Sch Econ &amp; Law, Dept Business Adm, Prof Supply Chain &amp; Operat Management, D-10825 Berlin, Germany</t>
  </si>
  <si>
    <t>IMT - Institut Mines-Telecom; IMT Atlantique; Centre National de la Recherche Scientifique (CNRS); Berlin School of Economics &amp; Law; Berlin School of Economics &amp; Law</t>
  </si>
  <si>
    <t>Ivanov, D (corresponding author), Berlin Sch Econ &amp; Law, Dept Business Adm, Prof Supply Chain &amp; Operat Management, D-10825 Berlin, Germany.</t>
  </si>
  <si>
    <t>divanov@hwr-berlin.de</t>
  </si>
  <si>
    <t>Dolgui, Alexandre/K-1688-2013</t>
  </si>
  <si>
    <t>Dolgui, Alexandre/0000-0003-0527-4716</t>
  </si>
  <si>
    <t>2023 AUG 1</t>
  </si>
  <si>
    <t>10.1080/00207543.2023.2240900</t>
  </si>
  <si>
    <t>N6KH6</t>
  </si>
  <si>
    <t>WOS:001038072500001</t>
  </si>
  <si>
    <t>Ellis, R; Weiss, A</t>
  </si>
  <si>
    <t>Ellis, Ronald; Weiss, Adam</t>
  </si>
  <si>
    <t>Human vaccines &amp; immunotherapeutics: News June 2023</t>
  </si>
  <si>
    <t>[Weiss, Adam] Taylor &amp; Francis Grp, London, England</t>
  </si>
  <si>
    <t>Taylor &amp; Francis</t>
  </si>
  <si>
    <t>Weiss, A (corresponding author), Taylor &amp; Francis Grp, London, England.</t>
  </si>
  <si>
    <t>rellis.hvi@gmail.com</t>
  </si>
  <si>
    <t>10.1080/21645515.2023.2234215</t>
  </si>
  <si>
    <t>M0XK6</t>
  </si>
  <si>
    <t>WOS:001027458200001</t>
  </si>
  <si>
    <t>Fasce, A; Karlsson, L; Verger, P; Maki, O; Taubert, F; Garrison, A; Schmid, P; Holford, DL; Lewandowsky, S; Rodrigues, F; Betsch, C; Soveri, A</t>
  </si>
  <si>
    <t>Fasce, Angelo; Karlsson, Linda; Verger, Pierre; Maeki, Otto; Taubert, Frederike; Garrison, Amanda; Schmid, Philipp; Holford, Dawn Liu; Lewandowsky, Stephan; Rodrigues, Fernanda; Betsch, Cornelia; Soveri, Anna</t>
  </si>
  <si>
    <t>Endorsement of alternative medicine and vaccine hesitancy among physicians: A cross-sectional study in four European countries</t>
  </si>
  <si>
    <t>Alternative medicine; CAM; vaccine hesitancy; physicians; evidence-based practice; &gt;</t>
  </si>
  <si>
    <t>COMPLEMENTARY MEDICINE; ANTI-VACCINATION; CAM; ATTITUDES; BELIEFS; GERMANY</t>
  </si>
  <si>
    <t>Vaccine hesitancy has become a threat to public health, especially as it is a phenomenon that has also been observed among healthcare professionals. In this study, we analyzed the relationship between endorsement of complementary and alternative medicine (CAM) and vaccination attitudes and behaviors among healthcare professionals, using a cross-sectional sample of physicians with vaccination responsibilities from four European countries: Germany, Finland, Portugal, and France (total N = 2,787). Our results suggest that, in all the participating countries, CAM endorsement is associated with lower frequency of vaccine recommendation, lower self-vaccination rates, and being more open to patients delaying vaccination, with these relationships being mediated by distrust in vaccines. A latent profile analysis revealed that a profile characterized by higher-than-average CAM endorsement and lower-than-average confidence and recommendation of vaccines occurs, to some degree, among 19% of the total sample, although these percentages varied from one country to another: 23.72% in Germany, 17.83% in France, 9.77% in Finland, and 5.86% in Portugal. These results constitute a call to consider health care professionals' attitudes toward CAM as a factor that could hinder the implementation of immunization campaigns.</t>
  </si>
  <si>
    <t>[Fasce, Angelo; Rodrigues, Fernanda] Univ Coimbra, Fac Med, Coimbra, Portugal; [Karlsson, Linda; Soveri, Anna] Univ Turku, Inst Clin Med, Turku, Finland; [Verger, Pierre; Garrison, Amanda] ORS PACA, Fac Sci Med &amp; Paramed, Southeastern Hlth Reg Observ, Observ Reg Sante, Marseille, France; [Maeki, Otto] Univ Turku, Dept Psychol &amp; Speech Language Pathol, Turku, Finland; [Taubert, Frederike; Schmid, Philipp] Univ Erfurt, Inst Planetary Hlth Behav, Erfurt, Germany; [Taubert, Frederike; Betsch, Cornelia] Bernhard Nocht Inst Trop Med, Hlth Commun Working Grp, Hamburg, Germany; [Schmid, Philipp] Bernhard Nocht Inst Trop Med, Dept Implementat Res, Hamburg, Germany; [Holford, Dawn Liu; Lewandowsky, Stephan] Univ Bristol, Sch Psychol Sci, Bristol, England; [Lewandowsky, Stephan] Univ Western Australia, Sch Psychol Sci, Perth, Australia; [Lewandowsky, Stephan] Univ Potsdam, Dept Psychol, Potsdam, Germany; [Fasce, Angelo] Univ Coimbra, Fac Med, R Larga 2, P-3000370 Coimbra, Portugal</t>
  </si>
  <si>
    <t>Universidade de Coimbra; University of Turku; UDICE-French Research Universities; Aix-Marseille Universite; University of Turku; University of Erfurt; Bernhard Nocht Institut fur Tropenmedizin; Bernhard Nocht Institut fur Tropenmedizin; University of Bristol; University of Western Australia; University of Potsdam; Universidade de Coimbra</t>
  </si>
  <si>
    <t>Fasce, A (corresponding author), Univ Coimbra, Fac Med, R Larga 2, P-3000370 Coimbra, Portugal.</t>
  </si>
  <si>
    <t>afc@fmed.uc.pt</t>
  </si>
  <si>
    <t>Schmid, Philipp/JDN-0101-2023; Lewandowsky, Stephan/H-5285-2014</t>
  </si>
  <si>
    <t>Verger, Pierre/0000-0002-0339-0679; Karlsson, Linda/0000-0002-2883-9153; Schmid, Philipp/0000-0003-2966-0806; , Amanda/0000-0002-6758-9185; Fasce, Angelo/0000-0002-5019-4953; Soveri, Anna/0000-0002-1443-6097; Taubert, Frederike/0000-0001-8350-0737; Lewandowsky, Stephan/0000-0003-1655-2013; Holford, Dawn/0000-0002-6392-3991; Maki, Karl Otto/0000-0003-4643-9724</t>
  </si>
  <si>
    <t>European Union [964728]</t>
  </si>
  <si>
    <t>European Union(European Union (EU))</t>
  </si>
  <si>
    <t>This project has received funding from the European Union's Horizon 2020 research and innovation programme under grant agreement No 964728 (JITSUVAX). The funder had no role in the design and conduct of the study; collection, management, analysis, and interpretation of the data; preparation, review, or approval of the manuscript; and decision to submit the manuscript for publication.</t>
  </si>
  <si>
    <t>10.1080/21645515.2023.2242748</t>
  </si>
  <si>
    <t>P1FY3</t>
  </si>
  <si>
    <t>WOS:001048178500001</t>
  </si>
  <si>
    <t>Fernandes, A; Wang, DL; Domachowske, JB; Suryadevara, M</t>
  </si>
  <si>
    <t>Fernandes, Annlynn; Wang, Dongliang; Domachowske, Joseph B. B.; Suryadevara, Manika</t>
  </si>
  <si>
    <t>HPV vaccine knowledge, attitudes, and practices among New York State medical providers, dentists, and pharmacists</t>
  </si>
  <si>
    <t>HPV; human papillomavirus; vaccine hesitancy; vaccine knowledge attitudes and practices; healthcare providers</t>
  </si>
  <si>
    <t>HUMAN-PAPILLOMAVIRUS VACCINATION; PARENT PERCEPTIONS; NATIONAL-SURVEY; ADOLESCENTS</t>
  </si>
  <si>
    <t>Healthcare provider vaccine knowledge and attitudes influence delivery of a strong vaccine recommendation. We aim to describe HPV vaccine knowledge, attitudes, and recommendation or discussion practices (KAP) among New York State medical providers, dentists, and pharmacists. A survey to assess providers' KAP was distributed electronically to NYS members of medical organizations. Descriptive and inferential statistical methods were used to characterize provider KAP. Responses from 1637 surveys were included, from 864 (53%) medical providers, 737 (45%) dentists, and 36 (2%) pharmacists. 59% (509/864) of medical providers responded that they recommend HPV vaccine to patients, with 390/509 (77%) strongly recommending vaccine at 11-12 years. Medical providers were more likely to report recommending HPV vaccine for children ages 11-12 years if they strongly agreed that HPV vaccine prevents cancer 326/391 (83%) vs 64/117 (55%) and responded that HPV vaccination does not increase the risk of unprotected sex (386/494 (78%) vs 4/15 (25%)) (p &lt; .05). Less than 1/3 of dentists reported discussing HPV vaccine with 11-26-year-old females (230/737, 31%) and males (205/737, 28%) at least sometimes. Dentists were more likely to answer that they routinely discuss HPV vaccine with children ages 11-12 years if they responded that HPV vaccination does not increase sexual activity (70/73 (96%) vs 528/662 (80%), p &lt; .001). Few pharmacists reported discussing HPV vaccine with 11-26-year-old females (6/36 (17%)) and males (5/36 (14%)) at least sometimes. Gaps in HPV vaccine knowledge among providers still exist and may influence vaccine attitudes and recommendation or discussion practices.</t>
  </si>
  <si>
    <t>[Fernandes, Annlynn; Domachowske, Joseph B. B.; Suryadevara, Manika] SUNY Upstate Med Univ, Dept Pediat, 750 East Adams St, Syracuse, NY 13210 USA; [Wang, Dongliang] SUNY Upstate Med Univ, Dept Publ Hlth &amp; Prevent Med, Syracuse, NY 13210 USA</t>
  </si>
  <si>
    <t>State University of New York (SUNY) System; State University of New York (SUNY) Upstate Medical Center; State University of New York (SUNY) System; State University of New York (SUNY) Upstate Medical Center</t>
  </si>
  <si>
    <t>Suryadevara, M (corresponding author), SUNY Upstate Med Univ, Dept Pediat, 750 East Adams St, Syracuse, NY 13210 USA.</t>
  </si>
  <si>
    <t>suryadem@upstate.edu</t>
  </si>
  <si>
    <t>Investigator-Initiated Studies Program of Merck Sharp amp; Dohme Corp</t>
  </si>
  <si>
    <t>This work was supported in part by a research grant from Investigator-Initiated Studies Program of Merck Sharp &amp; Dohme Corp. The opinions expressed in this paper are those of the authors and do not necessarily represent those of Merck Sharpe &amp; Dohme Corp.</t>
  </si>
  <si>
    <t>10.1080/21645515.2023.2219185</t>
  </si>
  <si>
    <t>J8UU5</t>
  </si>
  <si>
    <t>WOS:001012329000001</t>
  </si>
  <si>
    <t>Gasparin, S; Berger, J; D'Alessandro, G; de Monte, F; Ucinski, D</t>
  </si>
  <si>
    <t>Gasparin, Suelen; Berger, Julien; D'Alessandro, Giampaolo; de Monte, Filippo; Ucinski, Dariusz</t>
  </si>
  <si>
    <t>Optimal Experimental Design for the Assessment of Thermophysical Properties in Existing Building Walls</t>
  </si>
  <si>
    <t>SPECTRAL METHOD; HEAT</t>
  </si>
  <si>
    <t>The estimation of wall thermal properties through an inverse problem procedure enables to increase the reliability of the model predictions for building energy efficiency. Nevertheless, it requires defining an experimental campaign to obtain in situ observations for existing buildings. The quality of the estimated parameter strongly depends on the quality of the experimental data used for the parameter identification. In other words, there is a close relation between the experiment design and the precision of the retrieved parameters. The design of experiments enables to search for the optimal measurement plan. It ensures the highest precision of the parameter to be estimated. For in situ measurement in buildings, the design of experiments seeks to answer the following questions: How many sensors do we need? What is the sensor position in the wall? The optimal experiment design methodology enables us to answer those questions. The unknown parameter is the thermal conductivity of wall facade model considering two-dimensional heat transfer induced by time and space varying boundary conditions.</t>
  </si>
  <si>
    <t>[Gasparin, Suelen] French Minist Ecol Transit, BPE Res team, Cerema, Nantes, France; [Gasparin, Suelen] Univ Savoie Mont Blanc, CNRS, LOCIE, UMR 5271, Chambery, France; [Berger, Julien] La Rochelle Univ, Lab Engn Sci Environm LaSIE, CNRS, UMR 7356, La Rochelle, France; [D'Alessandro, Giampaolo; de Monte, Filippo] Univ Aquila, Dept Ind &amp; Informat Engn &amp; Econ, LAquila, Italy; [Ucinski, Dariusz] Univ Zielona Gora, Inst Control &amp; Computat Engn, Zielona Gora, Poland; [Gasparin, Suelen] French Minist Ecol Transit, BPE Res team, Cerema, F-44200 Nantes, France</t>
  </si>
  <si>
    <t>Centre National de la Recherche Scientifique (CNRS); CNRS - Institute for Engineering &amp; Systems Sciences (INSIS); Centre National de la Recherche Scientifique (CNRS); CNRS - Institute for Engineering &amp; Systems Sciences (INSIS); University of L'Aquila; University of Zielona Gora</t>
  </si>
  <si>
    <t>Gasparin, S (corresponding author), French Minist Ecol Transit, BPE Res team, Cerema, Nantes, France.;Gasparin, S (corresponding author), French Minist Ecol Transit, BPE Res team, Cerema, F-44200 Nantes, France.</t>
  </si>
  <si>
    <t>suelen.gasparin@cerema.fr</t>
  </si>
  <si>
    <t>de Monte, Filippo/B-2956-2012</t>
  </si>
  <si>
    <t>de Monte, Filippo/0000-0003-0174-6990</t>
  </si>
  <si>
    <t>DSG 2021 project TOPS</t>
  </si>
  <si>
    <t>The authors acknowledge the DSG 2021 project TOPS for the financial support</t>
  </si>
  <si>
    <t>10.1080/01457632.2023.2241176</t>
  </si>
  <si>
    <t>Q9HL4</t>
  </si>
  <si>
    <t>WOS:001060554200001</t>
  </si>
  <si>
    <t>Hara, M; Furue, T; Fukuoka, M; Iwanaga, K; Matsuishi, E; Miike, T; Sakamoto, Y; Mukai, N; Kinugasa, Y; Shigyo, M; Sonoda, N; Tanaka, M; Arase, Y; Tanaka, Y; Nakashima, H; Irie, S; Hirota, Y</t>
  </si>
  <si>
    <t>Hara, Megumi; Furue, Takeki; Fukuoka, Mami; Iwanaga, Kentaro; Matsuishi, Eijo; Miike, Toru; Sakamoto, Yuichiro; Mukai, Naoko; Kinugasa, Yuki; Shigyo, Mutsumi; Sonoda, Noriko; Tanaka, Masato; Arase, Yasuko; Tanaka, Yosuke; Nakashima, Hitoshi; Irie, Shin; Hirota, Yoshio</t>
  </si>
  <si>
    <t>Comparison of self-reported symptoms in COVID-19 patients who had or had not previously received COVID-19 mRNA vaccination</t>
  </si>
  <si>
    <t>Coronavirus disease 2019 (COVID-19); severe acute respiratory syndrome coronavirus 2 (SARS-CoV-2); symptom; vaccine; post-vaccination infection</t>
  </si>
  <si>
    <t>SARS-COV-2 INFECTION</t>
  </si>
  <si>
    <t>Although mRNA coronavirus disease 2019 (COVID-19) vaccines have been reported for high effectiveness against symptoms, it remains unclear whether post-vaccination infections are less symptomatic than infections in vaccine-naive individuals. We included patients with COVID-19 diagnosed by polymerase chain reaction tests during Japan's alpha and delta variant epidemics. COVID-19 symptoms at approximately 4 weeks were compared based on COVID-19 vaccination status. In total, 398 cases (372 symptomatic and 26 asymptomatic; 286 unvaccinated, 66 vaccinated with one dose, and 46 with two doses) were analyzed. The most common symptoms were fever (78.4%), fatigue (78.4%), cough (74.4%), loss of taste or smell (62.8%), and headache (59.8%). Post-vaccination infections were significantly less likely to be symptomatic. Possible confounder-adjusted odds ratios of two vaccine doses against fatigue, dry eyes and mouth, insomnia, fever, shortness of breath, unusual muscle pains, and loss of taste or smell were 0.18 (95% confidence interval [CI]: 0.09-0.38), 0.22 (95% CI: 0.08-0.59), 0.33 (95% CI: 0.14-0.80), 0.31 (95% CI: 0.15-0.63), 0.36 (95% CI: 0.16-0.76), 0.40 (95% CI: 0.19-0.82), and 0.44 (95% CI: 0.22-0.87), respectively. Post-vaccination infections after two mRNA COVID-19 vaccine doses show milder and fewer symptoms than infections in unvaccinated patients, highlighting the effectiveness of vaccination.</t>
  </si>
  <si>
    <t>[Hara, Megumi] Saga Univ, Fac Med, Dept Prevent Med, Saga, Japan; [Furue, Takeki; Tanaka, Masato; Arase, Yasuko] Fukuoka City Off, Fukuoka, Japan; [Fukuoka, Mami; Iwanaga, Kentaro; Matsuishi, Eijo] Saga Ken Med Ctr KOSEIKAN, Saga, Japan; [Miike, Toru; Sakamoto, Yuichiro] Saga Univ Hosp, Dept Emergency Med, Saga, Japan; [Mukai, Naoko] Fukuoka City Jonan Ward Publ Hlth Ctr, Fukuoka, Japan; [Kinugasa, Yuki] Fukuoka City Higashi Ward Publ Hlth Ctr, Fukuoka, Japan; [Shigyo, Mutsumi] Fukuoka City Hakata Ward Publ Hlth Ctr, Fukuoka, Japan; [Sonoda, Noriko] Fukuoka City Sawara Ward Publ Hlth Ctr, Fukuoka, Japan; [Tanaka, Yosuke] SOUSEIKAI Med Grp Med Co LTA, Kanenokuma Hosp, Fukuoka, Japan; [Nakashima, Hitoshi; Irie, Shin] SOUSEIKAI Med Grp Med Co LTA, Fukuoka, Japan; [Hirota, Yoshio] SOUSEIKAI Med Grp Med Co LTA, Clin Epidemiol Res Ctr, Fukuoka, Japan; [Hara, Megumi] Saga Univ, Fac Med, Dept Prevent Med, 5-1-1 Nabeshima, Saga 8498501, Japan</t>
  </si>
  <si>
    <t>Saga University; Saga University; Saga University</t>
  </si>
  <si>
    <t>Hara, M (corresponding author), Saga Univ, Fac Med, Dept Prevent Med, 5-1-1 Nabeshima, Saga 8498501, Japan.</t>
  </si>
  <si>
    <t>harameg@cc.saga-u.ac.jp</t>
  </si>
  <si>
    <t>10.1080/21645515.2023.2226575</t>
  </si>
  <si>
    <t>K0GI5</t>
  </si>
  <si>
    <t>WOS:001013315000001</t>
  </si>
  <si>
    <t>Jeong, DI; Cannon, AJ</t>
  </si>
  <si>
    <t>Jeong, Dae Il; Cannon, Alex J.</t>
  </si>
  <si>
    <t>An Approach for Selecting Observationally-Constrained Global Climate Model Ensembles for Regional Climate Impacts and Adaptation Studies in Canada</t>
  </si>
  <si>
    <t>ATMOSPHERE-OCEAN</t>
  </si>
  <si>
    <t>climate change; constrained projection; global climate models; multi-model ensembles; regional climate; representative democracy; selection process; &gt;</t>
  </si>
  <si>
    <t>EMERGENT CONSTRAINTS; MULTIMODEL ENSEMBLE; CHANGE SCENARIOS; NCEP-NCAR; CMIP5; PROJECTIONS; SIMULATIONS; TEMPERATURE; SKILL</t>
  </si>
  <si>
    <t>Given the growing number of global climate models (GCMs) with simulations available for impacts and adaptation studies, methods have been introduced to select models that are 'fit-for-purpose'. This study applies a GCM selection process to historical and future climate projections from 38 and 43 GCMs contributing to the fifth and sixth phases of the Coupled Model Intercomparison Project (CMIP5 and CMIP6). Models are selected based on historical performance, with a further selection step targeted at reducing interdependencies between closely related model variants and ensemble members. Ten performance measures are calculated based on climatological statistics (mean, standard deviation, and seasonal cycle) of three climate variables (precipitation, sea level pressure, and surface air temperature (SAT)), as well as SAT warming trend for the 1985-2014 period. Performance is assessed over Canada and six Canadian sub-regions, at both annual and seasonal timescales. As initial-condition members and minor variants of GCMs are not independent, a representative democracy approach - using ensemble averages of initial-condition members and including only the best performance model among minor variants - is employed to reduce redundancy in selected subsets. There is a strong correlation between recent warming trends and future warming projections across Canada; therefore, observed SAT warming trends are recognized as important observational-constraints to aid in model selection. By removing hot models that fail to reproduce the historical SAT warming trend, a representative subset of observationally-constrained GCMs projects lower annual SAT than model democracy (using all model runs assuming independence and equal plausibility) over Canada and six Canadian sub-regions for 2071-2100.</t>
  </si>
  <si>
    <t>[Jeong, Dae Il] Environm &amp; Climate Change Canada, Climate Res Div, Toronto, ON M3H 5T4, Canada; [Cannon, Alex J.] Environm &amp; Climate Change Canada, Climate Res Div, Victoria, BC V8W 2Y2, Canada</t>
  </si>
  <si>
    <t>Environment &amp; Climate Change Canada; Environment &amp; Climate Change Canada</t>
  </si>
  <si>
    <t>Jeong, DI (corresponding author), Environm &amp; Climate Change Canada, Climate Res Div, Toronto, ON M3H 5T4, Canada.</t>
  </si>
  <si>
    <t>jeong.daeil@ec.gc.ca</t>
  </si>
  <si>
    <t>Cannon, Alex/A-5747-2009</t>
  </si>
  <si>
    <t>Cannon, Alex/0000-0002-8025-3790</t>
  </si>
  <si>
    <t>0705-5900</t>
  </si>
  <si>
    <t>1480-9214</t>
  </si>
  <si>
    <t>ATMOS OCEAN</t>
  </si>
  <si>
    <t>Atmos.-Ocean</t>
  </si>
  <si>
    <t>10.1080/07055900.2023.2239194</t>
  </si>
  <si>
    <t>Meteorology &amp; Atmospheric Sciences; Oceanography</t>
  </si>
  <si>
    <t>O0GK0</t>
  </si>
  <si>
    <t>WOS:001040688900001</t>
  </si>
  <si>
    <t>Kasembeli, SN</t>
  </si>
  <si>
    <t>Kasembeli, Serah Namulisa</t>
  </si>
  <si>
    <t>Routledge Handbook of African Popular Culture</t>
  </si>
  <si>
    <t>ENGLISH ACADEMY REVIEW-SOUTHERN AFRICAN JOURNAL OF ENGLISH STUDIES</t>
  </si>
  <si>
    <t>[Kasembeli, Serah Namulisa] Mzuzu Univ, Mzuzu, Malawi; [Kasembeli, Serah Namulisa] Stellenbosch Univ, Stellenbosch, South Africa</t>
  </si>
  <si>
    <t>Stellenbosch University</t>
  </si>
  <si>
    <t>Kasembeli, SN (corresponding author), Mzuzu Univ, Mzuzu, Malawi.;Kasembeli, SN (corresponding author), Stellenbosch Univ, Stellenbosch, South Africa.</t>
  </si>
  <si>
    <t>Serah@drkasembelicentre.org</t>
  </si>
  <si>
    <t>1013-1752</t>
  </si>
  <si>
    <t>1753-5360</t>
  </si>
  <si>
    <t>ENGL ACAD REV</t>
  </si>
  <si>
    <t>Engl. Acad. Rev.</t>
  </si>
  <si>
    <t>10.1080/10131752.2023.2230740</t>
  </si>
  <si>
    <t>Language &amp; Linguistics</t>
  </si>
  <si>
    <t>O1AC1</t>
  </si>
  <si>
    <t>WOS:001041205900001</t>
  </si>
  <si>
    <t>Lee, S</t>
  </si>
  <si>
    <t>Lee, Sangwon</t>
  </si>
  <si>
    <t>Does Brand Name Matter in Alleviating Ethnocentrism? The Interplay of Brand Origin and Brand Name in Radically New Product Evaluation</t>
  </si>
  <si>
    <t>JOURNAL OF INTERNATIONAL CONSUMER MARKETING</t>
  </si>
  <si>
    <t>Consumer Ethnocentrism; Brand Name; Brand Origin; Radically New Products; &gt;</t>
  </si>
  <si>
    <t>COUNTRY-OF-ORIGIN; CONSUMER ETHNOCENTRISM; PERCEPTIONS; PREFERENCES; ATTITUDES; IMPLICIT; FLUENCY; IMAGE; PRICE</t>
  </si>
  <si>
    <t>Using categorization theory, this study develops four research questions: (1) does brand name affect new product evaluation? (2) does brand origin interact with the brand name in radically new product evaluation in four different country examples (U.S., Mexico, Germany, and Bulgaria)? (3) what is the underlying mechanism of the brand origin effect on new product evaluation? and (4) does individual difference matter in the perceived value of the products?The results demonstrate that when the brand origin is U.S., the U.S. brand name leads to a higher perceived value of the brand than the Mexican brand. If the brand origin is Mexico, the brand name effect is attenuated. In Germany and Bulgaria condition, when the brand origin is Bulgaria, a German brand name is better evaluated than a Bulgarian brand name. But the brand name effect is mitigated in Germany condition.</t>
  </si>
  <si>
    <t>[Lee, Sangwon] Ball State Univ, Miller Coll Business, Dept Mkt, Muncie, IN 47306 USA</t>
  </si>
  <si>
    <t>Ball State University</t>
  </si>
  <si>
    <t>Lee, S (corresponding author), Ball State Univ, Miller Coll Business, Dept Mkt, Muncie, IN 47306 USA.</t>
  </si>
  <si>
    <t>slee20@bsu.edu</t>
  </si>
  <si>
    <t>0896-1530</t>
  </si>
  <si>
    <t>1528-7068</t>
  </si>
  <si>
    <t>J INT CONSUM MARK</t>
  </si>
  <si>
    <t>J. Int. Consum. Mark.</t>
  </si>
  <si>
    <t>10.1080/08961530.2023.2243643</t>
  </si>
  <si>
    <t>P0XB8</t>
  </si>
  <si>
    <t>WOS:001047944700001</t>
  </si>
  <si>
    <t>Lu, L; Wang, L; Feng, TF; Du, X</t>
  </si>
  <si>
    <t>Lu, Ling; Wang, Lu; Feng, Tongfu; Du, Xin</t>
  </si>
  <si>
    <t>Safety evaluation of COVID-19 vaccination during early pregnancy: A single-center prospective cohort study of Chinese pregnant women</t>
  </si>
  <si>
    <t>COVID-19 vaccination; inactivated vaccines; pregnant women; pregnancy outcome; newborn; &gt;</t>
  </si>
  <si>
    <t>This prospective cohort study aimed to evaluate the safety of an inactivated coronavirus disease 2019 (COVID-19) vaccine in pregnant women at a tertiary hospital in Hubei, China. Pregnancy outcomes were compared between pregnant vaccinated and unvaccinated women. Composite adverse pregnancy outcomes were defined as one or more of maternal adverse outcomes (prenatal pyrexia, postpartum hemorrhage, maternal intensive care unit admission, and a prethrombotic state) and adverse neonatal outcomes (premature delivery, intrauterine fetal death or induction of labor, fetal macrosomia, fetal growth restriction, small-for-gestational age, fetal abnormalities, neonatal admission to the neonatal intensive care unit, and birth asphyxia). Of a total of 845 participants in the delivery cohort, 41.2% (348/845) received at least one dose of the COVID-19 vaccination, and 33.6% (284/845) received two doses. In total, 25.3% (88/348) of the vaccinated group were vaccinated at 0-4 weeks of pregnancy. No significant difference was found in the composite adverse outcomes between the vaccinated and unvaccinated participants, regardless of whether vaccination occurred before (44/243 [18.1%] vs. 71/497 [14.3%]; P = .17) or during early pregnancy (14/105 [13.3%] vs. 71/497[14.3%]; P = .79). These findings indicate that the pregnancy outcomes of women who received the COVID-19 vaccination, even if they were vaccinated early in pregnancy, were comparable to those of unvaccinated women. This study was registered with the Chinese Clinical Trial Center (ChiCTR2100051756).</t>
  </si>
  <si>
    <t>[Lu, Ling] Hubei Univ Med, Dept Grad Sch, Shiyan, Hubei, Peoples R China; [Lu, Ling; Wang, Lu; Feng, Tongfu; Du, Xin] Maternal &amp; Child Hlth Hosp Hubei Prov, Dept Gynecol, Wuhan 430070, Hubei, Peoples R China; [Feng, Tongfu] Hubei Univ Arts &amp; Sci, Dept Sch Basic Med, Xiangyang, Hubei, Peoples R China</t>
  </si>
  <si>
    <t>Hubei University of Medicine; Hubei University of Arts &amp; Science</t>
  </si>
  <si>
    <t>Feng, TF (corresponding author), Maternal &amp; Child Hlth Hosp Hubei Prov, Dept Gynecol, Wuhan 430070, Hubei, Peoples R China.</t>
  </si>
  <si>
    <t>ftfsunny@163.com</t>
  </si>
  <si>
    <t>Young and Middle-aged Medical Talents Training Project of Wuhan [116]; Maternal and Child Health Hospital of Hubei Province Research Project [2021SFYM003]</t>
  </si>
  <si>
    <t>Young and Middle-aged Medical Talents Training Project of Wuhan; Maternal and Child Health Hospital of Hubei Province Research Project</t>
  </si>
  <si>
    <t>This study was supported by Young and Middle-aged Medical Talents Training Project of Wuhan [grant number [2018] 116] and the Maternal and Child Health Hospital of Hubei Province Research Project [grant number 2021SFYM003].</t>
  </si>
  <si>
    <t>10.1080/21645515.2023.2226995</t>
  </si>
  <si>
    <t>M5PP1</t>
  </si>
  <si>
    <t>WOS:001030738800001</t>
  </si>
  <si>
    <t>Pan, DP; Qiu, QL; Zhang, DP; Yang, LJ</t>
  </si>
  <si>
    <t>Pan, Danping; Qiu, Qili; Zhang, Dongping; Yang, Linjun</t>
  </si>
  <si>
    <t>Removal characteristics of SO3 in the low-low temperature electrostatic precipitator</t>
  </si>
  <si>
    <t>Fly ash particle; interaction; LLT-ESP; removal; SO3</t>
  </si>
  <si>
    <t>SULFURIC-ACID AEROSOLS; FLUE-GAS; COLLECTION; CHALLENGE</t>
  </si>
  <si>
    <t>As SO3 endangered the industrial equipment and environment in the coal-fired power plants, it was necessary to give full play to the SO3 removal effect in a low-low-temperature electrostatic precipitator (LLT-ESP). The relationship between SO3 and fly ash particles was investigated during the cooling process. In addition, the SO3 removal performance in the LLT-ESP was further analyzed. The migration and deposition of SO3 into fly ash particles were promoted with the decrease in the gas temperature and the fly ash particle size, as well as the increase in the SO3 concentration. As the temperature of the gas decreased below the acid dew point (ADP), the H2SO4 vapor tended to migrate into fly ash particles with smaller sizes. The SO3 mass concentration increased significantly in fly ash particles whose sizes ranged from 0.03 to 0.26 mu m. When the operating voltage turned up, the SO3 removal efficiency was increased from 43.2% to 60.1%. The increase in the inlet fly ash concentration promoted the SO3 removal, and the removal efficiency increased by nearly 20%. When the gas temperature was below the ADP, it had little influence on the SO3 removal efficiency.</t>
  </si>
  <si>
    <t>[Pan, Danping; Qiu, Qili; Zhang, Dongping] Nanjing Inst Technol, Sch Environm Engn, Nanjing, Peoples R China; [Pan, Danping; Yang, Linjun] Southeast Univ, Sch Energy &amp; Environm, Nanjing, Peoples R China; [Pan, Danping] Nanjing Inst Technol, Sch Environm Engn, Nanjing 211167, Peoples R China</t>
  </si>
  <si>
    <t>Nanjing Institute of Technology; Southeast University - China; Nanjing Institute of Technology</t>
  </si>
  <si>
    <t>Pan, DP (corresponding author), Nanjing Inst Technol, Sch Environm Engn, Nanjing 211167, Peoples R China.</t>
  </si>
  <si>
    <t>pandp@njit.edu.cn</t>
  </si>
  <si>
    <t>Jiangsu Planned Projects for Postdoctoral Research Funds [2019K134]; Jiangsu Provincial Natural Science Foundation of China [BK20201032]</t>
  </si>
  <si>
    <t>Jiangsu Planned Projects for Postdoctoral Research Funds; Jiangsu Provincial Natural Science Foundation of China(Natural Science Foundation of Jiangsu Province)</t>
  </si>
  <si>
    <t>Acknowledgements The authors thank the Jiangsu Planned Projects for Postdoctoral Research Funds (2019K134) and the Jiangsu Provincial Natural Science Foundation of China (BK20201032) for their financial support.</t>
  </si>
  <si>
    <t>10.1080/15567036.2023.2224746</t>
  </si>
  <si>
    <t>J3LH8</t>
  </si>
  <si>
    <t>WOS:001008654600001</t>
  </si>
  <si>
    <t>Peng, W; Sadaghiani, OK</t>
  </si>
  <si>
    <t>Peng, Wei; Karimi Sadaghiani, Omid</t>
  </si>
  <si>
    <t>A review on the applications of machine learning and deep learning in agriculture section for the production of crop biomass raw materials</t>
  </si>
  <si>
    <t>Machine learning; agriculture; biomass provision; raw material; sustainability</t>
  </si>
  <si>
    <t>SOIL-MOISTURE; PREDICTION; CLASSIFICATION; ENERGY; MODEL; RICE; IDENTIFICATION; PERFORMANCE; ALGORITHM; CAPACITY</t>
  </si>
  <si>
    <t>The application of biomass, as an energy resource, depends on four main steps of production, pre-treatment, bio-refinery, and upgrading. This work reviews Machine Learning applications in the biomass production step with focusing on agriculture crops. By investigating numerous related works, it is concluded that there is a considerable reviewing gap in collecting the applications of Machine Learning in crop biomass production. To fill this gap by the current work, the origin of biomass raw materials is explained, and the application of Machine Learning in this section is scrutinized. Then, the kinds and resources of biomass as well as the role of machine learning in these fields are reviewed. Meanwhile, the sustainable production of farming-origin biomass and the effective factors in this issue are explained, and the application of Machine Learning in these areas are surveyed. Summarily, after analysis of numerous papers, it is concluded that Machine Learning and Deep Learning are widely utilized in crop biomass production areas to enhance the crops production quantity, quality, and sustainability, improve the predictions, decrease the costs, and diminish the products losses. According to the statistical analysis, in 19% of the studies conducted about the application of Machine Learning and Deep Learning in crop biomass raw materials, Artificial Neural Network (ANN) algorithm has been applied. Afterward, the Random Forest (RF) and Super Vector Machine (SVM) are the second and third most-utilized algorithms applied in 17% and 15% of studies, respectively. Meanwhile, 26% of studies focused on the applications of Machine Learning and Deep Learning in the sugar crops. At the second and third places, the starchy crops and algae with 23% and 21% received more attention of researchers in the utilization of Machine Learning and Deep Learning techniques.</t>
  </si>
  <si>
    <t>[Peng, Wei; Karimi Sadaghiani, Omid] Univ Regina, Fac Engn &amp; Appl Sci, Regina, SK, Canada; [Karimi Sadaghiani, Omid] Atilim Univ, Fac Engn, Dept Energy Syst Engn, Ankara, Turkiye</t>
  </si>
  <si>
    <t>University of Regina; Atilim University</t>
  </si>
  <si>
    <t>Sadaghiani, OK (corresponding author), Atilim Univ, Fac Engn, Dept Energy Syst Engn, Ankara, Turkiye.</t>
  </si>
  <si>
    <t>o.sadaghiyani1984@gmail.com</t>
  </si>
  <si>
    <t>10.1080/15567036.2023.2232322</t>
  </si>
  <si>
    <t>L7ZD7</t>
  </si>
  <si>
    <t>WOS:001025397400001</t>
  </si>
  <si>
    <t>van de Walle, K</t>
  </si>
  <si>
    <t>van de Walle, Kwinten</t>
  </si>
  <si>
    <t>Representations of Terror and Horror in the Frontispieces to Thomas and Robert Hughes's Gothic Chapbooks</t>
  </si>
  <si>
    <t>ENGLISH STUDIES</t>
  </si>
  <si>
    <t>Gothic literature; chapbook; bluebook; visual culture; print culture; paratext; book illustration; &gt;</t>
  </si>
  <si>
    <t>Chapbooks are versatile print media that, more than any other print form, made available a wide variety of texts intended for popular reading to a broad and diverse readership. Gothic chapbooks or bluebooks, in particular, occupied an intermediary position between expensive editions of belles lettres and cheaply produced ballads and other literary ephemera. Adapting and appropriating genre conventions and narrative strategies, they both capitalised on and further contributed to the popularity of the Gothic genre in the late eighteenth and early nineteenth century. To date, however, little scholarly attention has been devoted to the frontispiece illustrations included in these chapbooks. This article examines the frontispieces to the Gothic bluebooks issued by Thomas and Robert Hughes in 1807 and 1808. Exploring the multifunctionality of the illustrations, it explores the ways in which they developed visual interpretations of Gothic horror and terror, generated metageneric reflections, and participated in a visual culture shared across different media networks. Functioning as a critical access point for readers, the frontispieces represented an integral part of the paratextual framing of the bluebook texts, generating meaning and affecting the Gothic reading experience.</t>
  </si>
  <si>
    <t>[van de Walle, Kwinten] Shanghai Univ Finance &amp; Econ, Shanghai, Peoples R China</t>
  </si>
  <si>
    <t>Shanghai University of Finance &amp; Economics</t>
  </si>
  <si>
    <t>van de Walle, K (corresponding author), Shanghai Univ Finance &amp; Econ, Shanghai, Peoples R China.</t>
  </si>
  <si>
    <t>kwinten@mail.shufe.edu.cn</t>
  </si>
  <si>
    <t>Van De Walle, Kwinten/0000-0001-6953-9221</t>
  </si>
  <si>
    <t>0013-838X</t>
  </si>
  <si>
    <t>1744-4217</t>
  </si>
  <si>
    <t>ENGL STUD</t>
  </si>
  <si>
    <t>Engl. Stud.</t>
  </si>
  <si>
    <t>10.1080/0013838X.2023.2236918</t>
  </si>
  <si>
    <t>N7HX3</t>
  </si>
  <si>
    <t>WOS:001038688900001</t>
  </si>
  <si>
    <t>Villanueva, P; Crawford, NW; Croda, MG; Collopy, S; Jardim, BA; Jardim, TDP; Marshall, H; Prat-Aymerich, C; Sawka, A; Sharma, K; Troeman, D; Wadia, U; Warris, A; Wood, N; Messina, NL; Curtis, N; Pittet, LF</t>
  </si>
  <si>
    <t>Villanueva, Paola; Crawford, Nigel W.; Croda, Mariana Garcia; Collopy, Simone; Jardim, Bruno Araujo; Jardim, Tyane de Almeida Pinto; Marshall, Helen; Prat-Aymerich, Cristina; Sawka, Alice; Sharma, Ketaki; Troeman, Darren; Wadia, Ushma; Warris, Adilia; Wood, Nicholas; Messina, Nicole L.; Curtis, Nigel; Pittet, Laure F.</t>
  </si>
  <si>
    <t>Safety of BCG vaccination and revaccination in healthcare workers</t>
  </si>
  <si>
    <t>BCG; revaccination; vaccine adverse events; healthcare workers; &gt;</t>
  </si>
  <si>
    <t>TUBERCULOSIS; INFECTION; INFANTS</t>
  </si>
  <si>
    <t>BCG vaccination and revaccination are increasingly being considered for the protection of adolescents and adults against tuberculosis and, more broadly, for the off-target protective immunological effects against other infectious and noninfectious diseases. Within an international randomized controlled trial of BCG vaccination in healthcare workers (the BRACE trial), we evaluated the incidence of local and serious adverse events, as well as the impact of previous BCG vaccination on local injection site reactions (BCG revaccination). Prospectively collected data from 99% (5351/5393) of participants in Australia, Brazil, Spain, The Netherlands and the UK was available for analysis. Most BCG recipients experienced the expected self-limiting local injection site reactions (pain, tenderness, erythema, swelling). BCG injection site itch was an additional common initial local symptom reported in 49% of BCG recipients. Compared to BCG vaccination in BCG-naive individuals, BCG revaccination was associated with increased frequency of mild injection site reactions, as well as earlier onset and shorter duration of erythema and swelling, which were generally self-limiting. Injection site abscess and regional lymphadenopathy were the most common adverse events and had a benign course. Self-resolution occurred within a month in 80% of abscess cases and 100% of lymphadenopathy cases. At a time when BCG is being increasingly considered for its off-target effects, our findings indicate that BCG vaccination and revaccination have an acceptable safety profile in adults.</t>
  </si>
  <si>
    <t>[Villanueva, Paola; Crawford, Nigel W.; Messina, Nicole L.; Curtis, Nigel; Pittet, Laure F.] Univ Melbourne, Dept Paediat, Parkville, Vic, Australia; [Villanueva, Paola; Crawford, Nigel W.; Messina, Nicole L.; Curtis, Nigel; Pittet, Laure F.] Murdoch Childrens Res Inst, Infect &amp; Immun, Parkville, Vic, Australia; [Villanueva, Paola; Curtis, Nigel; Pittet, Laure F.] Royal Childrens Hosp Melbourne, Infect Dis, Parkville, Vic, Australia; [Villanueva, Paola; Crawford, Nigel W.] Royal Childrens Hosp Melbourne, Dept Gen Med, Parkville, Vic, Australia; [Crawford, Nigel W.] Royal Childrens Hosp Melbourne, Immunisat Serv, Parkville, Vic, Australia; [Croda, Mariana Garcia] Univ Fed Mato Grosso do Sul, Sch Med, Campo Grande, Brazil; [Collopy, Simone] Univ Estado Rio De Janeiro, Dept Pediat, Rio De Janeiro, Brazil; [Jardim, Bruno Araujo; Jardim, Tyane de Almeida Pinto] Fundacao Med Trop Dr Heitor Vieira Dourado, Carlos Borborema Clin Res Inst, Manaus, Brazil; [Marshall, Helen] Univ Adelaide, Adelaide, SA, Australia; [Marshall, Helen] Womens &amp; Childrens Hlth Network, Adelaide, SA, Australia; [Prat-Aymerich, Cristina; Troeman, Darren] Univ Utrecht, Univ Med Ctr Utrecht, Julius Ctr Hlth Sci &amp; Primary Care, Utrecht, Netherlands; Univ Autonoma Barcelona, Inst Invest Germans Trias i Pujol, CIBER Enfermedades Respiratorias CIBERES, Inst Salud Carlos III,Dept Genet &amp; Microbiol, Badalona, Spain; Royal Adelaide Hosp, Dept Thorac Med, Adelaide, SA, Australia; Natl Ctr Immunisat Res &amp; Surveillance, Westmead, NSW, Australia; Childrens Hosp Westmead, Westmead, NSW, Australia; Telethon Kids Inst, Wesfarmers Ctr Vaccines &amp; Infect Dis, Perth, WA, Australia; Univ Exeter, Med Res Council Ctr Med Mycol, Exeter, England; Great Ormond St Hosp Sick Children, Dept Infect Dis, London, England; Univ Sydney, Childrens Hosp, Westmead Clin Sch, Fac Med &amp; Hlth, Sydney, NSW, Australia; Univ Geneva, Univ Hosp Geneva, Fac Med, Infect Dis Unit,Dept Paediat Gynaecol &amp; Obstet, Geneva, Switzerland; [Villanueva, Paola; Curtis, Nigel] Univ Melbourne, Dept Paediat, Parkville, Vic 3052, Australia</t>
  </si>
  <si>
    <t>University of Melbourne; Murdoch Children's Research Institute; Royal Children's Hospital Melbourne; Royal Children's Hospital Melbourne; Royal Children's Hospital Melbourne; Universidade Federal de Mato Grosso do Sul; Universidade do Estado do Rio de Janeiro; University of Adelaide; Utrecht University; Utrecht University Medical Center; Autonomous University of Barcelona; Instituto de Salud Carlos III; CIBER - Centro de Investigacion Biomedica en Red; CIBERES; Royal Adelaide Hospital; University of Sydney; University of Sydney; Wesfarmers Limited; University of Western Australia; Telethon Kids Institute; University of Exeter; University of London; University College London; Great Ormond Street Hospital for Children NHS Foundation Trust; University of Sydney; University of Geneva; University of Melbourne</t>
  </si>
  <si>
    <t>Villanueva, P; Curtis, N (corresponding author), Univ Melbourne, Dept Paediat, Parkville, Vic 3052, Australia.</t>
  </si>
  <si>
    <t>paola.villanueva@rch.org.au; nigel.curtis@rch.org.au</t>
  </si>
  <si>
    <t>; PRAT AYMERICH, CRISTINA/R-3484-2016</t>
  </si>
  <si>
    <t>CRAWFORD, NIGEL/0000-0003-1851-5080; PRAT AYMERICH, CRISTINA/0000-0001-6974-9165; Jardim, Bruno/0000-0003-3465-7556; , TYANE DE ALMEIDA PINTO JARDIM/0000-0002-2104-2897</t>
  </si>
  <si>
    <t>10.1080/21645515.2023.2239088</t>
  </si>
  <si>
    <t>O3WM0</t>
  </si>
  <si>
    <t>WOS:001043153100001</t>
  </si>
  <si>
    <t>Wong, NS; Wong, BCK; Lee, MP; Tsang, OTY; Cheung, DKF; Sit, AYW; Wong, SYS; Lee, SS</t>
  </si>
  <si>
    <t>Wong, Ngai Sze; Wong, Bonnie Chun-Kwan; Lee, Man-Po; Tsang, Owen Tak-Yin; Cheung, Danny King Fai; Sit, Alfred Yao-Wai; Wong, Samuel Yeung-Shan; Lee, Shui-Shan</t>
  </si>
  <si>
    <t>Mpox vaccination for men who have sex with men and their differential risk of exposure and infection</t>
  </si>
  <si>
    <t>mpox; monkeypox; vaccination; MSM; HIV</t>
  </si>
  <si>
    <t>Following the post-COVID-19 reopening of the society with enhanced traveling between countries, people at risk of mpox infection, notably men who have sex with men (MSM) and people living with HIV, are facing increasing threat of virus exposure. Mpox vaccination is an important public health strategy which is provided free in Hong Kong to people at higher risk of infection. Between October 2022 and January 2023, 326 and 184 MSM vaccinees from vaccination sites and HIV specialist clinics in Hong Kong, respectively, were recruited for assessing their infection risks. Apart from the urge to protect one's significant others (68%), 45% were worried about the stigmatizing mpox symptoms if infected. Compared with MSM vaccinees at vaccination site, a lower proportion of MSM vaccinees in HIV care were sexually active in the past 6 months (88% vs 97%), but a higher proportion had recent sexually transmitted infection diagnoses (19% vs 10%) and perceived considerable exposure risk in the following 6 months (40% vs 22%). There were no differences in the perceived effectiveness of mpox vaccination. If optimal supplies of mpox vaccines can be secured, a low threshold approach at vaccination site could enable MSM with different levels of behavioral risks to become protected.</t>
  </si>
  <si>
    <t>[Wong, Ngai Sze; Lee, Shui-Shan] Chinese Univ Hong Kong, Stanley Ho Ctr Emerging Infect Dis, Hong Kong, Peoples R China; [Wong, Ngai Sze; Lee, Shui-Shan] Chinese Univ Hong Kong, SH Ho Res Ctr Infect Dis, Hong Kong, Peoples R China; [Wong, Ngai Sze; Wong, Samuel Yeung-Shan] Chinese Univ Hong Kong, JC Sch Publ Hlth &amp; Primary Care, Hong Kong, Peoples R China; [Wong, Bonnie Chun-Kwan; Cheung, Danny King Fai; Sit, Alfred Yao-Wai] Hong Kong Special Adm Reg Govt, Special Prevent Programme, Ctr Hlth Protect, Dept Hlth, Hong Kong, Peoples R China; [Lee, Man-Po] Queen Elizabeth Hosp, Dept Med, Hong Kong, Peoples R China; [Tsang, Owen Tak-Yin] Princess Margaret Hosp, Dept Med &amp; Geriatr, Hong Kong, Peoples R China; [Lee, Shui-Shan] Prince Wales Hosp, Stanley Ho Ctr Emerging Infect Dis, Postgrad Educ Ctr, Hong Kong, Peoples R China</t>
  </si>
  <si>
    <t>Chinese University of Hong Kong; Chinese University of Hong Kong; Chinese University of Hong Kong; Chinese University of Hong Kong; Prince of Wales Hospital</t>
  </si>
  <si>
    <t>Lee, SS (corresponding author), Prince Wales Hosp, Stanley Ho Ctr Emerging Infect Dis, Postgrad Educ Ctr, Hong Kong, Peoples R China.</t>
  </si>
  <si>
    <t>sslee@cuhk.edu.hk</t>
  </si>
  <si>
    <t>The authors thank the staff at Integrated Treatment Centre, Queen Elizabeth Hospital, Princess Margaret Hospital, and the vaccination sites for their contribution in study promotion and subject recruitment.; Queen Elizabeth Hospital</t>
  </si>
  <si>
    <t>The authors thank the staff at Integrated Treatment Centre, Queen Elizabeth Hospital, Princess Margaret Hospital, and the vaccination sites for their contribution in study promotion and subject recruitment.</t>
  </si>
  <si>
    <t>10.1080/21645515.2023.2252263</t>
  </si>
  <si>
    <t>Q7MV1</t>
  </si>
  <si>
    <t>WOS:001059337400001</t>
  </si>
  <si>
    <t>Hiep, TX; My, CA; Binh, PV; Hieu, L</t>
  </si>
  <si>
    <t>Xuan Hiep, Trinh; My, Chu Anh; Binh, Phung Van; Hieu, Le Chi</t>
  </si>
  <si>
    <t>Innovative development of a soft robotic gripper: mathematical modeling and grasping capability analysis</t>
  </si>
  <si>
    <t>Soft robotic gripper; mathematical modeling; robotic simulations; robotic dynamics; &gt;</t>
  </si>
  <si>
    <t>COMPLIANT; DESIGN; CLASSIFICATION; ACTUATORS; CURVATURE; STABILITY; STIFFNESS; HANDS</t>
  </si>
  <si>
    <t>Recently, most soft grippers rely on complex mechanisms or complicated structures, leading to challenging fabrication and mathematical modeling. This study presents an innovative soft-fingered gripper design with an asymmetric tube that has a variable cross-section, providing a simple yet effective solution for gripping tasks. The proposed mathematical modeling and solutions were successfully developed and experimentally validated to analyze the effects of the robot arm's motion on the gripping capability of the gripper. This innovation represents an improvement over existing designs and has the potential to enhance the design and efficient performance of soft robotic grippers.</t>
  </si>
  <si>
    <t>[Xuan Hiep, Trinh] Quy Don Tech Univ, Fac Mech Engn, Hanoi, Vietnam; [My, Chu Anh] Quy Don Tech Univ, Inst Simulat Technol, Hanoi, Vietnam; [Binh, Phung Van] Quy Don Tech Univ, Fac Aerosp Engn, Hanoi, Vietnam; [Hieu, Le Chi] Univ Greenwich, Fac Engn &amp; Sci, Kent, England; [My, Chu Anh] Quy Don Tech Univ, Inst Simulat Technol, 236 Hoang Quoc Viet, Hanoi 100000, Vietnam</t>
  </si>
  <si>
    <t>University of Greenwich</t>
  </si>
  <si>
    <t>My, CA (corresponding author), Quy Don Tech Univ, Inst Simulat Technol, 236 Hoang Quoc Viet, Hanoi 100000, Vietnam.</t>
  </si>
  <si>
    <t>mychuanh@yahoo.com</t>
  </si>
  <si>
    <t>Vingroup Innovation Foundation (VINIF) [VINIF.2019.DA08]</t>
  </si>
  <si>
    <t>Vingroup Innovation Foundation (VINIF)</t>
  </si>
  <si>
    <t>This work was supported by the Vingroup Innovation Foundation (VINIF) annual research support program under Grant VINIF.2019.DA08.</t>
  </si>
  <si>
    <t>10.1080/15397734.2023.2242919</t>
  </si>
  <si>
    <t>O6GT3</t>
  </si>
  <si>
    <t>WOS:001044777100001</t>
  </si>
  <si>
    <t>Zhang, XY; Xia, JY; Jin, LR; Wu, YF; Zheng, XY; Cao, X; Meng, XC; Li, JX; Zhu, FC</t>
  </si>
  <si>
    <t>Zhang, Xiaoyin; Xia, Jiayue; Jin, Lairun; Wu, Yanfei; Zheng, Xiuyu; Cao, Xiang; Meng, Xingchen; Li, Jingxin; Zhu, Fengcai</t>
  </si>
  <si>
    <t>Effectiveness of homologous or heterologous immunization regimens against SARS-CoV-2 after two doses of inactivated COVID-19 vaccine: A systematic review and meta-analysis</t>
  </si>
  <si>
    <t>SARS-CoV-2; COVID-19; inactivated vaccine; effectiveness; efficacy; meta-analysis</t>
  </si>
  <si>
    <t>SAFETY; IMMUNOGENICITY; INFECTION; PNEUMONIA; ADULTS; CHINA</t>
  </si>
  <si>
    <t>We aimed to evaluate the effectiveness or efficacy of heterologous or homologous COVID-19 vaccine regimens against COVID-19-related outcomes after primary immunization with two doses of CoronaVac or Sinopharm COVID-19 vaccines. PubMed, EMBASE, Web of Science, and Cochrane Library databases were searched up to 31 October 2022. The primary measure was vaccine effectiveness against COVID-19 infection with homologous or heterologous booster. The results showed heterologous and homologous booster significantly improved effectiveness against COVID-19 infection compared to primary immunization. The effectiveness against COVID-19 infection was 89.19% (95%CI 78.49, 99.89) for heterologous mRNA vaccine booster, 87.00% (95%CI 82.14, 91.85) for non-replicating vector vaccine booster, 69.99% (95%CI 52.16, 87.82) for homologous booster, and 51.48% (95%CI 41.75, 61.21) for two doses of inactivated vaccine. Homologous and heterologous regimens were also effective against SARS-CoV-2 variants, and more evidence is still needed to confirm our findings.</t>
  </si>
  <si>
    <t>[Zhang, Xiaoyin; Xia, Jiayue; Jin, Lairun; Wu, Yanfei; Cao, Xiang; Meng, Xingchen; Li, Jingxin; Zhu, Fengcai] Jiangsu Prov Ctr Dis Control &amp; Prevent, 172 Jiangsu Rd, Nanjing 210009, Peoples R China; [Zheng, Xiuyu] CanSino Biol Inc, Res &amp; Dev Ctr, Tianjin, Peoples R China; [Li, Jingxin; Zhu, Fengcai] Jiangsu Prov Ctr Dis Control &amp; Prevent, Natl Hlth Commiss NHC Key Lab Enter Pathogen Micro, Nanjing, Peoples R China; [Li, Jingxin; Zhu, Fengcai] China Pharmaceut Univ, Inst Global Hlth &amp; Emergency Pharm, Nanjing, Peoples R China; [Li, Jingxin; Zhu, Fengcai] Nanjing Med Univ, Ctr Global Hlth, Sch Publ Hlth, Nanjing, Jiangsu, Peoples R China; [Zhu, Fengcai] Southeast Univ, Sch Publ Hlth, 87 Hunan Rd, Nanjing 210009, Peoples R China</t>
  </si>
  <si>
    <t>Jiangsu Provincial Center for Disease Control &amp; Prevention; Jiangsu Provincial Center for Disease Control &amp; Prevention; China Pharmaceutical University; Nanjing Medical University; Southeast University - China</t>
  </si>
  <si>
    <t>Li, JX; Zhu, FC (corresponding author), Jiangsu Prov Ctr Dis Control &amp; Prevent, 172 Jiangsu Rd, Nanjing 210009, Peoples R China.;Zhu, FC (corresponding author), Southeast Univ, Sch Publ Hlth, 87 Hunan Rd, Nanjing 210009, Peoples R China.</t>
  </si>
  <si>
    <t>jingxin42102209@126.com; jszfc@vip.sina.com</t>
  </si>
  <si>
    <t>xin, li/JCO-3925-2023; sun, bo/JFA-9978-2023</t>
  </si>
  <si>
    <t>10.1080/21645515.2023.2221146</t>
  </si>
  <si>
    <t>J6AL2</t>
  </si>
  <si>
    <t>WOS:001010421300001</t>
  </si>
  <si>
    <t>Zhao, J; Liao, B; Gong, L; Yang, HY; Li, S; Li, YS</t>
  </si>
  <si>
    <t>Zhao, Juan; Liao, Bin; Gong, Li; Yang, Huiyao; Li, Sha; Li, Yongsheng</t>
  </si>
  <si>
    <t>Knowledge mapping of therapeutic cancer vaccine from 2013 to 2022: A bibliometric and visual analysis</t>
  </si>
  <si>
    <t>Therapeutic cancer vaccine; bibliometric analysis; immunotherapy; knowledge map; VOSviewer; Citespace</t>
  </si>
  <si>
    <t>TUMOR MICROENVIRONMENT; IMMUNOTHERAPY; BLOCKADE</t>
  </si>
  <si>
    <t>The investigation of therapeutic cancer vaccines has been ongoing for the past century. Herein, we used VOSviewer and CiteSpace to perform the first global bibliometric analysis of the literature on therapeutic cancer vaccines from 2013 to 2022 aiming to explore the current status and potential research trends. The findings revealed a consistent upward trend in both publication counts and citations. The United States emerged as the leading contributor with the highest number of published papers. Additionally, the analysis of references and keywords indicated that therapeutic cancer vaccines have long been popular topics, whereas neoantigen vaccines, mRNA vaccines, combination strategies, and vaccine delivery systems are emerging research hotspots. This bibliometric study provides a comprehensive and important overview of the current knowledge and potential developments in therapeutic cancer vaccines from 2013 to 2022, which may serve as a valuable reference for scholars interested in further exploring this promising field.</t>
  </si>
  <si>
    <t>[Zhao, Juan; Liao, Bin; Gong, Li; Yang, Huiyao; Li, Sha; Li, Yongsheng] Chongqing Univ, Canc Hosp, Clin Trial Ctr, Dept Phase 1, Chongqing, Peoples R China; [Li, Yongsheng] Chongqing Univ, Canc Hosp, Clin Trial Ctr, Dept Phase 1, 181 Hanyu Rd, Chongqing 400030, Peoples R China</t>
  </si>
  <si>
    <t>Chongqing University; Chongqing University</t>
  </si>
  <si>
    <t>Li, YS (corresponding author), Chongqing Univ, Canc Hosp, Clin Trial Ctr, Dept Phase 1, 181 Hanyu Rd, Chongqing 400030, Peoples R China.</t>
  </si>
  <si>
    <t>lys@cqu.edu.cn</t>
  </si>
  <si>
    <t>Major International (Regional) Joint Research Program of the National Natural Science Foundation of China [81920108027]; Chongqing Outstanding Youth Science Fundation [cstc2020jcyj-jqX0030]; Funding for Chongqing University Innovation Research Group; Funding for Chongqing Young and Middle-Aged Medical Excellence Team</t>
  </si>
  <si>
    <t>Major International (Regional) Joint Research Program of the National Natural Science Foundation of China; Chongqing Outstanding Youth Science Fundation; Funding for Chongqing University Innovation Research Group; Funding for Chongqing Young and Middle-Aged Medical Excellence Team</t>
  </si>
  <si>
    <t>This work was supported by the Major International (Regional) Joint Research Program of the National Natural Science Foundation of China [No. 81920108027], Chongqing Outstanding Youth Science Fundation [No. cstc2020jcyj-jqX0030], and Chongqing Science and Technology Innovation Leading Talent Support Program [No. cstc2021ycjh-bgzxm0073], Funding for Chongqing University Innovation Research Group, and Funding for Chongqing Young and Middle-Aged Medical Excellence Team.</t>
  </si>
  <si>
    <t>10.1080/21645515.2023.2254262</t>
  </si>
  <si>
    <t>S0NN3</t>
  </si>
  <si>
    <t>WOS:001068224100001</t>
  </si>
  <si>
    <t>RETRACTION: Effects of Ag-decoration on the adsorption and detection of toxic OF2 gas on a GaN nanotube (Retraction of Vol 48, Pg 1426, 2022)</t>
  </si>
  <si>
    <t>MOLECULAR SIMULATION</t>
  </si>
  <si>
    <t>0892-7022</t>
  </si>
  <si>
    <t>1029-0435</t>
  </si>
  <si>
    <t>MOL SIMULAT</t>
  </si>
  <si>
    <t>Mol. Simul.</t>
  </si>
  <si>
    <t>10.1080/08927022.2023.2242678</t>
  </si>
  <si>
    <t>P3NA9</t>
  </si>
  <si>
    <t>WOS:001049731600001</t>
  </si>
  <si>
    <t>Shklarski, L; Paz, Y; Latzer, Y; Ray, K</t>
  </si>
  <si>
    <t>Shklarski, Liat; Paz, Yaara; Latzer, Yael; Ray, Kathleen</t>
  </si>
  <si>
    <t>Impact of COVID-19 pandemic on the emotional and cognitive experiences of social work students in Israel</t>
  </si>
  <si>
    <t>SOCIAL WORK EDUCATION</t>
  </si>
  <si>
    <t>Social work studies; remote learning; learning experiences; COVID-19 pandemic; coping with stress; &gt;</t>
  </si>
  <si>
    <t>2-TRACK MODEL; BEREAVEMENT; TRANSITION</t>
  </si>
  <si>
    <t>During the COVID-19 pandemic, higher education institutions worldwide transitioned to remote learning. These transitions continue to create difficulties and dilemmas for students and instructors. The challenges surrounding the remote teaching of helping professions, such as social work, have been particularly pronounced and have impacted the student learning experience. This study aimed to examine the emotional and cognitive experiences of 150 Israeli social work students who transitioned to remote learning during the spread of COVID-19. Students' emotional adjustment to remote learning was assessed using the Kubler-Ross five emotional stages of grief. The findings highlight students' mixed emotions. Despite more than half of respondents stating that remote learning negatively impacted teaching quality and made it difficult to achieve the same level of intimacy as in-person practice classes, most participants recognized the advantages of remote learning and were open to it in the future. The current study looks at emergency remote learning as a new phenomenon influencing the future of social work teaching policies, creates a foundation for understanding the complexity of remote learning in the social work profession, and offers opportunities to learn from experience and engage in further research.</t>
  </si>
  <si>
    <t>[Shklarski, Liat] Ramapo Coll, Social Work Program, Mahwah, NJ USA; [Paz, Yaara] Univ Haifa Israel, Sch Social Work, Haifa, Israel; [Latzer, Yael] Univ Haifa Israel, Sch Social Work, Social Welf &amp; Hlth Sci, Haifa, Israel; [Ray, Kathleen] Ramapo Coll, Social Work, Mahwah, NJ USA; [Shklarski, Liat] Ramapo Coll, Sch Social Sci &amp; Human Serv, 505 Ramapo Valley Rd, Mahwah, NJ 07430 USA</t>
  </si>
  <si>
    <t>Ramapo College New Jersey (RCNJ); Ramapo College New Jersey (RCNJ); Ramapo College New Jersey (RCNJ)</t>
  </si>
  <si>
    <t>Shklarski, L (corresponding author), Ramapo Coll, Sch Social Sci &amp; Human Serv, 505 Ramapo Valley Rd, Mahwah, NJ 07430 USA.</t>
  </si>
  <si>
    <t>lshklarski@gmail.com</t>
  </si>
  <si>
    <t>0261-5479</t>
  </si>
  <si>
    <t>1470-1227</t>
  </si>
  <si>
    <t>SOC WORK EDUC</t>
  </si>
  <si>
    <t>Soc. Work Educ.</t>
  </si>
  <si>
    <t>2023 JUL 31</t>
  </si>
  <si>
    <t>10.1080/02615479.2023.2241488</t>
  </si>
  <si>
    <t>JUL 2023</t>
  </si>
  <si>
    <t>O0GH5</t>
  </si>
  <si>
    <t>WOS:001040686300001</t>
  </si>
  <si>
    <t>Xu, MZ; Cui, CY; Xu, CS; Zhang, P; Zhao, JT</t>
  </si>
  <si>
    <t>Xu, Minze; Cui, Chunyi; Xu, Chengshun; Zhang, Peng; Zhao, Jingtong</t>
  </si>
  <si>
    <t>Seismic Risk Analysis of Subway Station Structures Combining the Epistemic Uncertainties from Both Seismic Hazard and Numerical Simulation</t>
  </si>
  <si>
    <t>JOURNAL OF EARTHQUAKE ENGINEERING</t>
  </si>
  <si>
    <t>Subway station structure; aleatory uncertainty; epistemic uncertainty; uncertainty propagation; seismic risk; Monte Carlo simulation; &gt;</t>
  </si>
  <si>
    <t>UNDERGROUND STRUCTURES; MOUNTAIN TUNNELS; DAIKAI SUBWAY; DAMAGE; QUANTIFICATION; PERFORMANCE; VALIDATION; FRAMEWORK; FRAGILITY; COLLAPSE</t>
  </si>
  <si>
    <t>To consider the influence of epistemic uncertainties in both seismic hazard and numerical simulation on seismic risk of subway station structures, the uncertainties mentioned above are uniformly characterized as the epistemic uncertainty of seismic demand of subway station structures from the perspective of uncertainty propagation in this paper. On this basis, the analytical formulations of seismic risk considering simultaneous aleatory and epistemic uncertainties are derived. The validity of the derived analytical formulations is verified by the Monte Carlo simulation and the influences of epistemic uncertainty on the seismic risk of subway station structure are further discussed.</t>
  </si>
  <si>
    <t>[Xu, Minze; Cui, Chunyi; Zhang, Peng; Zhao, Jingtong] Dalian Maritime Univ, Dept Civil Engn, Dalian, Peoples R China; [Xu, Chengshun] Beijing Univ Technol, Key Lab Urban Secur &amp; Disaster Engn, Minist Educ, Beijing, Peoples R China; [Cui, Chunyi] Dalian Maritime Univ, Dept Civil Engn, Dalian 116026, Liaoning, Peoples R China</t>
  </si>
  <si>
    <t>Dalian Maritime University; Beijing University of Technology; Dalian Maritime University</t>
  </si>
  <si>
    <t>Cui, CY (corresponding author), Dalian Maritime Univ, Dept Civil Engn, Dalian 116026, Liaoning, Peoples R China.</t>
  </si>
  <si>
    <t>cuichunyi@dlmu.edu.cn</t>
  </si>
  <si>
    <t>National Key Research and Development Program of China [2021YFB2601102]; National Natural Science Foundation of China [52178315, 51578100]</t>
  </si>
  <si>
    <t>National Key Research and Development Program of China; National Natural Science Foundation of China(National Natural Science Foundation of China (NSFC))</t>
  </si>
  <si>
    <t>This work was supported by the National Key Research and Development Program of China under Grant [2021YFB2601102], the National Natural Science Foundation of China under Grant [52178315 &amp; 51578100].</t>
  </si>
  <si>
    <t>1363-2469</t>
  </si>
  <si>
    <t>1559-808X</t>
  </si>
  <si>
    <t>J EARTHQ ENG</t>
  </si>
  <si>
    <t>J. Earthqu. Eng.</t>
  </si>
  <si>
    <t>10.1080/13632469.2023.2240452</t>
  </si>
  <si>
    <t>Engineering, Civil; Engineering, Geological; Geosciences, Multidisciplinary</t>
  </si>
  <si>
    <t>N9PK5</t>
  </si>
  <si>
    <t>WOS:001040245100001</t>
  </si>
  <si>
    <t>Abesamis, LEA</t>
  </si>
  <si>
    <t>Abesamis, Luis Emmanuel A.</t>
  </si>
  <si>
    <t>Behavioural responses to SOGIE-based harassment among university students: a qualitative study on bystander intervention in the Philippines</t>
  </si>
  <si>
    <t>SOGIE-based harassment; LGBTQI+ community; bystander intervention; university students; Philippines; &gt;</t>
  </si>
  <si>
    <t>PREVENT SEXUAL VIOLENCE; MODEL; GAY; IMPACT; MEN</t>
  </si>
  <si>
    <t>In the Philippines, rising incidences of harassment directed at Filipinos who identify as lesbian, gay, bisexual, trans, queer, and intersex (LGBTQI+) are part and parcel of the systemic prejudice and discrimination based on an individual's sexual orientation, gender identity, and expression (SOGIE). In the absence of a national anti-discrimination legislation, the burden to confront SOGIE-based harassment (SBH) rests upon the LGBTQI+ community and their allies. In-depth interviews with five (5) Filipino university students foreground how those with salient distinct identities from targets of harassment surfacedg hesitations and barriers to successfully intervening (e.g. cisgender and heterosexual bystanders vis-a-vis LGBTQI+ targets of harassment), while bystanders who associate with victims of SBH, either by acknowledging them as friends or as fellow human beings, articulated substantial motivation and greater ease in intervening. Taken together, the recognition of shared identities in others - or kapwa-fosters bystander intervention as it counteracts the inhumane treatment targeted at LGBTQI+ individuals whom the bystander considers equal and no different from them.</t>
  </si>
  <si>
    <t>[Abesamis, Luis Emmanuel A.] Univ Philippines Manila, Dept Behav Sci, Manila, Philippines; [Abesamis, Luis Emmanuel A.] Univ Philippines Manila, Coll Arts &amp; Sci, Dept Behav Sci, Manila, Philippines</t>
  </si>
  <si>
    <t>University of the Philippines System; University of the Philippines Manila; University of the Philippines System; University of the Philippines Manila</t>
  </si>
  <si>
    <t>Abesamis, LEA (corresponding author), Univ Philippines Manila, Coll Arts &amp; Sci, Dept Behav Sci, Manila, Philippines.</t>
  </si>
  <si>
    <t>laabesamis@up.edu.ph</t>
  </si>
  <si>
    <t>Abesamis, Luis Emmanuel/GYU-7142-2022</t>
  </si>
  <si>
    <t>Abesamis, Luis Emmanuel/0000-0003-4512-3779</t>
  </si>
  <si>
    <t>2023 JUL 30</t>
  </si>
  <si>
    <t>10.1080/19419899.2023.2241863</t>
  </si>
  <si>
    <t>N5HM9</t>
  </si>
  <si>
    <t>WOS:001037321100001</t>
  </si>
  <si>
    <t>Kelty, E; Chitty, K; Preen, DB</t>
  </si>
  <si>
    <t>Kelty, Erin; Chitty, Kate; Preen, David B.</t>
  </si>
  <si>
    <t>Safety of Alprazolam Use in Pregnancy in Western Australia: A Retrospective Cohort Study Using Linked Health Data</t>
  </si>
  <si>
    <t>JOURNAL OF PSYCHOACTIVE DRUGS</t>
  </si>
  <si>
    <t>Alprazolam; benzodiazepines; pregnancy; neonates; &gt;</t>
  </si>
  <si>
    <t>BENZODIAZEPINE-RELATED DRUGS; EXPOSURE; OUTCOMES; WOMEN; RISK</t>
  </si>
  <si>
    <t>The use of alprazolam in pregnancy can adversely affect maternal and neonatal health. This study examined neonatal outcomes following exposure to alprazolam in pregnancy. Women prescribed alprazolam during pregnancy (n = 48) between 2014 and 2018 were identified from routinely-collected state administrative prescribing records and perinatal data. Two comparison groups of women; 1) prescribed alprazolam outside of pregnancy (n = 96) and 2) women never prescribed alprazolam (n = 96) were also identified. The health of women and their children was examined using administrative hospital, mortality and perinatal data and compared to the comparison groups using generalized linear models. Prenatal alprazolam exposure was not associated with a reduction in average birth weight or gestational age. However, neonates prenatally exposed to alprazolam were more likely be classified as having low birth weight for gestational age compared with alprazolam comparison group (OR: 4.46, 95% CI: 1.54-12.95) and the non-alprazolam comparison group (OR: 3.27, 95% CI: 1.22-8.79). There were no cases of perinatal mortality or floppy baby syndrome in alprazolam-exposed neonates. While the use of alprazolam during pregnancy was not associated with an increased risk of severe adverse neonatal outcomes (e.g. perinatal mortality), it was associated with neonates being born with a low birth weight for gestational age.</t>
  </si>
  <si>
    <t>[Kelty, Erin; Chitty, Kate; Preen, David B.] Univ Western Australia, Sch Populat &amp; Global Hlth, 35 Stirling Highway, Crawley, WA 6009, Australia; [Chitty, Kate] Univ Sydney, Sch Med Sci, Camperdown, NSW, Australia</t>
  </si>
  <si>
    <t>University of Western Australia; University of Sydney</t>
  </si>
  <si>
    <t>Kelty, E (corresponding author), Univ Western Australia, Sch Populat &amp; Global Hlth, 35 Stirling Highway, Crawley, WA 6009, Australia.</t>
  </si>
  <si>
    <t>erin.kelty@uwa.edu.au</t>
  </si>
  <si>
    <t>Preen, David/H-5663-2014</t>
  </si>
  <si>
    <t>Preen, David/0000-0002-2982-2169; Kelty, Erin/0000-0002-0841-2216; Chitty, Kate/0000-0002-7119-8953</t>
  </si>
  <si>
    <t>Western Australia Department of Health; National Health and Medical Research Council Emerging Leader Fellowship</t>
  </si>
  <si>
    <t>Western Australia Department of Health; National Health and Medical Research Council Emerging Leader Fellowship(National Health and Medical Research Council (NHMRC) of Australia)</t>
  </si>
  <si>
    <t>Funding for this study was provided by the Western Australia Department of Health via a Merit Award received by EK. EK is supported by a National Health and Medical Research Council Emerging Leader Fellowship.</t>
  </si>
  <si>
    <t>0279-1072</t>
  </si>
  <si>
    <t>2159-9777</t>
  </si>
  <si>
    <t>J PSYCHOACTIVE DRUGS</t>
  </si>
  <si>
    <t>J. Psychoact. Drugs</t>
  </si>
  <si>
    <t>10.1080/02791072.2023.2241465</t>
  </si>
  <si>
    <t>Psychology, Clinical; Substance Abuse</t>
  </si>
  <si>
    <t>Psychology; Substance Abuse</t>
  </si>
  <si>
    <t>N8LQ8</t>
  </si>
  <si>
    <t>WOS:001039469000001</t>
  </si>
  <si>
    <t>Kitagawa, Y; Thorpe, D; Bernard, K</t>
  </si>
  <si>
    <t>Kitagawa, Yukihiro; Thorpe, Daneele; Bernard, Kristin</t>
  </si>
  <si>
    <t>Ecological Predictors of Maternal Nurturance to Distress and Beliefs About Infant Crying: Examining the Roles of Household and Neighborhood Resources</t>
  </si>
  <si>
    <t>PARENTING-SCIENCE AND PRACTICE</t>
  </si>
  <si>
    <t>MOTHER ATTACHMENT; SOCIAL COMPETENCE; CUMULATIVE RISK; SENSITIVITY; BEHAVIOR; CONTEXT; NONDISTRESS; RESPONSES; SYMPTOMS; SECURITY</t>
  </si>
  <si>
    <t>SYNOPSISObjective. Maternal nurturance to infant distress is associated with positive child developmental outcomes including greater attachment security, emotion regulation skills, and social and behavioral competencies. However, factors at multiple levels of parents' environments may impede parents' ability to respond sensitively to their infants' distress. This study examined whether household-level burden (low maternal education, financial need) and neighborhood-level resources (distribution of educational, health/environmental, and socio/economic resources in a community) are associated with parents' beliefs about infant crying and observed maternal nurturance to infant distress. Design. Ninety-nine mothers (M age = 28.99 years, SD = 5.41) of 6- to 12- month-old infants (42.4% female) completed questionnaires assessing household-level burden as well as the Infant Crying Questionnaire (ICQ) during a home visit. Mother-infant interactions were also filmed to assess maternal sensitivity to infant distress. Results. In separate models, higher household burden and reduced neighborhood resources were associated with increased maladaptive beliefs about infant crying and reduced nurturance to distress. When considered together, household burden was uniquely associated with maternal nurturance. Conclusions. Implications for intervention include considering efforts at both the household and neighborhood levels to address multi-systemic disparities that families experience in efforts to promote greater maternal nurturance.</t>
  </si>
  <si>
    <t>[Kitagawa, Yukihiro; Thorpe, Daneele; Bernard, Kristin] SUNY Stony Brook, Dept Psychol, Stony Brook, NY 11794 USA</t>
  </si>
  <si>
    <t>State University of New York (SUNY) System; State University of New York (SUNY) Stony Brook</t>
  </si>
  <si>
    <t>Kitagawa, Y (corresponding author), SUNY Stony Brook, Dept Psychol, Stony Brook, NY 11794 USA.</t>
  </si>
  <si>
    <t>yukihiro.kitagawa@stonybrook.edu</t>
  </si>
  <si>
    <t>1529-5192</t>
  </si>
  <si>
    <t>1532-7922</t>
  </si>
  <si>
    <t>PARENT-SCI PRACT</t>
  </si>
  <si>
    <t>Parent.-Sci. Pract.</t>
  </si>
  <si>
    <t>10.1080/15295192.2023.2236171</t>
  </si>
  <si>
    <t>Family Studies; Psychology, Developmental</t>
  </si>
  <si>
    <t>Family Studies; Psychology</t>
  </si>
  <si>
    <t>N6MT3</t>
  </si>
  <si>
    <t>WOS:001038136300001</t>
  </si>
  <si>
    <t>Losurdo, G; Di Leo, M; Rizzi, S; Lacavalla, I; Celiberto, F; Iannone, A; Rendina, M; Ierardi, E; Iabichino, G; De Luca, L; Di Leo, A</t>
  </si>
  <si>
    <t>Losurdo, Giuseppe; Di Leo, Milena; Rizzi, Salvatore; Lacavalla, Ilaria; Celiberto, Francesca; Iannone, Andrea; Rendina, Maria; Ierardi, Enzo; Iabichino, Giuseppe; De Luca, Luca; Di Leo, Alfredo</t>
  </si>
  <si>
    <t>Familial intestinal polyposis and device assisted enteroscopy: where do we stand?</t>
  </si>
  <si>
    <t>endoscopy; small bowel; double balloon enteroscopy; Lynch syndrome; FAP; Peutz-jeghers syndrome; &gt;</t>
  </si>
  <si>
    <t>DOUBLE-BALLOON ENTEROSCOPY; PEUTZ-JEGHERS-SYNDROME; SMALL-BOWEL DISORDERS; ADENOMATOUS POLYPOSIS; CAPSULE ENDOSCOPY; SPIRAL ENTEROSCOPY; SINGLE; SOCIETY; SURVEILLANCE; FEASIBILITY</t>
  </si>
  <si>
    <t>IntroductionHereditary polyposis syndromes are a group of inherited disorders associated with a high risk of developing colorectal cancer. The best known ones are familial adenomatous polyposis (FAP), Peutz-Jeghers (PJS), juvenile polyposis and Cowden syndromes, as well as conditions predisposing to cancer, such as Lynch syndrome. Some of them are characterized by an increased risk of small bowel polyps occurrence.Areas coveredLiterature search in PubMed was performed in November 2022 and a narrative review was carried out. Since performing small bowel polypectomy is important in such patients, device assisted enteroscopy (DAE) is the key for this procedure. A screening strategy for small bowel polyps is recommended only for PJS. Guidelines endorse either magnetic resonance imaging (MRI) or videocapsule endoscopy (VCE) every 1-3 years, according to the phenotype of the disease. Enteroscopy should be considered for therapeutic purpose in patients with a positive VCE or MRI. DAE has a central role in the resection of polyps larger than mm or causing symptoms of subocclusion or intussusception. Both single (SBE) and double balloon enteroscopy (DBE) are indicated and able to resect polyps up to 6-10 cm. American guidelines have restricted the indications to small bowel enteroscopy only to FAP patients with grade IV Spiegelman.Expert opinionOnly some groups of patients (PJS, FAP with demonstrated small bowel polyp burden) may benefit from DAE.</t>
  </si>
  <si>
    <t>[Losurdo, Giuseppe; Rizzi, Salvatore; Lacavalla, Ilaria; Celiberto, Francesca; Iannone, Andrea; Rendina, Maria; Ierardi, Enzo; Di Leo, Alfredo] Univ Bari, Dept Precis &amp; Regenerat Med &amp; Ionian Area, Sect Gastroenterol, Bari, Italy; [Di Leo, Milena; Iabichino, Giuseppe; De Luca, Luca] ASST Santi Paolo &amp; Carlo, Digest Endoscopy Unit, Milan, Italy; [Losurdo, Giuseppe] Univ Bari, Dept Precis &amp; Regenerat Med &amp; Ionian Area, Sect Gastroenterol, Piazza Giulio Cesare 11, I-70124 Bari, Italy</t>
  </si>
  <si>
    <t>Universita degli Studi di Bari Aldo Moro; Universita degli Studi di Bari Aldo Moro</t>
  </si>
  <si>
    <t>Losurdo, G (corresponding author), Univ Bari, Dept Precis &amp; Regenerat Med &amp; Ionian Area, Sect Gastroenterol, Piazza Giulio Cesare 11, I-70124 Bari, Italy.</t>
  </si>
  <si>
    <t>giuseppelos@alice.it</t>
  </si>
  <si>
    <t>Ierardi, Enzo/0000-0001-7275-5080; Losurdo, Giuseppe/0000-0001-7038-3287</t>
  </si>
  <si>
    <t>10.1080/17474124.2023.2242240</t>
  </si>
  <si>
    <t>Q2CN9</t>
  </si>
  <si>
    <t>WOS:001037324500001</t>
  </si>
  <si>
    <t>Menshchikov, K; Menshchikov, M; Yurasov, D; Artamonov, A</t>
  </si>
  <si>
    <t>Menshchikov, Konstantin; Menshchikov, Mikhail; Yurasov, Dmitry; Artamonov, Anton</t>
  </si>
  <si>
    <t>Risk factors for penile prosthesis infection: An umbrella review and meta-analysis</t>
  </si>
  <si>
    <t>ARAB JOURNAL OF UROLOGY</t>
  </si>
  <si>
    <t>penile prosthesis infection; diabetes mellitus; glycated hemoglobin (HbA1c); antibiotic-coated; type of penile prosthesis; &gt;</t>
  </si>
  <si>
    <t>BackgroundAs available data on implantation-related infections is contradictory, the aim was to identify the predictors of penile prosthesis infection.MethodsWe performed an umbrella review and meta-analysis including systematic reviews with extractable data. Literature search was done in two databases: PubMed and Google Scholar. The participants were males with erectile dysfunction regardless of etiology who underwent penile implant surgery. Using a standardized form, three trained researchers reviewed each reference (systematic review) by title and abstract. The meta-analysis was performed using Review Manager 5.4.1 (RevMan &amp; REG; 5.4.1).ResultsA total of 78 systematic reviews were identified with the search strategies. Of these, 35 duplicates were removed. Thirty-seven full-text reviews were then excluded after revision. Six systematic reviews with a total of 271,226 patients (156,553 patients in the study group and 114,673 patients in the control group) were included in the meta-analysis. The analysis identified various predictors of adverse outcomes (infection). Among them were glycated hemoglobin (HbA1c) and different characteristics of penile implants.ConclusionsThe systematic review and meta-analysis revealed significant risk factors/predictors of penile prosthesis infection: glycated hemoglobin levels; reoperation, and two predictors associated with the type of penile prosthesis. The weighted mean HbA1c levels of patients with and without infections were 8.37% and 7.17% respectively. The OR was as follows: first surgery/revision OR 0.36 (95% CI 0.29-0.45); antibiotic-coated/non-coated prosthesis OR 0.47 (95% CI 0.31-0.72); malleable/inflatable prosthesis OR 3.51 (95% CI 1.41-8.74).</t>
  </si>
  <si>
    <t>[Menshchikov, Konstantin; Menshchikov, Mikhail; Yurasov, Dmitry] Russian Med Acad Continuing Profess Educ RMANPO, Moscow, Russia; [Artamonov, Anton] Russian Acad Sci, Inst Biomed Problems, Moscow, Russia; [Menshchikov, Konstantin] Russian Med Acad Continuing Profess Educ RMANPO, St Barrikadnaya,2 1,Bldg 1, Moscow 125993, Russia</t>
  </si>
  <si>
    <t>Russian Academy of Sciences; Institute of Biomedical Problems of the Russian Academy of Sciences</t>
  </si>
  <si>
    <t>Menshchikov, K (corresponding author), Russian Med Acad Continuing Profess Educ RMANPO, St Barrikadnaya,2 1,Bldg 1, Moscow 125993, Russia.</t>
  </si>
  <si>
    <t>dr.menshchikov.konstantin@gmail.com</t>
  </si>
  <si>
    <t>Yurasov, Dmitry/0009-0005-3878-4482</t>
  </si>
  <si>
    <t>2090-598X</t>
  </si>
  <si>
    <t>2090-5998</t>
  </si>
  <si>
    <t>ARAB J UROL</t>
  </si>
  <si>
    <t>Arab J. Urol.</t>
  </si>
  <si>
    <t>10.1080/2090598X.2023.2242204</t>
  </si>
  <si>
    <t>N8IK9</t>
  </si>
  <si>
    <t>WOS:001039385000001</t>
  </si>
  <si>
    <t>Morujao, C; Leite, AMT</t>
  </si>
  <si>
    <t>Morujao, Carlos; Leite, Angela Maria Teixeira</t>
  </si>
  <si>
    <t>Somatization and embodiment</t>
  </si>
  <si>
    <t>PHILOSOPHICAL PSYCHOLOGY</t>
  </si>
  <si>
    <t>Embodiment; psychosomatics; psycho-physical unity; somatization; &gt;</t>
  </si>
  <si>
    <t>PSYCHOSOMATIC-MEDICINE; SOMATIC SYMPTOMS; DISORDERS; CLASSIFICATION; CRITERIA</t>
  </si>
  <si>
    <t>This paper aims to explain the concepts of somatization and embodiment, clarifying their meaning and establishing points of contact and differentiation between them. To this end, a review of the concepts was carried out both in the psychological and the philosophical literature. We claim that a psychological account of somatization of psychical processes (whether of a pathological nature or not) must take into account the basic anthropological feature of human beings that consists in the fact that they are psycho-physical units. Philosophical literature on the subject can be of some help to psychologists (we also claim), since it enlightens the fact that there is no lived experience of the world and of others, at least in the so-called normal cases, where the abovementioned unity is not immediately present.</t>
  </si>
  <si>
    <t>[Morujao, Carlos; Leite, Angela Maria Teixeira] Portuguese Catholic Univ, Ctr Philosoph &amp; Humanistic Studies, Braga, Portugal; [Leite, Angela Maria Teixeira] Portuguese Catholic Univ, Ctr Philosoph &amp; Humanistic Studies, Praca Fac, P-4710297 Braga, Portugal</t>
  </si>
  <si>
    <t>Universidade Catolica Portuguesa; Universidade Catolica Portuguesa</t>
  </si>
  <si>
    <t>Leite, AMT (corresponding author), Portuguese Catholic Univ, Ctr Philosoph &amp; Humanistic Studies, Praca Fac, P-4710297 Braga, Portugal.</t>
  </si>
  <si>
    <t>aleite@ucp.pt</t>
  </si>
  <si>
    <t>Morujao, Carlos/L-8690-2017</t>
  </si>
  <si>
    <t>Morujao, Carlos/0000-0001-9943-8229</t>
  </si>
  <si>
    <t>0951-5089</t>
  </si>
  <si>
    <t>1465-394X</t>
  </si>
  <si>
    <t>PHILOS PSYCHOL</t>
  </si>
  <si>
    <t>Philos. Psychol.</t>
  </si>
  <si>
    <t>10.1080/09515089.2023.2241498</t>
  </si>
  <si>
    <t>N5LQ9</t>
  </si>
  <si>
    <t>WOS:001037429700001</t>
  </si>
  <si>
    <t>Sagaris, L; Penafiel, J; Orellana, R; Guajardo, MF</t>
  </si>
  <si>
    <t>Sagaris, Lake; Penafiel, Javier; Orellana, Romina; Guajardo, Maria Fernanda</t>
  </si>
  <si>
    <t>Participatory pedagogies enhance engineering education for sustainability</t>
  </si>
  <si>
    <t>EDUCATIONAL ACTION RESEARCH</t>
  </si>
  <si>
    <t>UN sustainable development goals; UN sustainable development goals; participatory action research; participatory action research; service learning; service learning; innovation in engineering education; innovation in engineering education; transport justice; transport justice; ethics; ethics; sustainability; sustainability; &gt;; &gt;; Sustainability education; Sustainability education; Freire; Freire; engineering education; engineering education</t>
  </si>
  <si>
    <t>Using a survey, interviews, and reflections by the teaching-research team, we explored the effects of almost a decade of experimentation, inspired by Freire's pedagogy for liberation, which applied participatory action research in engineering courses and in cities to develop professionals who are more committed to sustainability and more able to interact with 'ordinary' citizens in all their diversity. We found that using a planning-based participatory action research methodology, in the living laboratories of real city neighbourhoods, increased engineers' appreciation of citizenship, sustainability and equity. While this experience does not pretend to universality, it does suggest ways that structuring action research into course activities and critical reflection can improve students' understanding of sustainability and related social justice challenges. Moreover, this innovative pedagogy proved robust during two years of extreme disruption due to social protest and strict COVID-19 quarantines in Chile. The findings may benefit researchers and teachers grappling with similar challenges.</t>
  </si>
  <si>
    <t>[Sagaris, Lake] Pontificia Univ Catolica Chile, Ctr Desarrollo Urbano Sustentable CEDEUS, ANID FONDAP No 15110020, Vicuna Mackenna, Santiago, Chile; [Sagaris, Lake] Pontificia Univ Catolica Chile, Dept Transport Engn &amp; Logist, Vicuna Mackenna, Santiago, Chile; [Penafiel, Javier] Pontificia Univ Catolica Chile, Sch Govt, Vicuna Mackenna, Santiago, Chile; [Orellana, Romina; Guajardo, Maria Fernanda] Pontificia Univ Catolica Chile, Dept Transport Engn &amp; Logist, Vicuna Mackenna, Santiago, Chile</t>
  </si>
  <si>
    <t>Pontificia Universidad Catolica de Chile; Pontificia Universidad Catolica de Chile; Pontificia Universidad Catolica de Chile; Pontificia Universidad Catolica de Chile</t>
  </si>
  <si>
    <t>Sagaris, L (corresponding author), Pontificia Univ Catolica Chile, Ctr Desarrollo Urbano Sustentable CEDEUS, ANID FONDAP No 15110020, Vicuna Mackenna, Santiago, Chile.;Sagaris, L (corresponding author), Pontificia Univ Catolica Chile, Dept Transport Engn &amp; Logist, Vicuna Mackenna, Santiago, Chile.</t>
  </si>
  <si>
    <t>lsagaris@uc.cl</t>
  </si>
  <si>
    <t>Sagaris, Lake/A-7717-2018</t>
  </si>
  <si>
    <t>Sagaris, Lake/0000-0002-9162-5190</t>
  </si>
  <si>
    <t>BRT Center for Excellence; Centro de Estudios de Desarrollo Urbano Sustentable (CEDEUS) at the Pontificia Universidad Catolica de Chile; Conicyt, FONDAP [15110020]</t>
  </si>
  <si>
    <t>BRT Center for Excellence; Centro de Estudios de Desarrollo Urbano Sustentable (CEDEUS) at the Pontificia Universidad Catolica de Chile; Conicyt, FONDAP(Comision Nacional de Investigacion Cientifica y Tecnologica (CONICYT)CONICYT FONDAP)</t>
  </si>
  <si>
    <t>This research was supported by the BRT Center for Excellence and the Centro de Estudios de Desarrollo Urbano Sustentable (CEDEUS) at the Pontificia Universidad Catolica de Chile, with funding from Conicyt, FONDAP No. 15110020.</t>
  </si>
  <si>
    <t>0965-0792</t>
  </si>
  <si>
    <t>1747-5074</t>
  </si>
  <si>
    <t>EDUC ACTION RES</t>
  </si>
  <si>
    <t>Educ. Action Res.</t>
  </si>
  <si>
    <t>10.1080/09650792.2023.2240858</t>
  </si>
  <si>
    <t>O1HL4</t>
  </si>
  <si>
    <t>WOS:001041398000001</t>
  </si>
  <si>
    <t>Delgadillo, RM; Tenelema, FJ; Casas, JR</t>
  </si>
  <si>
    <t>Delgadillo, Rick M.; Tenelema, Fernando J.; Casas, Joan R.</t>
  </si>
  <si>
    <t>Bridge damage analysis under joint environmental and operational variability</t>
  </si>
  <si>
    <t>STRUCTURE AND INFRASTRUCTURE ENGINEERING</t>
  </si>
  <si>
    <t>Bridges; damage detection; environmental conditions; Hilbert-Huang transform; instantaneous phase difference; modal frequency; principal component analysis; temperature effect; variational mode decomposition; &gt;</t>
  </si>
  <si>
    <t>One of the main challenges for bridge damage identification using monitoring data is to acquire sensitive damage features but insensitive to operational and environmental effects as well as noise. Specifically, the temperature as part of environmental variability can mask structural damages in bridges. Principal Component Analysis (PCA) has been applied here as a well-known and robust technique for removing environmental variability and obtain damage-sensitive indices. As a first aim, PCA is used considering only ambient vibrations and the natural frequencies are considered as damage indicators. As a second objective, PCA in conjunction with Hilbert Huang Transform (HHT) and Variational Mode Decomposition (VMD) are applied to eliminate the environmental influence in transient vibrations due to traffic. The combined methodology is applied to the case of a numerical benchmark by using the Instantaneous Phase Difference (IPD) as novel vibration damage feature in the case of non-stationary vibrations. The results show that the proposed strategy to use the non-stationary vibration due to traffic instead of ambient vibration seems a promising tool for damage identification and, therefore, its capabilities in real bridge applications are worth exploring further when experimental data from real bridges will become available.</t>
  </si>
  <si>
    <t>[Delgadillo, Rick M.] Univ Peruana Ciencias Aplicadas UPC, Dept Civil Engn, Lima, Peru; [Tenelema, Fernando J.; Casas, Joan R.] Tech Univ Catalonia BarcelonaTech, Dept Civil &amp; Environm Engn, Barcelona, Spain; [Delgadillo, Rick M.] Univ Peruana Ciencias Aplicadas UPC, Dept Civil Engn, Prolongac Primavera 2390, Lima, Peru</t>
  </si>
  <si>
    <t>Universidad Peruana de Ciencias Aplicadas (UPC); Universitat Politecnica de Catalunya; Universidad Peruana de Ciencias Aplicadas (UPC)</t>
  </si>
  <si>
    <t>Delgadillo, RM (corresponding author), Univ Peruana Ciencias Aplicadas UPC, Dept Civil Engn, Prolongac Primavera 2390, Lima, Peru.</t>
  </si>
  <si>
    <t>pccirdel@upc.edu.pe</t>
  </si>
  <si>
    <t>; Casas, Joan/I-7872-2014</t>
  </si>
  <si>
    <t>Delgadillo, Rick/0000-0002-9763-1938; Casas, Joan/0000-0003-4473-4308</t>
  </si>
  <si>
    <t>[UPC-EXPOST-2023-1]</t>
  </si>
  <si>
    <t>No potential conflict of interest was reported by the author(s).</t>
  </si>
  <si>
    <t>1573-2479</t>
  </si>
  <si>
    <t>1744-8980</t>
  </si>
  <si>
    <t>STRUCT INFRASTRUCT E</t>
  </si>
  <si>
    <t>Struct. Infrastruct. Eng.</t>
  </si>
  <si>
    <t>2023 JUL 29</t>
  </si>
  <si>
    <t>10.1080/15732479.2023.2243248</t>
  </si>
  <si>
    <t>Engineering, Civil; Engineering, Mechanical</t>
  </si>
  <si>
    <t>O0KU7</t>
  </si>
  <si>
    <t>WOS:001040804600001</t>
  </si>
  <si>
    <t>Eckert, J; Morgan, G; Daughtrey, A</t>
  </si>
  <si>
    <t>Eckert, Jonathan; Morgan, Grant; Daughtrey, Alesha</t>
  </si>
  <si>
    <t>Collective School Leadership and Collective Teacher Efficacy through Turbulence</t>
  </si>
  <si>
    <t>LEADERSHIP AND POLICY IN SCHOOLS</t>
  </si>
  <si>
    <t>WORK REDESIGN; PERFORMANCE; RESILIENCE; IMPACT; SKILLS; URBAN</t>
  </si>
  <si>
    <t>Based on data collected in South Carolina from 2020-2022 through the Collective Leadership Initiative, we examined the collective leadership of six schools through cascading crises that resulted in extreme turbulence in many schools. Through an annual collective leadership survey, a collective teacher efficacy survey that we administered three times each year, and focus groups, we found remarkable consistency across all six schools. After conducting a multi-level confirmatory factor analysis and a categorical confirmatory factor analysis to determine that we could report collective leadership and collective teacher efficacy as single school-level factors, we found moderate to strong correlations between collective leadership and collective teacher efficacy. These schools used collective leadership processes that facilitated stability and improvement during a time of unprecedented, cascading crises.</t>
  </si>
  <si>
    <t>[Eckert, Jonathan] Baylor Univ, Dept Educ Leadership, Waco, TX 76706 USA; [Morgan, Grant] Baylor Univ, Dept Educ Psychol, Waco, TX USA; [Daughtrey, Alesha] Ctr Teaching Qual, Carrboro, NC USA</t>
  </si>
  <si>
    <t>Baylor University; Baylor University</t>
  </si>
  <si>
    <t>Eckert, J (corresponding author), Baylor Univ, Dept Educ Leadership, Waco, TX 76706 USA.</t>
  </si>
  <si>
    <t>jon_eckert@baylor.edu</t>
  </si>
  <si>
    <t>1570-0763</t>
  </si>
  <si>
    <t>1744-5043</t>
  </si>
  <si>
    <t>LEADERSH POLICY SCH</t>
  </si>
  <si>
    <t>Leadersh. Policy Sch.</t>
  </si>
  <si>
    <t>10.1080/15700763.2023.2239894</t>
  </si>
  <si>
    <t>N8OA7</t>
  </si>
  <si>
    <t>WOS:001039531100001</t>
  </si>
  <si>
    <t>Maftei, A; Burdea, CA</t>
  </si>
  <si>
    <t>Maftei, Alexandra; Burdea, Camelia Alexandra</t>
  </si>
  <si>
    <t>Does perceived parental emotional warmth contribute to adults' higher compassion? The mediating role of moral identity</t>
  </si>
  <si>
    <t>parental emotional warmth; mediation; adults; compassion; moral integrity; moral self; &gt;</t>
  </si>
  <si>
    <t>SELF-COMPASSION; ADOLESCENTS; BEHAVIOR; ASSOCIATIONS; ATTACHMENT; STYLE; INTERNALIZATION; DEPRESSION; HOSTILITY; INTEGRITY</t>
  </si>
  <si>
    <t>Previous studies suggested that parenting is critically important in the development of both moral identity and compassion, but more research is needed concerning the stability of these effects and whether they carry over into adulthood. The present study addressed this issue by examining the link between a specific dimension of perceived parental style and compassion and the mediating role of moral identity in this relationship. The research sample comprised 208 adults aged 18 to 60 (M = 25.44, SD = 7.09, 82.2% females). The participants completed self-report scales measuring perceived parental emotional warmth, compassion, and moral identity (i.e. moral self and moral integrity). Correlation analysis suggested that compassion was positively associated with all the measured variables. Mediation analysis results suggested that both facets of moral identity mediated the link between perceived parental emotional warmth and compassion. We discuss these results considering their importance for cultivating moral identity and compassion and the important role of parents in this regard.</t>
  </si>
  <si>
    <t>[Maftei, Alexandra; Burdea, Camelia Alexandra] Alexandru Ioan Cuza Univ, Fac Psychol &amp; Educ Sci, Dept Educ Sci, Iasi, Romania; [Maftei, Alexandra] Alexandru Ioan Cuza Univ, Fac Psychol &amp; Educ Sci, 3 Toma Cozma St, Iasi, Romania</t>
  </si>
  <si>
    <t>Alexandru Ioan Cuza University; Alexandru Ioan Cuza University</t>
  </si>
  <si>
    <t>Maftei, A (corresponding author), Alexandru Ioan Cuza Univ, Fac Psychol &amp; Educ Sci, 3 Toma Cozma St, Iasi, Romania.</t>
  </si>
  <si>
    <t>alexandra.maftei@uaic.ro</t>
  </si>
  <si>
    <t>Maftei, Alexandra/0000-0001-9700-8794</t>
  </si>
  <si>
    <t>10.1080/10508422.2023.2237148</t>
  </si>
  <si>
    <t>N8NA0</t>
  </si>
  <si>
    <t>WOS:001039504400001</t>
  </si>
  <si>
    <t>Mann, G; Gilmore, L; Robertson, A; Kennedy-Wood, L; Maia-Pike, L</t>
  </si>
  <si>
    <t>Mann, Glenys; Gilmore, Linda; Robertson, Ainsley; Kennedy-Wood, Lynsey; Maia-Pike, Lara</t>
  </si>
  <si>
    <t>Little things mean a lot: parent perspectives on positive teacher-parent communication when students have disability</t>
  </si>
  <si>
    <t>TEACHERS AND TEACHING</t>
  </si>
  <si>
    <t>Teacher-parent partnership; teacher-parent collaboration; teacher-parent communication; inclusive education; students with disability; &gt;</t>
  </si>
  <si>
    <t>SCHOOL PARTNERSHIPS; FAMILY; CHILDREN</t>
  </si>
  <si>
    <t>Productive teacher-parent partnerships are important to successful student outcomes and rely on positive teacher-parent communication, particularly when students have disability. Through semi-structured focus group and individual interviews, 17 parents of students with disability provided first-hand accounts of teacher communication that facilitated successful teacher-parent partnership. Key findings include the importance of the 'little things' that teachers say and do, for example, welcoming, day-to-day interactions that are foundational to effective teacher-parent communication. Other important contributions include examples of how teachers operationalise constructive communication, and contextual factors that enable positive teacher-parent interactions (for example, location, time). It was concluded that, despite extensive evidence in the literature of communication difficulties between teachers and parents of students with disability, many successful practices are being used by teachers. The findings reported here provide authentic insights into positive, productive teacher-parent communication strategies.</t>
  </si>
  <si>
    <t>[Mann, Glenys; Gilmore, Linda; Kennedy-Wood, Lynsey; Maia-Pike, Lara] Queensland Univ Technol, Ctr Inclus Educ, Kelvin Grove, Qld, Australia; [Robertson, Ainsley] Community Resource Unit, Brisbane, Qld, Australia; [Mann, Glenys] Queensland Univ Technol, Ctr Inclus Educ, Victoria Pk Rd, Kelvin Grove, Qld 4059, Australia</t>
  </si>
  <si>
    <t>Queensland University of Technology (QUT); Queensland University of Technology (QUT)</t>
  </si>
  <si>
    <t>Mann, G (corresponding author), Queensland Univ Technol, Ctr Inclus Educ, Victoria Pk Rd, Kelvin Grove, Qld 4059, Australia.</t>
  </si>
  <si>
    <t>glenys.mann@qut.edu.au</t>
  </si>
  <si>
    <t>QUT Centre for Inclusive Education [C4IE]</t>
  </si>
  <si>
    <t>QUT Centre for Inclusive Education</t>
  </si>
  <si>
    <t>This work was supported by the QUT Centre for Inclusive Education (C4IE).</t>
  </si>
  <si>
    <t>1354-0602</t>
  </si>
  <si>
    <t>1470-1278</t>
  </si>
  <si>
    <t>TEACH TEACH</t>
  </si>
  <si>
    <t>Teach. Teach.</t>
  </si>
  <si>
    <t>10.1080/13540602.2023.2241020</t>
  </si>
  <si>
    <t>N8OB8</t>
  </si>
  <si>
    <t>WOS:001039532200001</t>
  </si>
  <si>
    <t>Nzinga, K</t>
  </si>
  <si>
    <t>Nzinga, Kalonji</t>
  </si>
  <si>
    <t>Cultural resonance: Between hip-hop culture &amp; the sociopolitical development of youth artivists in Palestine</t>
  </si>
  <si>
    <t>EDUCATION; SOLIDARITY; COMMUNITY; PEDAGOGY; CONTEXT</t>
  </si>
  <si>
    <t>Youth sociopolitical development is explored in the context of a hip-hop arts workshop in the Palestinian West Bank. Workshop youth created art vividly expressing their perspectives gained while navigating the Israeli apartheid state. The youth participants' art is analyzed here to shine a light on its liberatory content, and also to better understand what it is about the genre of hip-hop that affords intifadeh or uprising. The concept of resonance is offered as a way to describe sympathetic vibration between youth voices and hip-hop conventions, including artists repping their hood, preserving culture through sampling, and battling the oppressive big they.</t>
  </si>
  <si>
    <t>[Nzinga, Kalonji] Univ Colorado Boulder, Boulder, CO USA; [Nzinga, Kalonji] Univ Colorado Boulder, Sch Educ, Learning Sci &amp; Human Dev, Boulder, CO 80309 USA</t>
  </si>
  <si>
    <t>University of Colorado System; University of Colorado Boulder; University of Colorado System; University of Colorado Boulder</t>
  </si>
  <si>
    <t>Nzinga, K (corresponding author), Univ Colorado Boulder, Sch Educ, Learning Sci &amp; Human Dev, Boulder, CO 80309 USA.</t>
  </si>
  <si>
    <t>kalonji.nzinga@colorado.edu</t>
  </si>
  <si>
    <t>10.1080/10749039.2023.2238704</t>
  </si>
  <si>
    <t>N8NQ3</t>
  </si>
  <si>
    <t>WOS:001039520700001</t>
  </si>
  <si>
    <t>Peng, R; Yang, R; Ning, N</t>
  </si>
  <si>
    <t>Peng, Run; Yang, Rong; Ning, Ning</t>
  </si>
  <si>
    <t>Central sensitization syndrome in patients with rotator cuff tear: prevalence and associated factors</t>
  </si>
  <si>
    <t>POSTGRADUATE MEDICINE</t>
  </si>
  <si>
    <t>central sensitization; rotator cuff tear; chronic pain; cross-section study; arthroscopy; &gt;</t>
  </si>
  <si>
    <t>SHOULDER PAIN; MUSCULOSKELETAL PAIN; DEPRESSION; ANXIETY; PREDICTORS; DIAGNOSIS; OUTCOMES; HEALTH</t>
  </si>
  <si>
    <t>IntroductionA significant number of rotator cuff tear (RCT) patients developed chronic shoulder pain that did not correspond to physiological changes. Central sensitization syndrome (CSS) is a neurophysiological adaptation process that can result in hypersensitivity to peripheral stimuli. Although there is evidence of an association between CSS and musculoskeletal problems, no studies have focused on the association between CSS and RCT. The primary purpose of this study was to examine the prevalence of CSS in patients with RCT. The secondary purpose was to document the associated conditions and comorbidity that were associated with the CSS.MethodsThis was a cross-sectional study of patients with RCT who completed the Central Sensitization Inventory (CSI). Patients with score of &amp; GE; 40/100 were considered positive for CSS. Demographic and clinical data and CSI results were collected to analyze the prevalence and associated factors of CSS in RCT patients.ResultsA total of 404 RCT patients were included, and the CSS prevalence was 39.4%. Compared to the non-CSS group, the CSS group had an odds ratio of 4.13 (95% CI, 2.70-6.32; p ＜0.001) for ages 51-60, 3.07 (95% CI, 2.00-4.69; p ＜0.001) for symptoms lasting more than 6 months, 6.08 (95% CI, 3.90-9.47; p ＜0.001) for nonphysical laborers, 3.69 (95%CI, 2.42-5.61; p ＜0.001) for long head of biceps (LHB) abnormality, 2.93 (95% CI, 1.93-4.45; p ＜0.001) for concurrent shoulder stiffness, 4.82 (95% CI, 2.55-9.10; p ＜0.001) for anxiety or panic episodes, and 2.11 (95% CI, 1.12, 4.00; p ＜0.001) for depression.ConclusionsThe prevalence of CSS in patients with RCT was relatively high at 39.4%. The CSS was associated with higher age, female gender, and clinical findings of symptoms lasting over six months, nonphysical laborers, abnormal LHB, concurrent shoulder stiffness, anxiety, and depression.</t>
  </si>
  <si>
    <t>[Peng, Run; Ning, Ning] Sichuan Univ, West China Hosp, Dept Orthoped, Chengdu, Peoples R China; [Yang, Rong] Sichuan Univ, West China Hosp, Dept Neurol, Chengdu, Peoples R China</t>
  </si>
  <si>
    <t>Sichuan University; Sichuan University</t>
  </si>
  <si>
    <t>Ning, N (corresponding author), Sichuan Univ, West China Hosp, Dept Orthoped, Chengdu, Peoples R China.;Yang, R (corresponding author), Sichuan Univ, West China Hosp, Dept Neurol, Chengdu, Peoples R China.</t>
  </si>
  <si>
    <t>hxyangrong2004@126.com; ningning6405@163.com</t>
  </si>
  <si>
    <t>0032-5481</t>
  </si>
  <si>
    <t>1941-9260</t>
  </si>
  <si>
    <t>POSTGRAD MED</t>
  </si>
  <si>
    <t>Postgrad. Med.</t>
  </si>
  <si>
    <t>10.1080/00325481.2023.2241343</t>
  </si>
  <si>
    <t>P4UE8</t>
  </si>
  <si>
    <t>WOS:001037426100001</t>
  </si>
  <si>
    <t>Tzikos, A</t>
  </si>
  <si>
    <t>Tzikos, Anthimos</t>
  </si>
  <si>
    <t>Disalienation: Politics, philosophy, and radical psychiatry in postwar France</t>
  </si>
  <si>
    <t>EUROPEAN JOURNAL OF PSYCHOTHERAPY &amp; COUNSELLING</t>
  </si>
  <si>
    <t>[Tzikos, Anthimos] Univ Gen Hosp Alexandroupolis, Psychiat Dept, Alexandroupolis, Greece</t>
  </si>
  <si>
    <t>Tzikos, A (corresponding author), Univ Gen Hosp Alexandroupolis, Psychiat Dept, Alexandroupolis, Greece.</t>
  </si>
  <si>
    <t>onfim@hotmail.com</t>
  </si>
  <si>
    <t>1364-2537</t>
  </si>
  <si>
    <t>1469-5901</t>
  </si>
  <si>
    <t>EUR J PSYCHOTHER COU</t>
  </si>
  <si>
    <t>Eur. J. Psychother. Couns.</t>
  </si>
  <si>
    <t>10.1080/13642537.2023.2241335</t>
  </si>
  <si>
    <t>Q8ON8</t>
  </si>
  <si>
    <t>WOS:001040422200001</t>
  </si>
  <si>
    <t>Xu, YM; Tao, J; Hou, YF; Zhang, SZ</t>
  </si>
  <si>
    <t>Xu, Yaming; Tao, Jie; Hou, Yafei; Zhang, Shuzhang</t>
  </si>
  <si>
    <t>Effects of PKC &amp; epsilon; knockdown on mitochondrial membrane potential of human glioma cells in vitro and growth of U251 cell-derived tumors in vivo</t>
  </si>
  <si>
    <t>BIOTECHNIC &amp; HISTOCHEMISTRY</t>
  </si>
  <si>
    <t>Apoptosis; glioma; growth; human; mice; mitochondrial membrane potential; PKC &amp; epsilon;; RNA interference</t>
  </si>
  <si>
    <t>PROTEIN-KINASE-C; CANCER; APOPTOSIS; GLIOBLASTOMA; SUPPRESSION; EXPRESSION; HEAD</t>
  </si>
  <si>
    <t>Glioma is the most common type of primary brain tumor; it exhibits great invasive capacity, morbidity and mortality. Protein kinase Ce (PKCe), a serine/threonine kinase, contributes to the development and progression of many cancers. We investigated whether knockdown of PKCe could affect the mitochondrial membrane potential of human glioma cell lines, U251 and U87, and the growth of U251 cell-derived tumors in nude mice. We found that the expression of PKCe was greater in human glioma tissues than in human normal brain tissues. Knockdown of PKCe reduced mitochondrial membrane potential in U251 and U87 cells. Knockdown of PKCe also suppressed the growth of tumors derived from U251 cells and induced apoptosis of U251 cells in vivo. Our findings indicate that PKCe is important for development and progression of glioma and may be a potential therapeutic target for glioma treatment.</t>
  </si>
  <si>
    <t>[Xu, Yaming] Shanghai Univ, Sch Med, 99 Shangda Rd, Shanghai 200444, Peoples R China; [Tao, Jie; Zhang, Shuzhang] Shanghai Univ Tradit Chinese Med, Putuo Hosp, Cent Lab, Dept Neurol,Intervent Canc Inst Chinese Integrat M, 164 Lanxi Rd, Shanghai 200062, Peoples R China; [Hou, Yafei] Shanghai Jiao Tong Univ, Sch Med, Shanghai Inst Immunol, Shanghai, Peoples R China</t>
  </si>
  <si>
    <t>Shanghai University; Shanghai University of Traditional Chinese Medicine; Shanghai Jiao Tong University; Chinese Academy of Sciences</t>
  </si>
  <si>
    <t>Xu, YM (corresponding author), Shanghai Univ, Sch Med, 99 Shangda Rd, Shanghai 200444, Peoples R China.;Tao, J (corresponding author), Shanghai Univ Tradit Chinese Med, Putuo Hosp, Cent Lab, Dept Neurol,Intervent Canc Inst Chinese Integrat M, 164 Lanxi Rd, Shanghai 200062, Peoples R China.</t>
  </si>
  <si>
    <t>yamingxu@shu.edu.cn; jietao_putuo@foxmail.com</t>
  </si>
  <si>
    <t>National Natural Science Foundation of China [82074162, 82274344]; Shanghai Municipal Commission of Health and Family Planning Youth Project [20164Y0149]; Shanghai Putuo District Health System Clinical Characteristic Special Disease Construction Project [2023tszb04]; Science and Technology Innovation Project of Putuo District Health System; Project of 100 Professionals Training Plan of Shanghai Putuo District Central Hospital [2022-RCLH-02]</t>
  </si>
  <si>
    <t>National Natural Science Foundation of China(National Natural Science Foundation of China (NSFC)); Shanghai Municipal Commission of Health and Family Planning Youth Project; Shanghai Putuo District Health System Clinical Characteristic Special Disease Construction Project; Science and Technology Innovation Project of Putuo District Health System; Project of 100 Professionals Training Plan of Shanghai Putuo District Central Hospital</t>
  </si>
  <si>
    <t>This work was supported by the National Natural Science Foundation of China, grant no. 82074162 and 82274344; Shanghai Municipal Commission of Health and Family Planning Youth Project, grant no. 20164Y0149; Shanghai Putuo District Health System Clinical Characteristic Special Disease Construction Project, grant no. 2023tszb04; Science and Technology Innovation Project of Putuo District Health System, grant no. ptkwws202301; and Project of 100 Professionals Training Plan of Shanghai Putuo District Central Hospital, grant no. 2022-RCLH-02.</t>
  </si>
  <si>
    <t>1052-0295</t>
  </si>
  <si>
    <t>1473-7760</t>
  </si>
  <si>
    <t>BIOTECH HISTOCHEM</t>
  </si>
  <si>
    <t>Biotech. Histochem.</t>
  </si>
  <si>
    <t>10.1080/10520295.2023.2240226</t>
  </si>
  <si>
    <t>Biotechnology &amp; Applied Microbiology; Cell Biology</t>
  </si>
  <si>
    <t>N6QK8</t>
  </si>
  <si>
    <t>WOS:001038232400001</t>
  </si>
  <si>
    <t>Cravino, JA; Manwaring, CW; Stathakis, JGH; Shalliker, RA</t>
  </si>
  <si>
    <t>Cravino, Jake A.; Manwaring, Corey W.; Stathakis, Jonathan G. H.; Shalliker, Ross Andrew</t>
  </si>
  <si>
    <t>Extracting antioxidants from blueberries</t>
  </si>
  <si>
    <t>JOURNAL OF LIQUID CHROMATOGRAPHY &amp; RELATED TECHNOLOGIES</t>
  </si>
  <si>
    <t>Antioxidants; Blueberries; extraction; HPLC; post-column derivatization; &gt;</t>
  </si>
  <si>
    <t>ULTRASOUND ASSISTED EXTRACTION; PHENOLIC-COMPOUNDS; ANTHOCYANIN INTAKE</t>
  </si>
  <si>
    <t>Blueberries are widely consumed for their flavor and complex array of antioxidants and other beneficial phytochemicals. Central to studies on blueberries is the ability to extract antioxidants. For appropriate analysis, the extracted compounds must represent those contained in the blueberry without bias or loss of information. Given the complex array of phytochemicals present, extracting these chemicals from blueberries is a complex task and is the focus of much debate in the current literature. While many studies have examined the best extraction technique to maximize the concentration of extracted antioxidants, there remains no systematic study on the effect of extraction conditions and technique on the variety of antioxidants extracted from the blueberry samples. The current study fills this gap by applying High-Performance Liquid Chromatography combined with novel forms of post-column derivatization and the commonly used CUPRAC assay to examine the range and concentration of antioxidants extracted. We have found that solvent choice plays a large role in determining the variety of compounds extracted, with acidification, extraction time, and temperature having minimal effect, and acetone has been shown to provide extraction of the greatest range and highest concentration of compounds.</t>
  </si>
  <si>
    <t>[Cravino, Jake A.; Manwaring, Corey W.; Stathakis, Jonathan G. H.; Shalliker, Ross Andrew] Western Sydney Univ, Sch Sci, South Parramatta, NSW, Australia; [Cravino, Jake A.; Manwaring, Corey W.; Stathakis, Jonathan G. H.; Shalliker, Ross Andrew] Western Sydney Univ, Australian Ctr Res Separat Sci, Sch Sci, South Parramatta, NSW, Australia; [Manwaring, Corey W.] Ubiquinox, Parramatta, NSW, Australia; [Shalliker, Ross Andrew] Western Sydney Univ, Sch Sci, South Parramatta, NSW 2150, Australia</t>
  </si>
  <si>
    <t>Western Sydney University; Western Sydney University; Western Sydney University</t>
  </si>
  <si>
    <t>Shalliker, RA (corresponding author), Western Sydney Univ, Sch Sci, South Parramatta, NSW 2150, Australia.</t>
  </si>
  <si>
    <t>r.shalliker@westernsydney.edu.au</t>
  </si>
  <si>
    <t>1082-6076</t>
  </si>
  <si>
    <t>1520-572X</t>
  </si>
  <si>
    <t>J LIQ CHROMATOGR R T</t>
  </si>
  <si>
    <t>J. Liq. Chromatogr. Relat. Technol.</t>
  </si>
  <si>
    <t>2023 JUL 28</t>
  </si>
  <si>
    <t>10.1080/10826076.2023.2240913</t>
  </si>
  <si>
    <t>Biochemical Research Methods; Chemistry, Analytical</t>
  </si>
  <si>
    <t>Biochemistry &amp; Molecular Biology; Chemistry</t>
  </si>
  <si>
    <t>N8LF8</t>
  </si>
  <si>
    <t>WOS:001039457900001</t>
  </si>
  <si>
    <t>Elliott, S; Kelly, CE; Jacobson, D; Montemurro, F; Bruder, R; Mason, R; Du Mont, J</t>
  </si>
  <si>
    <t>Elliott, Stephanie; Kelly, C. Emma; Jacobson, Danielle; Montemurro, Frances; Bruder, Rhonelle; Mason, Robin; Du Mont, Janice</t>
  </si>
  <si>
    <t>Identification of Domestically Sex Trafficked Persons in Social Service Settings in Canada: A Qualitative Study</t>
  </si>
  <si>
    <t>JOURNAL OF SOCIAL SERVICE RESEARCH</t>
  </si>
  <si>
    <t>Human trafficking; identification; indicators; sexual exploitation; sex trafficking; social services</t>
  </si>
  <si>
    <t>HEALTH-CARE</t>
  </si>
  <si>
    <t>Social service providers are critical in supporting domestically sex trafficked persons. However, little is known about how these providers identify sex trafficked persons. This study aimed to explore this vital but poorly understood first step to addressing sex trafficked clients' needs, asking: How do social service providers in Ontario, Canada identify domestically sex trafficked adolescents and adults? Fifteen semi-structured interviews were conducted with diverse social service providers from across Ontario. Participants' responses to open-ended questions were then analyzed thematically. Findings revealed that providers recognize sex trafficked persons using both commonly reported as well as unique indicators suggestive of sex trafficking, drawing on existing tools and skills developed through or adapted from work with other service populations. However, few had access to formalized practices or resources within their workplace to aid in identifying sex trafficked persons specifically and, as such, many relied on ad hoc processes. While resourceful, this approach can unintentionally perpetuate myths and stereotypes about sex trafficked persons and contribute to missed opportunities for identification. To better support sex trafficked persons, it is recommended that social service providers are provided with tailored training and resources related to identification while adopting and using reflexivity in their everyday practice to combat unconscious biases, beliefs, and attitudes. The work undertaken by social service providers could also be enhanced by knowledge gained from future research designed to evaluate the utility of the sex trafficking indicators and processes for identification described.</t>
  </si>
  <si>
    <t>[Elliott, Stephanie; Kelly, C. Emma; Jacobson, Danielle; Montemurro, Frances; Bruder, Rhonelle; Mason, Robin; Du Mont, Janice] Womens Coll Hosp, Womens Coll Res Inst, Toronto, ON, Canada; [Bruder, Rhonelle; Mason, Robin; Du Mont, Janice] Univ Toronto, Dalla Lana Sch Publ Hlth, Toronto, ON, Canada; [Du Mont, Janice] Womens Coll Hosp, Womens Coll Res Inst, 76 Grenville St, Toronto, ON M5S 1B2, Canada</t>
  </si>
  <si>
    <t>University of Toronto; Womens College Hospital; University of Toronto; University of Toronto; Womens College Hospital</t>
  </si>
  <si>
    <t>Du Mont, J (corresponding author), Womens Coll Hosp, Womens Coll Res Inst, 76 Grenville St, Toronto, ON M5S 1B2, Canada.</t>
  </si>
  <si>
    <t>janice.dumont@wchospital.ca</t>
  </si>
  <si>
    <t>This study would not have been possible without the social service providers who participated in interviews. We are thankful for their participation, as well as the funding support given to us by the HART Foundation.; HART Foundation</t>
  </si>
  <si>
    <t>This study would not have been possible without the social service providers who participated in interviews. We are thankful for their participation, as well as the funding support given to us by the HART Foundation.</t>
  </si>
  <si>
    <t>0148-8376</t>
  </si>
  <si>
    <t>1540-7314</t>
  </si>
  <si>
    <t>J SOC SERV RES</t>
  </si>
  <si>
    <t>J. Soc. Serv. Res.</t>
  </si>
  <si>
    <t>10.1080/01488376.2023.2242886</t>
  </si>
  <si>
    <t>S6PL3</t>
  </si>
  <si>
    <t>WOS:001056158400001</t>
  </si>
  <si>
    <t>Ettinger, CL; Ostovar, T; Yacoub, M; Ahrendt, S; Hice, RH; Federici, BA; Stajich, JE</t>
  </si>
  <si>
    <t>Ettinger, Cassandra L.; Ostovar, Talieh; Yacoub, Mark; Ahrendt, Steven; Hice, Robert H.; Federici, Brian A.; Stajich, Jason E.</t>
  </si>
  <si>
    <t>Genomes and transcriptomes help unravel the complex life cycle of the blastoclad fungus, Coelomomyces lativittatus, an obligate parasite of mosquitoes and microcrustaceans</t>
  </si>
  <si>
    <t>MYCOLOGIA</t>
  </si>
  <si>
    <t>Alternations of generations; Blastocladiomycota; development; genome annotation; genome assembly; host-associated; RNAseq; &gt;</t>
  </si>
  <si>
    <t>RNA-SEQ DATA; PROTEIN-SYNTHESIS; QUALITY ASSESSMENT; RIBONUCLEIC-ACID; GENE-EXPRESSION; ALIGNMENT; PREDICTION; PENETRATION; SPORULATION; INITIATION</t>
  </si>
  <si>
    <t>Species of the phylum Blastocladiomycota, early-diverging zoosporic (flagellated) lineages of fungi, are vastly understudied. This phylum includes the genus Coelomomyces, which consists of more than 80 fungal species that are obligate parasites of arthropods. Known Coelomomyces species lack a complete asexual life cycle, instead surviving through an obligate heterecious alternation of generations life cycle. Despite their global distribution and interesting life cycle, little is known about the genomics of any Coelomomyces species. To address this, we generated three draft-level genomes and annotations for C. lativittatus representing its haploid meiospore, orange gamete, and amber gamete life stages. These draft genome assemblies ranged in size from 5002 to 5799 contigs, with a total length of 19.8-22.8 Mb and a mean of 7416 protein-coding genes. We then demonstrated the utility of these genomes by combining the draft annotations as a reference for analysis of C. lativittatus transcriptomes. We analyzed transcriptomes from across host-associated life stages, including infected larvae and excised mature sporangia from the mosquito Anopheles quadrimaculatus. We identified differentially expressed genes and enriched GO terms both across and within life stages and used these to make hypotheses about C. lativittatus biology. Generally, we found the C. lativittatus transcriptome to be a complex and dynamic expression landscape; GO terms related to metabolism and transport processes were enriched during infection and terms related to dispersal were enriched during sporulation. We further identified five high mobility group (HMG)-box genes in C. lativittatus, three belonging to clades with mating type (MAT) loci from other fungi, as well as four ortholog expansions in C. lativittatus compared with other fungi. The C. lativittatus genomes and transcriptomes reported here are a valuable resource and may be leveraged toward furthering understanding of the biology of these and other early-diverging fungal lineages.</t>
  </si>
  <si>
    <t>[Ettinger, Cassandra L.; Ostovar, Talieh; Yacoub, Mark; Ahrendt, Steven; Stajich, Jason E.] Univ Calif Riverside, Dept Microbiol &amp; Plant Pathol, Riverside, CA 92521 USA; [Ostovar, Talieh] San Diego State Univ, UCR SDSU Joint Doctoral Program Evolutionary Biol, San Diego, CA 92182 USA; [Hice, Robert H.; Federici, Brian A.] Univ Calif Riverside, Dept Entomol, Riverside, CA 92521 USA; [Federici, Brian A.; Stajich, Jason E.] Univ Calif Riverside, Inst Integrat Genome Biol, Riverside, CA 92521 USA; [Ahrendt, Steven] Lawrence Berkeley Natl Lab, US Dept Energy Joint Genome Inst, Berkeley, CA 94720 USA</t>
  </si>
  <si>
    <t>University of California System; University of California Riverside; California State University System; San Diego State University; University of California System; University of California Riverside; University of California System; University of California Riverside; United States Department of Energy (DOE); Lawrence Berkeley National Laboratory</t>
  </si>
  <si>
    <t>Ettinger, CL (corresponding author), Univ Calif Riverside, Dept Microbiol &amp; Plant Pathol, Riverside, CA 92521 USA.;Federici, BA (corresponding author), Univ Calif Riverside, Dept Entomol, Riverside, CA 92521 USA.;Federici, BA (corresponding author), Univ Calif Riverside, Inst Integrat Genome Biol, Riverside, CA 92521 USA.</t>
  </si>
  <si>
    <t>cassande@ucr.edu; jason.stajich@ucr.edu</t>
  </si>
  <si>
    <t>Stajich, Jason/C-7297-2008</t>
  </si>
  <si>
    <t>Stajich, Jason/0000-0002-7591-0020; Federici, Brian/0000-0003-1789-6950; Ettinger, Cassandra/0000-0001-7334-403X</t>
  </si>
  <si>
    <t>0027-5514</t>
  </si>
  <si>
    <t>1557-2536</t>
  </si>
  <si>
    <t>Mycologia</t>
  </si>
  <si>
    <t>10.1080/00275514.2023.2228182</t>
  </si>
  <si>
    <t>Mycology</t>
  </si>
  <si>
    <t>R6TW2</t>
  </si>
  <si>
    <t>WOS:001033977500001</t>
  </si>
  <si>
    <t>Heggie, C; Cowal, G; MacIntosh, C; Paynter, M</t>
  </si>
  <si>
    <t>Heggie, Clare; Cowal, Grisha; MacIntosh, Clark; Paynter, Martha</t>
  </si>
  <si>
    <t>Supportive and Affirming Queer Perinatal Health Care: A Qualitative Study</t>
  </si>
  <si>
    <t>LGBTQ FAMILY-AN INTERDISCIPLINARY JOURNAL</t>
  </si>
  <si>
    <t>Perinatal; birth; doula; &gt;</t>
  </si>
  <si>
    <t>SOCIAL DETERMINANTS; DOULA SUPPORT; WOMEN</t>
  </si>
  <si>
    <t>Queer people may experience barriers to accessing safe and affirming perinatal care. Representative doula support may mitigate barriers to accessing care and improve outcomes. The objectives of this qualitative study were to understand priorities for key queer community stakeholders to address the needs of queer patients/families and to identify potential roles for doula support in improving care. Recruitment for this community-university partnership study was conducted using purposeful and snowball sampling. Interviews with key stakeholders in the field of perinatal health were conducted in summer and fall 2022. Data were analyzed using reflexive thematic analysis. A total of 12 participants participated in an interview. Key themes include the challenges accessing and navigating affirming care, steps forward for improving perinatal experiences and the role of doulas. Findings suggest gaps in care persist for Queer patients/families, and appropriately trained and representative doula support may interrupt heteronormative bias in perinatal care to improve experiences and outcomes.</t>
  </si>
  <si>
    <t>[Heggie, Clare; Paynter, Martha] Univ new Brunswick, Fredericton, NB E3B 5A3, Canada; [Cowal, Grisha] Wellness, Halifax, NS, Canada; [MacIntosh, Clark] Nova Scotia Publ Interest Res Grp, Halifax, NS, Canada</t>
  </si>
  <si>
    <t>University of New Brunswick</t>
  </si>
  <si>
    <t>Heggie, C (corresponding author), Univ new Brunswick, Fredericton, NB E3B 5A3, Canada.</t>
  </si>
  <si>
    <t>Clare.heggie@unb.ca</t>
  </si>
  <si>
    <t>2770-3371</t>
  </si>
  <si>
    <t>2770-338X</t>
  </si>
  <si>
    <t>LGBTQ FAM</t>
  </si>
  <si>
    <t>LGBTQ Fam.</t>
  </si>
  <si>
    <t>10.1080/27703371.2023.2242319</t>
  </si>
  <si>
    <t>Criminology &amp; Penology; Women's Studies</t>
  </si>
  <si>
    <t>N9IF7</t>
  </si>
  <si>
    <t>WOS:001040058200001</t>
  </si>
  <si>
    <t>Kearney, D; Commins, A</t>
  </si>
  <si>
    <t>Kearney, Daithi; Commins, Adele</t>
  </si>
  <si>
    <t>Much more than 'Danny Boy': bringing Irish traditional music to the USA</t>
  </si>
  <si>
    <t>Irish traditional music; Comhaltas Ceoltoiri eireann; Siamsa Ceili Band; Siamsa Tire; The Chieftains; The Troubles; &gt;</t>
  </si>
  <si>
    <t>Performances in the USA during the 1970s by three semi-professional groups - The Chieftains, the Siamsa Ceili Band, and Siamsa Tire - present opportunities to understand developments in Irish traditional music during that period. These developments led to increased commercialisation of the music and tours by Irish performers to the USA in subsequent decades, providing access to a significantly larger market for the genre, within and beyond the diaspora. Underpinning the study is a critical consideration of audiences' understanding of Irish identity and culture and the reception of Irish cultural performances in the USA at this time. These tours contributed to a reconceptualization of Irish traditional music that engaged new audiences in the USA and incorporated repertoire beyond what American audiences typically associated with Ireland at the time. Developing a professional approach, the groups presented repertoire from the dance music and harp music traditions, Irish language song, and traditional styles of dance. We examine the motivations for the tours, the itineraries and venues, and the material presented, as well as the impact of Northern Ireland politics on each of the groups and their performances.</t>
  </si>
  <si>
    <t>[Kearney, Daithi; Commins, Adele] Dundalk Inst Technol, Dept Creat Arts Media &amp; Mus, Dundalk, Ireland</t>
  </si>
  <si>
    <t>Dundalk Institute of Technology</t>
  </si>
  <si>
    <t>Kearney, D (corresponding author), Dundalk Inst Technol, Dept Creat Arts Media &amp; Mus, Dundalk, Ireland.</t>
  </si>
  <si>
    <t>daithi.kearney@dkit.ie</t>
  </si>
  <si>
    <t>Kearney, Daithi/0000-0001-6304-3241</t>
  </si>
  <si>
    <t>10.1080/17411912.2023.2236135</t>
  </si>
  <si>
    <t>O0JG4</t>
  </si>
  <si>
    <t>WOS:001040764300001</t>
  </si>
  <si>
    <t>Rebar, AL; Williams, R; Short, CE; Plotnikoff, R; Duncan, MJ; Mummery, K; Alley, S; Schoeppe, S; To, Q; Vandelanotte, C</t>
  </si>
  <si>
    <t>Rebar, Amanda L.; Williams, Rebecca; Short, Camile E.; Plotnikoff, Ronald; Duncan, Mitch J.; Mummery, Kerry; Alley, Stephanie; Schoeppe, Stephanie; To, Quyen; Vandelanotte, Corneel</t>
  </si>
  <si>
    <t>The impact of action plans on habit and intention strength for physical activity in a web-based intervention: is it the thought that counts?</t>
  </si>
  <si>
    <t>Habit formation; motivation; exercise; behavioural maintenance; implementation intentions; &gt;</t>
  </si>
  <si>
    <t>BEHAVIOR-CHANGE; IMPLEMENTATION INTENTIONS; PREDICTIVE-VALIDITY; TEMPORAL STABILITY; METAANALYSIS; SPECIFICITY; COMPONENT; INDEX</t>
  </si>
  <si>
    <t>ObjectiveAction planning is a common approach used in physical activity interventions. The aim of this study was to assess the association of frequency, consistency and content of action planning with physical activity behaviour, intention strength and habit strength.Methods and MeasuresWithin a 3-month web-based, computer-tailored physical activity intervention, participants (N = 115; 68.7% female, M age =43.9; range = 22-73 years) could create 6 rounds of action plans for 4 activities each (24 total).ResultsConsistency of action planning during the intervention was associated with change in physical activity at 9-months, and intention and habit strength at 3-months and 9-months. Frequency of action planning was negatively associated with intention at 3-months and 9-months. The effect of action planning consistency on physical activity behaviour was no longer significant when accounting for change in intention and habit strength.ConclusionConsistency of how, where, when and with whom people plan their physical activity may translate into stronger physical activity habits. Interventions should avoid encouraging making many distinct action plans, but rather encourage stable contexts through consistent action planning.</t>
  </si>
  <si>
    <t>[Rebar, Amanda L.; Williams, Rebecca; Alley, Stephanie; Schoeppe, Stephanie; To, Quyen; Vandelanotte, Corneel] Cent Queensland Univ, Appleton Inst, Sch Hlth Med &amp; Appl Sci, Phys Act Res Grp, Rockhampton, Qld, Australia; [Short, Camile E.] Univ Melbourne, Melbourne Ctr Behav Change, Melbourne Sch Psychol Sci, Parkville, Vic, Australia; [Short, Camile E.] Univ Melbourne, Melbourne Sch Hlth Sci, Parkville, Vic, Australia; [Plotnikoff, Ronald] Univ Newcastle, Sch Educ, Callaghan, NSW, Australia; [Duncan, Mitch J.] Univ Newcastle, Coll Hlth Med &amp; Wellbeing, Sch Med &amp; Publ Hlth, Univ Dr, Callaghan, NSW, Australia; [Duncan, Mitch J.] Hunter Med Res Inst, Act Living Res Program, New Lambton Hts, NSW, Australia; [Mummery, Kerry] Univ Alberta, Fac Kinesiol Sport &amp; Recreat, Edmonton, AB, Canada; [Rebar, Amanda L.] Cent Queensland Univ, Bldg 7,Room LG-15, Rockhampton, Qld 4700, Australia</t>
  </si>
  <si>
    <t>Central Queensland University; University of Melbourne; University of Melbourne; University of Newcastle; University of Newcastle; University of Newcastle; Hunter Medical Research Institute; University of Alberta; Central Queensland University</t>
  </si>
  <si>
    <t>Rebar, AL (corresponding author), Cent Queensland Univ, Bldg 7,Room LG-15, Rockhampton, Qld 4700, Australia.</t>
  </si>
  <si>
    <t>a.rebar@cqu.edu.au</t>
  </si>
  <si>
    <t>Vandelanotte, Corneel/ABF-5580-2020</t>
  </si>
  <si>
    <t>Rebar, Amanda/0000-0003-3164-993X</t>
  </si>
  <si>
    <t>10.1080/08870446.2023.2241777</t>
  </si>
  <si>
    <t>O2SN4</t>
  </si>
  <si>
    <t>WOS:001042370700001</t>
  </si>
  <si>
    <t>Salih, YM</t>
  </si>
  <si>
    <t>Salih, Yousif Mustafa</t>
  </si>
  <si>
    <t>The optimization of the adsorption desulfurization process for dibenzothiophene in a model oil using different ratios of hybrid MOF: AC micro adsorbers</t>
  </si>
  <si>
    <t>JOURNAL OF SULFUR CHEMISTRY</t>
  </si>
  <si>
    <t>Metal-organic framework; hybrid-adsorber; adsorption desulfurization; dibenzothiophene; activated-charcoal; &gt;</t>
  </si>
  <si>
    <t>PORE-SIZE DISTRIBUTION; ACTIVATED CARBON; CATALYTIC PERFORMANCE; SURFACE-CHEMISTRY; CO2 ADSORPTION; REMOVAL; EFFICIENT; COBALT; BET; NANOCOMPOSITES</t>
  </si>
  <si>
    <t>Elimination of the release of hazardous sulfur compounds into the environment is imperative, and achieving this requires the desulfurization of petroleum products using an effective method. Adsorption desulfurization is gaining as a cost-effective alternative to various other techniques. In this study, cobalt-based metal-organic framework (Co-MOF) and Hybrid MOF: AC adsorbers were prepared using various ratios through the solvothermal method. The objective was to determine the optimal ratio for maximum removal of dibenzothiophene in a model oil through batch process adsorption. The adsorbers were characterized using FTIR, XRD, FESEM-EDS, and N-2 adsorption-desorption analysis. The results indicated that a ratio of 1:5 MOF: AC achieved a 98% removal (147.57 mg/g) of DBT among (MOF, AC, 1:1 MOF: AC, 1:2 MOF: AC, and 1:10 MOF: AC) due to its optimal number of active sites and surface area. Furthermore, the optimal conditions for maximum DBT adsorption were a dosage of 0.1 g and a contact time of 2 h. The kinetic study of the adsorber showed conformity with a pseudo-first-order model.</t>
  </si>
  <si>
    <t>[Salih, Yousif Mustafa] Univ Sulaimani, Coll Sci, Dept Chem, Sulaimani, Iraq; [Salih, Yousif Mustafa] Univ Sulaimani, Coll Sci, Dept Chem, Sulaimani, Kurdistan Regio, Iraq</t>
  </si>
  <si>
    <t>University of Sulimanyah; University of Sulimanyah</t>
  </si>
  <si>
    <t>Salih, YM (corresponding author), Univ Sulaimani, Coll Sci, Dept Chem, Sulaimani, Kurdistan Regio, Iraq.</t>
  </si>
  <si>
    <t>yousif.salih@univsul.edu.iq</t>
  </si>
  <si>
    <t>1741-5993</t>
  </si>
  <si>
    <t>1741-6000</t>
  </si>
  <si>
    <t>J SULFUR CHEM</t>
  </si>
  <si>
    <t>J. Sulfur Chem.</t>
  </si>
  <si>
    <t>10.1080/17415993.2023.2241594</t>
  </si>
  <si>
    <t>Chemistry, Multidisciplinary</t>
  </si>
  <si>
    <t>N1GZ4</t>
  </si>
  <si>
    <t>WOS:001034594600001</t>
  </si>
  <si>
    <t>Xiao, Y; Yuan, K; Zhang, TT; Zhou, J</t>
  </si>
  <si>
    <t>Xiao, Yang; Yuan, Kang; Zhang, Taotao; Zhou, Jian</t>
  </si>
  <si>
    <t>Analytical and experimental study of velocity distribution in adverse-slope channel flow</t>
  </si>
  <si>
    <t>JOURNAL OF HYDRAULIC RESEARCH</t>
  </si>
  <si>
    <t>Adverse-slope channel flow; dip effect; log-wake-dip law; pressure-gradient parameter; velocity distribution; wake effect; &gt;</t>
  </si>
  <si>
    <t>DIP-PHENOMENON; SHEAR-STRESS; UNIFORM-FLOW; FREE-SURFACE; TURBULENCE; PROFILES; SEDIMENT; LAW</t>
  </si>
  <si>
    <t>The prediction of the velocity distribution in adverse-slope flow is improved by analytical and experimental study of the wake and dip effects, based on the log-wake-dip velocity law. This improved equation allows accurate prediction of the wake phenomenon and dip phenomenon. The equation compares very well with the experimental data obtained in the present study and some reference data, and it predicts better than other formulations available in the literature. This study shows that the wake-parameter can be expressed by the linear equation for the pressure-gradient parameter, under the conditions of the respective Reynolds number and aspect ratio. The dip-parameter can be determined as constants using the known position of the maximum velocity point. When the pressure gradient is relatively small, the wake effect is a boost to velocity. In contrast, when the pressure gradient is relatively large, the wake effect is an impediment to velocity.</t>
  </si>
  <si>
    <t>[Xiao, Yang; Zhang, Taotao] Hohai Univ, State Key Lab Hydrol, Water Resources &amp; Hydraul Engn, Nanjing, Peoples R China; [Xiao, Yang] Hohai Univ, Yangtze Inst Conservat &amp; Dev, Nanjing, Peoples R China; [Xiao, Yang; Yuan, Kang; Zhang, Taotao; Zhou, Jian] Hohai Univ, Coll Water Conservancy &amp; Hydropower Engn, Nanjing, Peoples R China; [Xiao, Yang; Zhang, Taotao] Suzhou Univ Sci &amp; Technol, Sch Environm Sci &amp; Engn, Suzhou, Peoples R China</t>
  </si>
  <si>
    <t>Hohai University; Hohai University; Hohai University; Suzhou University of Science &amp; Technology</t>
  </si>
  <si>
    <t>Xiao, Y (corresponding author), Hohai Univ, State Key Lab Hydrol, Water Resources &amp; Hydraul Engn, Nanjing, Peoples R China.;Xiao, Y (corresponding author), Hohai Univ, Yangtze Inst Conservat &amp; Dev, Nanjing, Peoples R China.;Xiao, Y (corresponding author), Hohai Univ, Coll Water Conservancy &amp; Hydropower Engn, Nanjing, Peoples R China.;Xiao, Y (corresponding author), Suzhou Univ Sci &amp; Technol, Sch Environm Sci &amp; Engn, Suzhou, Peoples R China.</t>
  </si>
  <si>
    <t>Sediment_lab@hhu.edu.cn; yk0915@hhu.edu.cn; 1650049885@qq.com; jzhou@hhu.edu.cn</t>
  </si>
  <si>
    <t>National Natural Science Foundation of China [U2240209]; Natural Science Foundation of Jiangsu Province [BK20191299]; Water Conservancy Science and Technology Project of Jiangsu Province [2021055]; Belt and Road Special Foundation of the State Key Laboratory of Hydrology-Water Resources and Hydraulic Engineering [521013152]; 111 Project [B17015]</t>
  </si>
  <si>
    <t>National Natural Science Foundation of China(National Natural Science Foundation of China (NSFC)); Natural Science Foundation of Jiangsu Province(Natural Science Foundation of Jiangsu Province); Water Conservancy Science and Technology Project of Jiangsu Province; Belt and Road Special Foundation of the State Key Laboratory of Hydrology-Water Resources and Hydraulic Engineering; 111 Project(Ministry of Education, China - 111 Project)</t>
  </si>
  <si>
    <t>This work is partly supported by the National Natural Science Foundation of China [grant number U2240209], the Natural Science Foundation of Jiangsu Province [grant number BK20191299], the Water Conservancy Science and Technology Project of Jiangsu Province [grant number 2021055], the Belt and Road Special Foundation of the State Key Laboratory of Hydrology-Water Resources and Hydraulic Engineering [grant number 521013152], and the 111 Project [grant number B17015].</t>
  </si>
  <si>
    <t>0022-1686</t>
  </si>
  <si>
    <t>1814-2079</t>
  </si>
  <si>
    <t>J HYDRAUL RES</t>
  </si>
  <si>
    <t>J. Hydraul. Res.</t>
  </si>
  <si>
    <t>10.1080/00221686.2023.2231396</t>
  </si>
  <si>
    <t>Engineering, Civil; Water Resources</t>
  </si>
  <si>
    <t>Engineering; Water Resources</t>
  </si>
  <si>
    <t>O5WQ2</t>
  </si>
  <si>
    <t>WOS:001041448100001</t>
  </si>
  <si>
    <t>Chen, JJ; Xue, CJ</t>
  </si>
  <si>
    <t>Chen, Jinjin; Xue, Caijun</t>
  </si>
  <si>
    <t>Design optimisation and experimental verification of a UAV's landing gear buffer</t>
  </si>
  <si>
    <t>Landing gear; dynamic model; artificial neural network; buffer performance; parameter optimisation; damping; &gt;</t>
  </si>
  <si>
    <t>SIMULATION; SHOCK</t>
  </si>
  <si>
    <t>The landing gear is a critical aircraft system that absorbs the kinetic energy of the vertical load and reduces the aircraft's impact at touchdown. This paper proposes a hybrid optimisation method for further optimising the buffer performance of a mature UAV's main landing gear. This method combines a propagation (BP) neural network method with a genetic algorithm (GA). A landing gear dynamics simulation model is established based on the software LMS Virtual.Lab Motion, and validate the model with tests. The optimisation model is established using a BP neural network and solved using a genetic algorithm. The maximum vertical load, the efficiency coefficient of buffer, and the efficiency coefficient of buffer system are used as the optimisation targets. The air chamber initial gas pressure, initial volume of buffer, and diameter of main oil hole are selected as the optimisation parameters, and the values after optimisation are 148 MPa, 165.2 mL, and 3.17 mm, respectively. The results show that the efficiency coefficient of buffer is increased by 3.7% and the efficiency coefficient of buffer system is increased by 1.13% and the maximum vertical load decreased by 0.6%, which indicated that the hybrid optimisation method is effective for landing gear buffering performance.</t>
  </si>
  <si>
    <t>[Chen, Jinjin; Xue, Caijun] Nanjing Univ Aeronaut &amp; Astronaut, Coll Aerosp Engn, Nanjing, Peoples R China; [Xue, Caijun] Nanjing Univ Aeronaut &amp; Astronaut, Coll Aerosp Engn, Nanjing 210016, Peoples R China</t>
  </si>
  <si>
    <t>Nanjing University of Aeronautics &amp; Astronautics; Nanjing University of Aeronautics &amp; Astronautics</t>
  </si>
  <si>
    <t>Xue, CJ (corresponding author), Nanjing Univ Aeronaut &amp; Astronaut, Coll Aerosp Engn, Nanjing 210016, Peoples R China.</t>
  </si>
  <si>
    <t>cjxue@nuaa.edu.cn</t>
  </si>
  <si>
    <t>2023 JUL 27</t>
  </si>
  <si>
    <t>10.1080/13588265.2023.2242102</t>
  </si>
  <si>
    <t>N8RP1</t>
  </si>
  <si>
    <t>WOS:001039623500001</t>
  </si>
  <si>
    <t>Chung, EKH; Yeung, DYL</t>
  </si>
  <si>
    <t>Chung, Edwin Ka Hung; Yeung, Dannii Yuen-lan</t>
  </si>
  <si>
    <t>Reducing older people's risk of fraud victimization through an anti-scam board game</t>
  </si>
  <si>
    <t>JOURNAL OF ELDER ABUSE &amp; NEGLECT</t>
  </si>
  <si>
    <t>Anti-scam education program; board game; fraud victimization; older adults</t>
  </si>
  <si>
    <t>FINANCIAL LITERACY; SUSCEPTIBILITY; ADULTS</t>
  </si>
  <si>
    <t>This study adopted an experimental design to evaluate the effectiveness of an anti-scam education program for older adults. Participants in the experimental group (n = 55) first participated in an anti-scam board game and then joined another board game featuring local tea restaurants two weeks later, whereas such order was reversed for the control group (n = 54). Compared with the control group, participants in the experimental group reported significant increases in their self-efficacy in fraud prevention and awareness of scam situations, and a significant decrease in perceived susceptibility to scams immediately and two weeks after the intervention, demonstrating the immediate and the short-term effects of the anti-scam education program in reducing fraud victimization risk of older adults.</t>
  </si>
  <si>
    <t>[Chung, Edwin Ka Hung; Yeung, Dannii Yuen-lan] City Univ Hong Kong, Dept Social &amp; Behav Sci, Hong Kong, Peoples R China; [Yeung, Dannii Yuen-lan] City Univ Hong Kong, Dept Social &amp; Behav Sci, Psychol Labs, Hong Kong, Peoples R China</t>
  </si>
  <si>
    <t>City University of Hong Kong; City University of Hong Kong</t>
  </si>
  <si>
    <t>Yeung, DYL (corresponding author), City Univ Hong Kong, Dept Social &amp; Behav Sci, Psychol Labs, Hong Kong, Peoples R China.</t>
  </si>
  <si>
    <t>dannii.yeung@cityu.edu.hk</t>
  </si>
  <si>
    <t>CHUNG, Ka Hung Edwin/AET-3108-2022</t>
  </si>
  <si>
    <t>CHUNG, Ka Hung Edwin/0000-0002-7267-6419</t>
  </si>
  <si>
    <t>Investor and Financial Education Council in Hong Kong [9231459]</t>
  </si>
  <si>
    <t>Investor and Financial Education Council in Hong Kong</t>
  </si>
  <si>
    <t>This project was supported by the Investor and Financial Education Council in Hong Kong (Project No: 9231459), which was awarded to the second author. The funder had no role in study design, data collection, data analyses, data interpretation, or manuscript preparation.</t>
  </si>
  <si>
    <t>0894-6566</t>
  </si>
  <si>
    <t>1540-4129</t>
  </si>
  <si>
    <t>J ELDER ABUSE NEGL</t>
  </si>
  <si>
    <t>J. Elder Abuse Negl.</t>
  </si>
  <si>
    <t>MAY 27</t>
  </si>
  <si>
    <t>10.1080/08946566.2023.2240005</t>
  </si>
  <si>
    <t>P4TU4</t>
  </si>
  <si>
    <t>WOS:001036413900001</t>
  </si>
  <si>
    <t>de Oliveira, PC; Marangoni, R; Freitas, VF; Tominaga, TT; Miyahara, RY; Rosso, JM; Cesar, GB; Weinand, WR; dos Santos, IA; Bonadio, TGM</t>
  </si>
  <si>
    <t>de Oliveira, Patricia Camargo; Marangoni, Rafael; Freitas, Valdirlei Fernandes; Tominaga, Tania Toyomi; Miyahara, Ricardo Yoshimitsu; Rosso, Jarciele Marcia; Cesar, Gabriel Batista; Weinand, Wilson Ricardo; dos Santos, Ivair Aparecido; Bonadio, Taiana Gabriela Moretti</t>
  </si>
  <si>
    <t>Fused filaments of PVDF/PLA blends for biomedical applications</t>
  </si>
  <si>
    <t>Ferroelectric; piezoelectricity; 3D printing; &gt;</t>
  </si>
  <si>
    <t>POLY(VINYLIDENE FLUORIDE); BETA; MORPHOLOGY; ALPHA; PHASE; FILMS</t>
  </si>
  <si>
    <t>Artificial materials with piezoelectric properties have been increasingly investigated as potential candidates for replacing various living tissues. In this manuscript, results of studies on the synthesis and characterization PVDF/PLA blend filaments containing piezoelectric/ferroelectric PVDF &amp; beta;-phase are reported. SEM images reveal that all studied filaments are immiscible blends, while FTIR results reveal blends with a predominance of PVDF &amp; beta;-polar phase whose highest percentage (75%) was observed for the mass ratio of 80% of PVDF to 20% of PLA. This blend shows adequate characteristics for biomedical applications when processed by filament fabrication techniques.</t>
  </si>
  <si>
    <t>[de Oliveira, Patricia Camargo; Marangoni, Rafael; Freitas, Valdirlei Fernandes; Tominaga, Tania Toyomi; Miyahara, Ricardo Yoshimitsu; Cesar, Gabriel Batista; Bonadio, Taiana Gabriela Moretti] Midwestern Parana State Univ Unictr, Guarapuava, Brazil; [Weinand, Wilson Ricardo; dos Santos, Ivair Aparecido] State Univ Maringa UEM, Phys Dept, Maringa, Brazil</t>
  </si>
  <si>
    <t>Universidade Estadual de Maringa</t>
  </si>
  <si>
    <t>Bonadio, TGM (corresponding author), Midwestern Parana State Univ Unictr, Guarapuava, Brazil.</t>
  </si>
  <si>
    <t>tbonadio@unicentro.br</t>
  </si>
  <si>
    <t>Santos, Ivair A./B-7259-2009; Marangoni, Rafael/F-5862-2010</t>
  </si>
  <si>
    <t>Santos, Ivair A./0000-0001-7775-0692; Marangoni, Rafael/0000-0003-3947-7159</t>
  </si>
  <si>
    <t>Brazilian agency funding CNPq [406827/2021-4, CP 20/2018, 067/2020]</t>
  </si>
  <si>
    <t>Brazilian agency funding CNPq</t>
  </si>
  <si>
    <t>The authors would like to thank the Brazilian agency funding CNPq (procs. 406827/2021-4) and FAADCT/PR (CP 20/2018, agreement 067/2020) for the financial support.</t>
  </si>
  <si>
    <t>JUL 27</t>
  </si>
  <si>
    <t>10.1080/00150193.2023.2201769</t>
  </si>
  <si>
    <t>M6RJ0</t>
  </si>
  <si>
    <t>WOS:001031465600007</t>
  </si>
  <si>
    <t>Cao, CH; Liang, XY</t>
  </si>
  <si>
    <t>Cao, Chunhua; Liang, Xinya</t>
  </si>
  <si>
    <t>The Impact of Ignoring Cross-loadings on the Sensitivity of Fit Measures in Measurement Invariance Testing</t>
  </si>
  <si>
    <t>STRUCTURAL EQUATION MODELING-A MULTIDISCIPLINARY JOURNAL</t>
  </si>
  <si>
    <t>Cross-loadings; fit measure; measurement invariance; multi-group CFA; sensitivity; &gt;</t>
  </si>
  <si>
    <t>CONFIRMATORY FACTOR-ANALYSIS; SCHOOL ENGAGEMENT; MODEL-SELECTION; MONTE-CARLO; INDEXES; MISSPECIFICATION; DIMENSIONALITY; CRITERIA; ERROR; CFA</t>
  </si>
  <si>
    <t>Cross-loadings are common in multiple-factor confirmatory factor analysis (CFA) but often ignored in measurement invariance testing. This study examined the impact of ignoring cross-loadings on the sensitivity of fit measures (CFI, RMSEA, SRMR, SRMRu, AIC, BIC, SaBIC, LRT) to measurement noninvariance . The manipulated design factors included the magnitude and percentage of cross-loadings, the magnitude and percentage of noninvariance, location of measurement noninvariance, model size, and sample size. Results suggested that the ignored cross-loadings affected the sensitivity of all fit measures but LRT to metric noninvariance to varying degrees, whereas they did not affect the sensitivity of fit measures to scalar noninvariance except for RMSEA. RMSEA was impacted by the magnitude of cross-loadings in both metric and scalar invariance testing. In the largest model size, CFI failed to detect metric noninvariance when there were no cross-loadings in the population model but detected the metric noninvariance of .30 with ignored cross-loadings.</t>
  </si>
  <si>
    <t>[Cao, Chunhua] Univ Alabama, Tuscaloosa, AL USA; [Liang, Xinya] Univ Arkansas, Fayetteville, AR USA; [Cao, Chunhua] Univ Alabama, Dept Educ Studies Psychol Res Methodol &amp; Counselin, Educ Res, 520 Colonial Dr, Tuscaloosa, AL 35401 USA</t>
  </si>
  <si>
    <t>University of Alabama System; University of Alabama Tuscaloosa; University of Arkansas System; University of Arkansas Fayetteville; University of Alabama System; University of Alabama Tuscaloosa</t>
  </si>
  <si>
    <t>Cao, CH (corresponding author), Univ Alabama, Dept Educ Studies Psychol Res Methodol &amp; Counselin, Educ Res, 520 Colonial Dr, Tuscaloosa, AL 35401 USA.</t>
  </si>
  <si>
    <t>ccao6@ua.edu</t>
  </si>
  <si>
    <t>1070-5511</t>
  </si>
  <si>
    <t>1532-8007</t>
  </si>
  <si>
    <t>STRUCT EQU MODELING</t>
  </si>
  <si>
    <t>Struct. Equ. Modeling</t>
  </si>
  <si>
    <t>2023 JUL 26</t>
  </si>
  <si>
    <t>10.1080/10705511.2023.2223360</t>
  </si>
  <si>
    <t>Mathematics, Interdisciplinary Applications; Social Sciences, Mathematical Methods</t>
  </si>
  <si>
    <t>N8OH6</t>
  </si>
  <si>
    <t>WOS:001039538000001</t>
  </si>
  <si>
    <t>Clayton, RB; Myrick, JG; Dale, KR; Park, J; Sarra, E; Hechlik, E</t>
  </si>
  <si>
    <t>Clayton, Russell B.; Myrick, Jessica G.; Dale, Katherine R.; Park, Junho; Sarra, Emily; Hechlik, Ella</t>
  </si>
  <si>
    <t>Diminishing Psychological Reactance Through Self-Transcendent Media Experiences: A Self-Report and Psychophysiological Investigation</t>
  </si>
  <si>
    <t>MEANINGFUL MEDIA; ELEVATION; MESSAGES; COMMUNICATION; APPRECIATION; ANTECEDENTS; RESISTANCE; EMOTIONS</t>
  </si>
  <si>
    <t>Health communication scholars have provided ample evidence demonstrating the ways in which freedom-threatening language used in persuasive health messages evokes freedom-threat perceptions, state psychological reactance, and intentions to engage in behaviors opposite of those recommended by the health message. This study examined a novel mitigation strategy for diminishing these outcomes. We examined whether prior exposure to entertainment portrayals of moral virtue (versus a neutral video) can dampen audiences' psychological reactance, intentions to consume alcohol, and defensive message processing via their psychophysiological responses to a subsequent, freedom-threatening excessive alcohol consumption public service announcement (PSA). The results revealed that participants who viewed entertainment portrayals of moral virtue (N = 50 college-aged participants) self-reported higher levels of elevation, moved, and inspiration relative to participants in the control condition (N = 50 college-aged participants). Participants who were exposed to entertainment portrayals of moral virtue prior to the excessive alcohol consumption PSA also self-reported less psychological reactance and fewer behavioral intentions to consume alcohol following the excessive alcohol consumption PSA than participants in the control condition. Consistent with these self-report data, participants in the entertainment portrayals of moral virtue condition exhibited less defensive message processing of the excessive alcohol consumption PSA via their psychophysiological responses relative to the control group. The results indicate that initial exposure to entertainment portrayals of moral virtue can dampen audiences' cognitive, emotional, and behavioral responses to a subsequent, freedom-threatening health message, thereby increasing the chances of improved health outcomes.</t>
  </si>
  <si>
    <t>[Clayton, Russell B.; Dale, Katherine R.; Park, Junho; Sarra, Emily; Hechlik, Ella] Florida State Univ, Sch Commun, Cognit &amp; Emot Lab, Tallahassee, FL USA; [Myrick, Jessica G.] Penn State Univ, Donald P Bellisario Coll Commun, State Coll, PA USA</t>
  </si>
  <si>
    <t>State University System of Florida; Florida State University; Pennsylvania Commonwealth System of Higher Education (PCSHE); Pennsylvania State University</t>
  </si>
  <si>
    <t>Clayton, RB (corresponding author), Florida State Univ, Sch Commun, Cognit &amp; Emot Lab, 3100 Univ Ctr,Bldg C, Tallahassee, FL 32306 USA.</t>
  </si>
  <si>
    <t>rclayton@fsu.edu</t>
  </si>
  <si>
    <t>Clayton, Russell/L-1718-2019</t>
  </si>
  <si>
    <t>Clayton, Russell/0000-0002-0471-1585</t>
  </si>
  <si>
    <t>Florida State University [COFRS]</t>
  </si>
  <si>
    <t>Florida State University</t>
  </si>
  <si>
    <t>This study was supported by Florida State University [Grant number: COFRS].</t>
  </si>
  <si>
    <t>10.1080/10410236.2023.2233705</t>
  </si>
  <si>
    <t>N2NB5</t>
  </si>
  <si>
    <t>WOS:001035430800001</t>
  </si>
  <si>
    <t>Gasperazzo, GR; Colaco, MJ</t>
  </si>
  <si>
    <t>Gasperazzo, Gustavo R. R.; Colaco, Marcelo J. J.</t>
  </si>
  <si>
    <t>Transient Source Terms Estimate in Advection-Diffusion Problems Using the Method of Fundamental Solutions and an Eulerian-Lagrangian Transformation</t>
  </si>
  <si>
    <t>HEAT-TRANSFER COEFFICIENT; BOUNDARY-VALUE-PROBLEMS; CONDUCTION; MFS</t>
  </si>
  <si>
    <t>In this work, transient source terms in advection-diffusion problems are recovered. The solution technique proposed relies on the implicit finite difference method coupled with the method of fundamental solutions, a technique for solving partial differential equations when their fundamental solution is known. The Truncated Singular Value Decomposition was used to overcome the ill-conditioned resulting linear system. The advection-diffusion inverse problem was solved using a Eulerian-Lagrangian method. Several numerical examples were considered for testing purposes by using simulated measurements perturbed with a Gaussian random noise for different Reynolds numbers. Results show that the proposed method provides stable and accurate estimates for the source term.</t>
  </si>
  <si>
    <t>[Gasperazzo, Gustavo R. R.; Colaco, Marcelo J. J.] Fed Univ Rio Janeiro, Dept Mech Engn, Rio De Janeiro, Brazil; [Colaco, Marcelo J. J.] Fed Univ Rio Janeiro UFRJ, Dept Mech Engn, PEM, COPPE, Cid Univ, BR-68503 Rio De Janeiro, Brazil</t>
  </si>
  <si>
    <t>Universidade Federal do Rio de Janeiro</t>
  </si>
  <si>
    <t>Colaco, MJ (corresponding author), Fed Univ Rio Janeiro UFRJ, Dept Mech Engn, PEM, COPPE, Cid Univ, BR-68503 Rio De Janeiro, Brazil.</t>
  </si>
  <si>
    <t>colaco@ufrj.br</t>
  </si>
  <si>
    <t>Colaco, Marcelo/0000-0002-8020-6222</t>
  </si>
  <si>
    <t>CNPq; CAPES; Brazilian Ministry of Science and Education; FAPERJ; ANP/PRH8 (Brazilian National Agency of Oil, Gas and Biofuels); Coordenacao de Aperfeicoamento de Pessoal de Nivel Superior (CAPES) [001]</t>
  </si>
  <si>
    <t>CNPq(Conselho Nacional de Desenvolvimento Cientifico e Tecnologico (CNPQ)); CAPES(Coordenacao de Aperfeicoamento de Pessoal de Nivel Superior (CAPES)); Brazilian Ministry of Science and Education; FAPERJ(Fundacao Carlos Chagas Filho de Amparo a Pesquisa do Estado do Rio De Janeiro (FAPERJ)); ANP/PRH8 (Brazilian National Agency of Oil, Gas and Biofuels); Coordenacao de Aperfeicoamento de Pessoal de Nivel Superior (CAPES)(Coordenacao de Aperfeicoamento de Pessoal de Nivel Superior (CAPES))</t>
  </si>
  <si>
    <t>This work was partially funded by CNPq and CAPES (agencies for the fostering of science from the Brazilian Ministry of Science and Education, respectively), FAPERJ (agency for fostering of science from the Rio de Janeiro State), ANP/PRH8 (Brazilian National Agency of Oil, Gas and Biofuels), and Coordenacao de Aperfeicoamento de Pessoal de Nivel Superior (CAPES) - Finance Code 001.</t>
  </si>
  <si>
    <t>10.1080/01457632.2023.2241171</t>
  </si>
  <si>
    <t>O0GL8</t>
  </si>
  <si>
    <t>WOS:001040690700001</t>
  </si>
  <si>
    <t>Guma, T; Blake, Y; Maclean, G; MacLeod, K; Makutsa, R; Sharapov, K</t>
  </si>
  <si>
    <t>Guma, Taulant; Blake, Yvonne; Maclean, Gavin; MacLeod, Kirsten; Makutsa, Robert; Sharapov, Kiril</t>
  </si>
  <si>
    <t>Are we criminals? - everyday racialisation in temporary asylum accommodation</t>
  </si>
  <si>
    <t>Asylum seekers; COVID-19; Hostile environment; Housing; Outsourcing; Racism; &gt;</t>
  </si>
  <si>
    <t>DEPORTATION; DETENTION; DISPERSAL</t>
  </si>
  <si>
    <t>This paper critically examines the placement of people seeking asylum in temporary accommodation during the COVID-19 pandemic. It is based on a 14-month collaborative ethnography conducted between 2020 and 2022 with asylum seeking individuals in Glasgow. While moves to temporary accommodation were framed by state authorities and private firms as providing a safe environment from COVID-19, we show how these relocations amounted to a racialised process which constructed our participants as undeserving and unworthy of protection and care during a period of crisis. Our analysis highlights how this racialisation took place not only on a policy level but also in practice through everyday encounters with private provider staff. Advancing the literature on asylum housing and dispersal through new theoretical and empirical contributions, we argue that the rise of temporary forms of asylum accommodation can be understood as constitutive of racial modes of belonging within a regime of differential humanity.</t>
  </si>
  <si>
    <t>[Guma, Taulant; Maclean, Gavin; MacLeod, Kirsten; Sharapov, Kiril] Edinburgh Napier Univ, Edinburgh, Scotland; [Blake, Yvonne; Makutsa, Robert] Migrants Organising Rights &amp; Empowerment, Glasgow City, Scotland</t>
  </si>
  <si>
    <t>Edinburgh Napier University</t>
  </si>
  <si>
    <t>Guma, T (corresponding author), Edinburgh Napier Univ, Edinburgh, Scotland.</t>
  </si>
  <si>
    <t>t.guma@napier.ac.uk</t>
  </si>
  <si>
    <t>Guma, Taulant/JFA-6161-2023</t>
  </si>
  <si>
    <t>UK Research and Innovation/Economic and Social Research Council [ES/V015990/1]</t>
  </si>
  <si>
    <t>UK Research and Innovation/Economic and Social Research Council</t>
  </si>
  <si>
    <t>This work was funded by the UK Research and Innovation/Economic and Social Research Council under the Grant: ES/V015990/1.</t>
  </si>
  <si>
    <t>10.1080/01419870.2023.2238052</t>
  </si>
  <si>
    <t>M8SE4</t>
  </si>
  <si>
    <t>WOS:001032851200001</t>
  </si>
  <si>
    <t>Harju-Luukkainen, H</t>
  </si>
  <si>
    <t>Harju-Luukkainen, Heidi</t>
  </si>
  <si>
    <t>Finnish early childhood education - building a strong foundation for the future</t>
  </si>
  <si>
    <t>Finland; early childhood education; pedagogy; playful learning; &gt;</t>
  </si>
  <si>
    <t>The Finnish education system has garnered significant international interest due to its consistently high rankings for decades. However, the same level of interest has not been extended to the country's early childhood education system. In Finland, early childhood education and care are regarded as the cornerstones of the Finnish education system, crucial for a child's learning, development, and lifelong learning. Research literature underscores the positive impact of a high-quality early learning environment on individuals as well as society. In Finland, policy documents provide guidance to early childhood education and care (ECEC) at various levels, encompassing values, descriptions of child development, collaboration, learning, and pedagogy. These guidelines are implemented by personnel who work closely with families and children. This paper is an adapted version of a keynote talk delivered during the Online ATEA 2022 conference. It aims to provide readers with an overview of the Finnish Early Childhood Education System, highlight key policies, and contribute to the discussion on ECEC by presenting snapshots of recent practice-oriented research in the Finnish system.</t>
  </si>
  <si>
    <t>[Harju-Luukkainen, Heidi] Univ Jyvaskyla, Kokkola Univ Consortium Chydenius, Jyvaskyla, Finland; [Harju-Luukkainen, Heidi] Nord Univ, Fac Educ &amp; Arts, Levanger, Norway; [Harju-Luukkainen, Heidi] Univ Jyvaskyla, Kokkola Univ Consortium Chydenius, Koulutuvantie 17 A, Helsinki 00680, Finland</t>
  </si>
  <si>
    <t>University of Jyvaskyla; Nord University; University of Jyvaskyla</t>
  </si>
  <si>
    <t>Harju-Luukkainen, H (corresponding author), Univ Jyvaskyla, Kokkola Univ Consortium Chydenius, Koulutuvantie 17 A, Helsinki 00680, Finland.</t>
  </si>
  <si>
    <t>heidi.k.harju-luukkainen@jyu.fi</t>
  </si>
  <si>
    <t>Harju-Luukkainen, Heidi/0000-0002-4532-7133</t>
  </si>
  <si>
    <t>10.1080/1359866X.2023.2238952</t>
  </si>
  <si>
    <t>N4OQ5</t>
  </si>
  <si>
    <t>WOS:001036828900001</t>
  </si>
  <si>
    <t>Khan, MA; Morshed, AKMM; Paul, TC</t>
  </si>
  <si>
    <t>Khan, Md. Akib; Morshed, A. K. M. Monjur; Paul, Titan C.</t>
  </si>
  <si>
    <t>A machine learning-oriented pseudo-field approach to accelerate runtime of molecular dynamics simulation of liquids</t>
  </si>
  <si>
    <t>Machine learning; Data-driven molecular dynamics; Gaussian process; Artificial neural network</t>
  </si>
  <si>
    <t>INITIAL CONFIGURATIONS; WATER</t>
  </si>
  <si>
    <t>Machine learning methods are increasingly used in research to save time and computational expenses. The data-driven approach relies on existing data for predictions based on statistical inference and interpolation. Liquids, in particular, benefit from machine learning due to their higher computational requirements. In this study, we propose a simple data-driven strategy that employs classical molecular dynamics simulations to generate potential energy spatial distribution data. This data is then used to train a machine learning model by using topologically similar scaled-down systems. The trained model is subsequently employed to predict force field behaviour for complex full-scale systems, resulting in time and computational cost savings. During training, the potential energy pseudo field serves as a model descriptor, while the final predictions are generated using multidimensional regression-based learning (Gaussian Process) and neural architecture learning (Artificial Neural Network), which are integrated into the simulation as lookup tables. Comparing the data-driven and conventional approaches reveals a significant acceleration in overall simulation runtime when appropriately trained machine learning models are utilised. Although the initial training phase of the machine learning models is time-consuming, retraining is unnecessary for future simulations with the same setup. Thus, this approach offers a straightforward means of conducting complex simulations in less time.</t>
  </si>
  <si>
    <t>[Khan, Md. Akib; Morshed, A. K. M. Monjur] Bangladesh Univ Engn &amp; Technol, Dept Mech Engn, Dhaka, Bangladesh; [Paul, Titan C.] Univ South Carolina, Dept Math Sci &amp; Engn, Aiken, SC USA</t>
  </si>
  <si>
    <t>Bangladesh University of Engineering &amp; Technology (BUET)</t>
  </si>
  <si>
    <t>Morshed, AKMM (corresponding author), Bangladesh Univ Engn &amp; Technol, Dept Mech Engn, Dhaka, Bangladesh.</t>
  </si>
  <si>
    <t>monjur_morshed@me.buet.ac.bd</t>
  </si>
  <si>
    <t>10.1080/08927022.2023.2238074</t>
  </si>
  <si>
    <t>N5QA8</t>
  </si>
  <si>
    <t>WOS:001037544200001</t>
  </si>
  <si>
    <t>Masudi, WL; Titilawo, Y; Keshinro, TA; Cowan, AK</t>
  </si>
  <si>
    <t>Masudi, Wiya L. L.; Titilawo, Yinka; Keshinro, Taobat A. A.; Cowan, A. Keith</t>
  </si>
  <si>
    <t>Isolation of bacteria with plant growth-promoting properties from microalgae-bacterial flocs produced in high-rate oxidation ponds</t>
  </si>
  <si>
    <t>ENVIRONMENTAL TECHNOLOGY</t>
  </si>
  <si>
    <t>High-rate algal oxidation ponds; integrated algal pond system; microalgae-bacterial flocs; phylogeny; plant growth-promoting bacteria</t>
  </si>
  <si>
    <t>WASTE-WATER TREATMENT; MUNG BEAN CUTTINGS; ROOT-FORMATION; IDENTIFICATION; NITROGEN; SEWAGE; SYSTEM; ENERGY; AUXINS; ACID</t>
  </si>
  <si>
    <t>Exploring plant growth-promoting (PGP) bacterial activity of microbial components aggregated by wastewater treatment can reduce dependence on fossil fuel-derived fertilisers. This study describes the isolation and identification of bacteria from microalgae-bacteria flocs (MaB-flocs) generated in high-rate algal oxidation ponds (HRAOP) of an integrated algal pond system (IAPS) remediating municipal wastewater. Amplified 16S rRNA gene sequence analysis determined the molecular identity of the individual strains. Genetic relatedness to known PGP rhizobacteria in the NCBI GenBank database was by metagenomics. Isolated strains were screened for the production of indoles (measured as indole-3-acetic acid; IAA) and an ability to mineralise NH4+, PO4 3- , and K+. Of the twelve bacterial strains isolated from HRAOP MaB-flocs, four produced indoles, nine mineralised NH4+, seven solubilised P, and one K. Potential of isolated strains for PGP activity according to one-way ANOVA on ranks was: ECCN 7b &gt; ECCN 4b &gt; ECCN 6b &gt; ECCN 3b = ECCN 10b &gt; ECCN 1b = ECCN 5b &gt; ECCN 8b &gt; ECCN 2b &gt; ECCN 12b &gt; ECCN 9b = ECCN 11b. Further study revealed that cell-free filtrate from indole-producing cultures of Aeromonas strain ECCN 4b, Enterobacter strain ECCN 7b, and Arthrobacter strain ECCN 6b promoted mung bean adventitious root formation suggestive of the presence of auxin-like biological activity.</t>
  </si>
  <si>
    <t>[Masudi, Wiya L. L.; Titilawo, Yinka; Keshinro, Taobat A. A.; Cowan, A. Keith] Rhodes Univ EBRU, Inst Environm Biotechnol, POB 94, ZA-6140 Makhanda, South Africa; [Titilawo, Yinka] Alex Ekwueme Fed Univ, Dept Microbiol, Ndufu Alike Ikwo, Ebonyi State, Nigeria; [Keshinro, Taobat A. A.] Lagos State Univ, Dept Microbiol, Lagos, Nigeria</t>
  </si>
  <si>
    <t>Lagos State University</t>
  </si>
  <si>
    <t>Cowan, AK (corresponding author), Rhodes Univ EBRU, Inst Environm Biotechnol, POB 94, ZA-6140 Makhanda, South Africa.</t>
  </si>
  <si>
    <t>a.cowan@ru.ac.za</t>
  </si>
  <si>
    <t>Cowan, A. Keith/A-9199-2012</t>
  </si>
  <si>
    <t>Cowan, A. Keith/0000-0001-6988-7461; Keshinro, Taobat Adekilekun/0000-0002-4830-0235</t>
  </si>
  <si>
    <t>Water Research Commission [02/2020]; Rhodes University [02/2020, 02/2021]; Water Research Commission [K1-7164]; EBRU</t>
  </si>
  <si>
    <t>Water Research Commission; Rhodes University; Water Research Commission; EBRU</t>
  </si>
  <si>
    <t>Rhodes University is acknowledged for financial support via RC grant number 02/2020 and 02/2021 to Professor A. Keith Cowan. This work formed part of a larger project supported by a grant from the Water Research Commission (K1-7164). Wiya L. Masudi is grateful for a bursary from EBRU.</t>
  </si>
  <si>
    <t>0959-3330</t>
  </si>
  <si>
    <t>1479-487X</t>
  </si>
  <si>
    <t>ENVIRON TECHNOL</t>
  </si>
  <si>
    <t>Environ. Technol.</t>
  </si>
  <si>
    <t>10.1080/09593330.2023.2238928</t>
  </si>
  <si>
    <t>N9SQ2</t>
  </si>
  <si>
    <t>WOS:001040328800001</t>
  </si>
  <si>
    <t>Oswald, SA; Nisbet, ICT; Mostello, CS</t>
  </si>
  <si>
    <t>Oswald, Stephen A.; Nisbet, Ian C. T.; Mostello, Carolyn S.</t>
  </si>
  <si>
    <t>Common Terns Sterna hirundo and Roseate Terns Sterna dougallii frequently rest on the sea surface in winter quarters and during migration</t>
  </si>
  <si>
    <t>BIRD STUDY</t>
  </si>
  <si>
    <t>PELAGIC SEABIRD; TRACKING REVEALS; SOUTHERN BRAZIL; MOVEMENTS; ABUNDANCE</t>
  </si>
  <si>
    <t>CapsuleCommon Terns Sterna hirundo and Roseate Terns S. dougallii rarely rest on the sea surface during the breeding season but frequently do so in winter and on migration.AimsTo investigate the behaviour of Common and Roseate Terns throughout the annual cycle using immersion sensors.MethodsWe analyzed data from immersion sensors attached to 11 Common Terns and 6 Roseate Terns that bred in the northeastern USA and wintered either on the north or east coasts of South America, to investigate temporal patterns of resting on saltwater throughout the annual cycle.ResultsBoth species of tern rarely contacted salt water during the breeding season, except when bathing or plunge-diving, but in winter they spent several hours each day resting on the sea surface. This resting was most frequent around midday and least frequent in early mornings and late afternoons. Night-time immersion varied widely among individuals but terns wintering in eastern Brazil were less likely to spend the night on the sea surface than those wintering on the north coast of South America. We suggest that this reflected the availability of dry-land roosting sites.ConclusionOur results are consistent with and extend studies from Europe, confirming that although Common and Roseate Terns spend very little time resting on the sea surface in the breeding season, this behaviour is frequent during migration and wintering periods.</t>
  </si>
  <si>
    <t>[Oswald, Stephen A.] Penn State Univ, Div Sci, Reading, PA USA; [Oswald, Stephen A.] Cornell Univ, Dept Nat Resources &amp; Environm, Ithaca, NY USA; [Nisbet, Ian C. T.] ICT Nisbet &amp; Co, N Falmouth, MA 02556 USA; [Mostello, Carolyn S.] Massachusetts Div Fisheries &amp; Wildlife, Westborough, MA USA</t>
  </si>
  <si>
    <t>Pennsylvania Commonwealth System of Higher Education (PCSHE); Pennsylvania State University; Cornell University</t>
  </si>
  <si>
    <t>Nisbet, ICT (corresponding author), ICT Nisbet &amp; Co, N Falmouth, MA 02556 USA.</t>
  </si>
  <si>
    <t>icnisbet@verizon.net</t>
  </si>
  <si>
    <t>0006-3657</t>
  </si>
  <si>
    <t>1944-6705</t>
  </si>
  <si>
    <t>Bird Stud.</t>
  </si>
  <si>
    <t>10.1080/00063657.2023.2237232</t>
  </si>
  <si>
    <t>Ornithology</t>
  </si>
  <si>
    <t>Zoology</t>
  </si>
  <si>
    <t>N5LF4</t>
  </si>
  <si>
    <t>WOS:001037418100001</t>
  </si>
  <si>
    <t>Ramos, RG; Scarabello, MD; Costa, W; Andrade, PR; Soterroni, A; Ramos, FM</t>
  </si>
  <si>
    <t>Ramos, Rafael G.; Scarabello, Marluce da Cruz; Costa, Wanderson; Andrade, Pedro R.; Soterroni, Aline; Ramos, Fernando M.</t>
  </si>
  <si>
    <t>A mathematical programming approach for downscaling multi-layered multi-constraint land-use models</t>
  </si>
  <si>
    <t>INTERNATIONAL JOURNAL OF GEOGRAPHICAL INFORMATION SCIENCE</t>
  </si>
  <si>
    <t>Downscaling; land-use; land-cover; mathematical programming; &gt;</t>
  </si>
  <si>
    <t>CLIMATE-CHANGE; AREAL INTERPOLATION; COVER CHANGES; SUPERRESOLUTION</t>
  </si>
  <si>
    <t>Land-use and land-cover change (LULCC) models are important tools for environmental policy planning. LULCC models are frequently constrained to the generation of projections at a specific resolution. However, subsequent studies or models may require finer resolutions. In this work, a downscaling method for LULCC models is proposed that uses a mathematical programming approach to disaggregate the multiple layers of the land-use change projections while respecting a series of constraints. The method is calibrated and validated with MapBiomas data for the years 2000 and 2018 converted for the GLOBIOM-Brazil model, successfully predicting land-use at a finer resolution. Also, as proof of concept, the calibrated model is also applied for GLOBIOM-Brazil projections for 2050. This paper advances the state-of-the-art by proposing and testing a downscaling method using a mathematical programming approach with spatial effects, that operates on multi-layered land-use projections with a range of constraints while allowing flexibility on the number and type of the specific layers and constraints.</t>
  </si>
  <si>
    <t>[Ramos, Rafael G.; Scarabello, Marluce da Cruz; Costa, Wanderson; Andrade, Pedro R.; Soterroni, Aline; Ramos, Fernando M.] Inst Nacl Pesquisas Espaciais, Sao Jose Dos Campos, Brazil</t>
  </si>
  <si>
    <t>Instituto Nacional de Pesquisas Espaciais (INPE)</t>
  </si>
  <si>
    <t>Ramos, RG (corresponding author), Inst Nacl Pesquisas Espaciais, Sao Jose Dos Campos, Brazil.</t>
  </si>
  <si>
    <t>rafael.ramos@inpe.br</t>
  </si>
  <si>
    <t>Soterroni, Aline/0000-0003-3113-096X</t>
  </si>
  <si>
    <t>RESTORE?+?project; Federal Ministry for the Environment, Nature Conservation and Nuclear Safety (BMU)</t>
  </si>
  <si>
    <t>This work was supported by the RESTORE?+?project, which is part of the International Climate Initiative (IKI), supported by the Federal Ministry for the Environment, Nature Conservation and Nuclear Safety (BMU).</t>
  </si>
  <si>
    <t>1365-8816</t>
  </si>
  <si>
    <t>1362-3087</t>
  </si>
  <si>
    <t>INT J GEOGR INF SCI</t>
  </si>
  <si>
    <t>Int. J. Geogr. Inf. Sci.</t>
  </si>
  <si>
    <t>10.1080/13658816.2023.2241144</t>
  </si>
  <si>
    <t>Computer Science, Information Systems; Geography; Geography, Physical; Information Science &amp; Library Science</t>
  </si>
  <si>
    <t>Computer Science; Geography; Physical Geography; Information Science &amp; Library Science</t>
  </si>
  <si>
    <t>P0YQ3</t>
  </si>
  <si>
    <t>WOS:001036807600001</t>
  </si>
  <si>
    <t>Samper, A; Martín-Sáiz, R; Moreno-García, D</t>
  </si>
  <si>
    <t>Samper, Albert; Martin-Saiz, Rodrigo; Moreno-Garcia, David</t>
  </si>
  <si>
    <t>Study on the Mechanical Capacity and Structural Relevance of a Flying Buttress Through the Analysis of a Particular Case</t>
  </si>
  <si>
    <t>INTERNATIONAL JOURNAL OF ARCHITECTURAL HERITAGE</t>
  </si>
  <si>
    <t>Girona Cathedral; culee; flying buttress; gothic architecture; mechanical analysis; &gt;</t>
  </si>
  <si>
    <t>A flying buttress serves an aesthetic purpose and two technical purposes. In particular, it helps to drain rainwater from the roof and also plays a structural role. The aesthetic and drainage functions can be determined visually and with the help of several bibliographical references. On the contrary, in order to assess the structural function a rigorous mechanical study must be carried out. Starting from the mechanical capacity of a flying buttress, this paper presents a method to determine its relevance and influence on the structural behaviour of the cathedral.</t>
  </si>
  <si>
    <t>[Samper, Albert] Univ Girona, Inst Recerca Hist, Girona, Spain; [Martin-Saiz, Rodrigo; Moreno-Garcia, David] Univ Rovira &amp; Virgili, Escola Tecn Super Arquitectura, Tarragona, Spain</t>
  </si>
  <si>
    <t>Universitat de Girona; Universitat Rovira i Virgili</t>
  </si>
  <si>
    <t>Samper, A (corresponding author), Univ Girona, Inst Recerca Hist, Girona, Spain.</t>
  </si>
  <si>
    <t>albert.samper@urv.cat</t>
  </si>
  <si>
    <t>; Samper, Albert/L-2946-2014</t>
  </si>
  <si>
    <t>MARTIN-SAIZ, RODRIGO/0000-0002-5232-3886; Samper, Albert/0000-0002-4795-2127; Moreno Garcia, David/0000-0002-5322-8143</t>
  </si>
  <si>
    <t>[T19243S]</t>
  </si>
  <si>
    <t>This work is part of the research project Smart Built Heritage. Del registro a la simulacion digital para inmuebles medievales y modernos with reference TED2021-129148B.</t>
  </si>
  <si>
    <t>1558-3058</t>
  </si>
  <si>
    <t>1558-3066</t>
  </si>
  <si>
    <t>INT J ARCHIT HERIT</t>
  </si>
  <si>
    <t>Int. J. Archit. Herit.</t>
  </si>
  <si>
    <t>10.1080/15583058.2023.2240268</t>
  </si>
  <si>
    <t>Architecture; Construction &amp; Building Technology; Engineering, Civil</t>
  </si>
  <si>
    <t>Science Citation Index Expanded (SCI-EXPANDED); Arts &amp; Humanities Citation Index (A&amp;HCI)</t>
  </si>
  <si>
    <t>Architecture; Construction &amp; Building Technology; Engineering</t>
  </si>
  <si>
    <t>M7TX4</t>
  </si>
  <si>
    <t>WOS:001032215800001</t>
  </si>
  <si>
    <t>Swartz, E; Werner, NJ</t>
  </si>
  <si>
    <t>Swartz, Eric; Werner, Nicholas J. J.</t>
  </si>
  <si>
    <t>A new infinite family of &amp; sigma;-elementary rings</t>
  </si>
  <si>
    <t>Covering; subring cover</t>
  </si>
  <si>
    <t>COVERING NUMBERS; SUBGROUP COVERINGS; PAIRWISE GENERATE; SYMMETRIC-GROUPS; ELEMENTS; UNIONS; SETS; SUM</t>
  </si>
  <si>
    <t>A cover of an associative (not necessarily commutative nor unital) ring R is a collection of proper subrings of R whose set-theoretic union equals R. If such a cover exists, then the covering number s (R) of R is the cardinality of a minimal cover, and a ring R is called s -elementary if s (R) &lt; s (R/I) for every nonzero two-sided ideal I of R. In this paper, we provide the first examples of s -elementary rings R that have nontrivial Jacobson radical J with R/J noncommutative, and we determine the covering numbers of these rings.</t>
  </si>
  <si>
    <t>[Swartz, Eric] William &amp; Mary, Dept Math, POB 8795, Williamsburg, VA 23187 USA; [Werner, Nicholas J. J.] State Univ New York Coll Old Westbury, Dept Math Comp &amp; Informat Sci, Old Westbury, NY USA</t>
  </si>
  <si>
    <t>Swartz, E (corresponding author), William &amp; Mary, Dept Math, POB 8795, Williamsburg, VA 23187 USA.</t>
  </si>
  <si>
    <t>easwartz@wm.edu</t>
  </si>
  <si>
    <t>10.1080/00927872.2023.2237575</t>
  </si>
  <si>
    <t>N7MP4</t>
  </si>
  <si>
    <t>WOS:001038811900001</t>
  </si>
  <si>
    <t>Zagorodnyaya, YA; Piontkovski, SA; Gubanov, VV</t>
  </si>
  <si>
    <t>Zagorodnyaya, Yuliya A.; Piontkovski, Sergey A.; Gubanov, Vladimir V.</t>
  </si>
  <si>
    <t>The pelagic ecosystem of the Black Sea goes gelatinous</t>
  </si>
  <si>
    <t>MARINE BIOLOGY RESEARCH</t>
  </si>
  <si>
    <t>Gelatinous plankton; Aurelia aurita; Mnemiopsis leidyi; Noctiluca scintillans; forage zooplankton; Black Sea; &gt;</t>
  </si>
  <si>
    <t>POPULATION-DYNAMICS; AURELIA-AURITA; JELLYFISH POPULATIONS; INTERANNUAL CHANGES; HAMSILOS BAY; ZOOPLANKTON; BIOMASS; PLANKTON; ABUNDANCE; IMPACT</t>
  </si>
  <si>
    <t>Following up on the issue of worldwide growing gelatinous plankton dominance, we analysed historical records on zooplankton biomass from the 1970s to the present, in order to assess the ratio of gelatinous- to-non-gelatinous zooplankton (GN). The latter is poorly analysed in current publications featuring the Black Sea pelagic ecosystem. The GN characterizes the quality of zooplankton as a food source for small pelagic fishes which dominate Black Sea fishery. The retrospective analysis of zooplankton biomass constituents in coastal and open sea waters retrieved from published papers was complemented by an 11-year sampling (up until 2021), across the Crimean shelf. The comparison over regions (represented by the north-eastern, the northern, the north-western, the southern and the open sea) showed that the jellyfish Aurelia aurita, the ctenophore Mnemiopsis leidyi, and the dinoflagellate Noctiluca scintillans act as major contributors to the total gelatinous biomass of the 2000s, on a basin scale. On average, the wet gelatinous biomass is about one hundred times that of the non-gelatinous one. High values of the GN ratio (in wet mass and in carbon units) in coastal waters indirectly imply a leading role of a detritus pathway of organic matter in a pelagic ecosystem.</t>
  </si>
  <si>
    <t>[Zagorodnyaya, Yuliya A.; Gubanov, Vladimir V.] AO Kovalevsky Inst Biol Southern Seas, Sevastopol, Russia; [Piontkovski, Sergey A.] Sevastopol State Univ, Marine Ecosyst Lab, Sevastopol, Russia; [Piontkovski, Sergey A.] Sevastopol State Univ, 33 Univ Str, Sevastopol 299051, Russia</t>
  </si>
  <si>
    <t>Russian Academy of Sciences; AO Kovalevsky Institute of Biology of the Southern Seas of RAS (IBSS); Sevastopol State University; Sevastopol State University</t>
  </si>
  <si>
    <t>Piontkovski, SA (corresponding author), Sevastopol State Univ, 33 Univ Str, Sevastopol 299051, Russia.</t>
  </si>
  <si>
    <t>spiontkovski@gmail.com</t>
  </si>
  <si>
    <t>Golovina, Ekaterina/F-2870-2017</t>
  </si>
  <si>
    <t>1745-1000</t>
  </si>
  <si>
    <t>1745-1019</t>
  </si>
  <si>
    <t>MAR BIOL RES</t>
  </si>
  <si>
    <t>Mar. Biol. Res.</t>
  </si>
  <si>
    <t>10.1080/17451000.2023.2235571</t>
  </si>
  <si>
    <t>Ecology; Marine &amp; Freshwater Biology</t>
  </si>
  <si>
    <t>Environmental Sciences &amp; Ecology; Marine &amp; Freshwater Biology</t>
  </si>
  <si>
    <t>N0IS3</t>
  </si>
  <si>
    <t>WOS:001033962600001</t>
  </si>
  <si>
    <t>Zhou, XX; Wang, XF; Wang, B</t>
  </si>
  <si>
    <t>Zhou, Xiaoxue; Wang, Xiaofei; Wang, Bin</t>
  </si>
  <si>
    <t>Searching for optimal Latin hypercube designs by a local greedy strategy</t>
  </si>
  <si>
    <t>COMMUNICATIONS IN STATISTICS-SIMULATION AND COMPUTATION</t>
  </si>
  <si>
    <t>Computer experiment; Latin hypercube design; Simulated annealing; &gt;</t>
  </si>
  <si>
    <t>The Latin hypercube design (LHD), because of its one-dimensional projection uniformity, is commonly used in computer experiment. The randomly generated LHD may have too many concentrated design points, and factors may be highly correlated. In this article, we suggested a local greedy strategy for searching optimal LHDs. Our strategy consists of two parts. One is a swap process for doing a local greedy search in a polynomial time. The other is a simulated annealing process for jumping out of the possible local optima. Our strategy is flexible and adapts to various space-filling criteria of LHDs. The simulated experiments illustrated that our proposed algorithm can produce LHDs with well space-filling property and orthogonality. Compared to other classical design algorithms, our algorithm performed better on the criteria related to the point distance and the column correlation. Moreover, for the response surface approximation, the Kriging model using our produced optimal LHD performed more robust on the surface prediction.</t>
  </si>
  <si>
    <t>[Zhou, Xiaoxue; Wang, Xiaofei] Northeast Normal Univ, Sch Math &amp; Stat, Key Lab Appl Stat MOE, Changchun, Peoples R China; [Wang, Bin] Chinese Acad Sci, Changchun Inst Opt Fine Mech &amp; Phys, Changchun, Peoples R China</t>
  </si>
  <si>
    <t>Northeast Normal University - China; Chinese Academy of Sciences; Changchun Institute of Optics, Fine Mechanics &amp; Physics, CAS</t>
  </si>
  <si>
    <t>Wang, XF (corresponding author), Northeast Normal Univ, Sch Math &amp; Stat, Key Lab Appl Stat MOE, Changchun, Peoples R China.</t>
  </si>
  <si>
    <t>wangxf341@nenu.edu.cn</t>
  </si>
  <si>
    <t>National Key Ramp;D Program of China [2020YFA0714102]; National Natural Foundation of China [12171076, 12226003]</t>
  </si>
  <si>
    <t>National Key Ramp;D Program of China; National Natural Foundation of China(National Natural Science Foundation of China (NSFC))</t>
  </si>
  <si>
    <t>This work is supported by National Key R&amp;D Program of China (No. 2020YFA0714102), and the National Natural Foundation of China (Nos. 12171076, 12226003).</t>
  </si>
  <si>
    <t>0361-0918</t>
  </si>
  <si>
    <t>1532-4141</t>
  </si>
  <si>
    <t>COMMUN STAT-SIMUL C</t>
  </si>
  <si>
    <t>Commun. Stat.-Simul. Comput.</t>
  </si>
  <si>
    <t>10.1080/03610918.2023.2240047</t>
  </si>
  <si>
    <t>N8RB8</t>
  </si>
  <si>
    <t>WOS:001039610200001</t>
  </si>
  <si>
    <t>Czymara, CS; Bauer, L</t>
  </si>
  <si>
    <t>Czymara, Christian S.; Bauer, Leo</t>
  </si>
  <si>
    <t>Discursive Shifts in the German Right-Wing Newspaper Junge Freiheit 1997-2019: A Computational Approach</t>
  </si>
  <si>
    <t>GERMAN POLITICS</t>
  </si>
  <si>
    <t>NEWS MEDIA; PARTIES; AFD; NATIONALISM; IMMIGRANTS; RADICALISM; RISE</t>
  </si>
  <si>
    <t>Right-wing media are pivotal for the success of the political right. We investigate the discursive trends in roughly 57,000 articles published in Germany's biggest far-right weekly newspaper, Junge Freiheit (JF), between 1997 and 2019. During this period, JF expanded steadily in terms of both circulation and output. Quantitative content analyses reveal that, firstly, JF shows clear partisanship: although officially independent, JF has already covered the relatively new right-wing party Alternative fur Deutschland more than all other parties combined. Secondly, JF tends to form its identity mostly through railing against the perceived dominance of liberalism in politics and society, although attention to these aspects has decreased in recent years. At the same time, whitewashing Germany's past has been a rather stable theme. Lastly, the JF clearly casts immigrants, refugees, and Muslims as a threat to Germany. However, this aspect has mainly become prominent in recent years, and the refugee inflows of 2015/16 worked as a catalyst that boosted attention on related topics. We discuss implications for scholarship on right-wing media in general, and Germany in particular.</t>
  </si>
  <si>
    <t>[Czymara, Christian S.] Tel Aviv Univ, Fac Social Sci, Tel Aviv, Israel; [Bauer, Leo] Univ Maryland, Dept Govt &amp; Polit, College Pk, MD USA</t>
  </si>
  <si>
    <t>Tel Aviv University; University System of Maryland; University of Maryland College Park</t>
  </si>
  <si>
    <t>Czymara, CS (corresponding author), Tel Aviv Univ, Fac Social Sci, Tel Aviv, Israel.</t>
  </si>
  <si>
    <t>christian@czymara.com</t>
  </si>
  <si>
    <t>Czymara, Christian S./S-8900-2019</t>
  </si>
  <si>
    <t>Czymara, Christian S./0000-0002-9535-3559</t>
  </si>
  <si>
    <t>0964-4008</t>
  </si>
  <si>
    <t>1743-8993</t>
  </si>
  <si>
    <t>GER POLIT</t>
  </si>
  <si>
    <t>Ger. Polit.</t>
  </si>
  <si>
    <t>2023 JUL 25</t>
  </si>
  <si>
    <t>10.1080/09644008.2023.2231353</t>
  </si>
  <si>
    <t>M8RV6</t>
  </si>
  <si>
    <t>WOS:001032842400001</t>
  </si>
  <si>
    <t>Garcia, MJ</t>
  </si>
  <si>
    <t>Garcia, Maria J.</t>
  </si>
  <si>
    <t>Post-Brexit trade policy in the UK: placebo policy-making?</t>
  </si>
  <si>
    <t>JOURNAL OF EUROPEAN PUBLIC POLICY</t>
  </si>
  <si>
    <t>Brexit; FTA; policy-making; post-Brexit; trade policy; symbolism; &gt;</t>
  </si>
  <si>
    <t>Trade policy and negotiations have lain at the heart of the Brexit process. Initial UK trade policy has been characterised by: (1) the need to limit the impact of changes in trading relations (mainly with the EU) to minimise challenges for businesses and the possibility of economic losses; (2) a strong ideological commitment to free trade, and related to that; (3) symbolic and 'placebo' actions designed to show that the UK can enact an independent trade policy. Negotiation of free trade agreements (FTAs), thus, became a priority of trade policy. This article explores how approaches to FTAs have evolved, focusing specifically on post-Brexit FTAs with Australasia. Overall, the desire to complete speedy agreements has at times trumped business and societal interests, and precluded the development of a coherent long-term UK FTA vision, revealing the symbolic motivation of being seen as 'delivering Brexit' behind the initial years of post-Brexit trade policy.</t>
  </si>
  <si>
    <t>[Garcia, Maria J.] Univ Bath, Dept Polit Languages &amp; Int Studies, Bath, England</t>
  </si>
  <si>
    <t>University of Bath</t>
  </si>
  <si>
    <t>Garcia, MJ (corresponding author), Univ Bath, Dept Polit Languages &amp; Int Studies, Bath, England.</t>
  </si>
  <si>
    <t>m.garcia@bath.ac.uk</t>
  </si>
  <si>
    <t>1350-1763</t>
  </si>
  <si>
    <t>1466-4429</t>
  </si>
  <si>
    <t>J EUR PUBLIC POLICY</t>
  </si>
  <si>
    <t>J. Eur. Public Policy</t>
  </si>
  <si>
    <t>10.1080/13501763.2023.2235380</t>
  </si>
  <si>
    <t>Political Science; Public Administration</t>
  </si>
  <si>
    <t>Government &amp; Law; Public Administration</t>
  </si>
  <si>
    <t>N1GP0</t>
  </si>
  <si>
    <t>WOS:001034584200001</t>
  </si>
  <si>
    <t>Hoque, MZ; Mozahid, MN; Islam, MJ</t>
  </si>
  <si>
    <t>Hoque, Mohammed Ziaul; Mozahid, Md. Nur; Islam, Md. Jakiul</t>
  </si>
  <si>
    <t>Determinants affecting consumers' preferences of retail market and WTP for safe Rui (Labeo rohita)</t>
  </si>
  <si>
    <t>AQUACULTURE ECONOMICS &amp; MANAGEMENT</t>
  </si>
  <si>
    <t>Safe fish; willingness to pay; supermarket; wet market; consumer choices; Bangladesh</t>
  </si>
  <si>
    <t>ANIMAL-WELFARE; FOOD QUALITY; WET MARKETS; AQUACULTURE; SUPERMARKETS; SEAFOOD; FISH; REVOLUTION; CHOICE; RISK</t>
  </si>
  <si>
    <t>In developing countries, food safety is an important predictor of consumer attitude when purchasing fish. This paper explores factors affecting the choice of retail markets and consumers' Willingness to Pay (WTP) for safe fish in Bangladesh. Cross-sectional data were collected through a consumer survey (n = 420) in two major cities. Factor analysis, multinomial logit model, and log-linear regression were employed to investigate the latent structure of a set of variables; assess factors affecting consumers' WTP and their choices of retail markets for safe fish. The study outcomes demonstrate that consumers perceived the production method as the more influential attribute in choosing safe fish, and their WTP for production method is higher than for safety claims. High earners and female customers with a heightened safety awareness have the strongest preference for safe fish from supermarkets. In contrast, low-income consumers only are more likely to buy safe fish at wet markets. For a high-income level, the presence of a minor in the family, a low number of family members, willingness to join an Environmental Club, and a positive attitude toward attributes substantially influence consumers' WTP for safe fish positively.</t>
  </si>
  <si>
    <t>[Hoque, Mohammed Ziaul] Univ Chittagong, Dept Finance, Chittagong, Bangladesh; [Mozahid, Md. Nur] Sylhet Agr Univ, Dept Agr Econ &amp; Policy, Sylhet, Bangladesh; [Islam, Md. Jakiul] Sylhet Agr Univ, Dept Fisheries Technol &amp; Qual, Sylhet, Bangladesh</t>
  </si>
  <si>
    <t>University of Chittagong; Sylhet Agricultural University; Sylhet Agricultural University</t>
  </si>
  <si>
    <t>Hoque, MZ (corresponding author), Univ Chittagong, Dept Finance, Chittagong, Bangladesh.</t>
  </si>
  <si>
    <t>mzhoque@cu.ac.bd</t>
  </si>
  <si>
    <t>Hoque, Mohammed Ziaul/B-8827-2018</t>
  </si>
  <si>
    <t>Hoque, Mohammed Ziaul/0000-0002-7414-3683</t>
  </si>
  <si>
    <t>1365-7305</t>
  </si>
  <si>
    <t>1551-8663</t>
  </si>
  <si>
    <t>AQUACULT ECON MANAG</t>
  </si>
  <si>
    <t>Aquac. Econ. Manag.</t>
  </si>
  <si>
    <t>10.1080/13657305.2023.2239184</t>
  </si>
  <si>
    <t>Agricultural Economics &amp; Policy; Fisheries</t>
  </si>
  <si>
    <t>Agriculture; Fisheries</t>
  </si>
  <si>
    <t>N6BJ8</t>
  </si>
  <si>
    <t>WOS:001037840200001</t>
  </si>
  <si>
    <t>Li, SW; Yang, WC; Huang, SZ; Chen, RY; Cheng, XY; Zhou, SP; Gong, JF; Qian, HY; Fang, F</t>
  </si>
  <si>
    <t>Li, Shengwen; Yang, Wanchen; Huang, Suzhen; Chen, Renyao; Cheng, Xuyang; Zhou, Shunping; Gong, Junfang; Qian, Haoyue; Fang, Fang</t>
  </si>
  <si>
    <t>A hierarchical constraint-based graph neural network for imputing urban area data</t>
  </si>
  <si>
    <t>Urban area; spatial prediction; hierarchical constraint; spatial interpolation; &gt;</t>
  </si>
  <si>
    <t>MISSING DATA; SPATIAL INTERPOLATION; PREDICTION</t>
  </si>
  <si>
    <t>Urban area data are strategically important for public safety, urban management, and planning. Previous research has attempted to estimate the values of unsampled regular areas, while minimal attention has been paid to the values of irregular areas. To address this problem, this study proposes a hierarchical geospatial graph neural network model based on the spatial hierarchical constraints of areas. The model first characterizes spatial relationships between irregular areas at different spatial scales. Then, it aggregates information from neighboring areas with graph neural networks, and finally, it imputes missing values in fine-grained areas under hierarchical relationship constraints. To investigate the performance of the proposed model, we constructed a new dataset consisting of the urban statistical values of irregular areas in New York City. Experiments on the dataset show that the proposed model outperforms state-of-the-art baselines and exhibits robustness. The model is adaptable to numerous geographic applications, including traffic management, public safety, and public resource allocation.</t>
  </si>
  <si>
    <t>[Li, Shengwen; Yang, Wanchen; Huang, Suzhen; Chen, Renyao; Cheng, Xuyang; Zhou, Shunping; Fang, Fang] China Univ Geosci, Sch Comp Sci, Wuhan, Peoples R China; [Gong, Junfang; Qian, Haoyue] China Univ Geosci, Sch Geog &amp; Informat Engn, Wuhan, Peoples R China</t>
  </si>
  <si>
    <t>China University of Geosciences; China University of Geosciences</t>
  </si>
  <si>
    <t>Gong, JF (corresponding author), China Univ Geosci, Sch Geog &amp; Informat Engn, Wuhan, Peoples R China.</t>
  </si>
  <si>
    <t>jfgong@cug.edu.cn</t>
  </si>
  <si>
    <t>Li, Shengwen/0000-0002-1829-4006</t>
  </si>
  <si>
    <t>10.1080/13658816.2023.2239307</t>
  </si>
  <si>
    <t>WOS:001032855600001</t>
  </si>
  <si>
    <t>Smith, M; Lennertz, L</t>
  </si>
  <si>
    <t>Smith, Mandi; Lennertz, Lora</t>
  </si>
  <si>
    <t>Overlap Analysis: A Case Study</t>
  </si>
  <si>
    <t>SERIALS REVIEW</t>
  </si>
  <si>
    <t>Alma; 360 core; overlap analysis; overlap reports; overlap tools; gold rush decision support; &gt;</t>
  </si>
  <si>
    <t>JOURNAL COVERAGE; SCIENCE; WEB; SCOPUS</t>
  </si>
  <si>
    <t>In a landscape of uncertain budgets, it is more important than ever that libraries make the best decisions for their collections. Overlap analysis is an essential part of that decision-making process. In the previous decades, overlap analysis and tools have evolved to meet the challenges associated with analyzing today's complex resources. This case study outlines the overlap analysis workflows and tools utilized by the University of Arkansas Libraries. The paper also discusses the Libraries' processes for creating overlap reports for both full-text and citation-only resources and provides an appendix that details how the Libraries completed select functions outside of vendor-supplied tools.</t>
  </si>
  <si>
    <t>[Smith, Mandi; Lennertz, Lora] Univ Arkansas, Univ Arkansas Lib, Fayetteville, AR USA; [Smith, Mandi] Univ Arkansas, Univ Arkansas Lib, 365 N McIlroy Ave, Fayetteville, AR 72701 USA</t>
  </si>
  <si>
    <t>University of Arkansas System; University of Arkansas Fayetteville; University of Arkansas System; University of Arkansas Fayetteville</t>
  </si>
  <si>
    <t>Smith, M (corresponding author), Univ Arkansas, Univ Arkansas Lib, 365 N McIlroy Ave, Fayetteville, AR 72701 USA.</t>
  </si>
  <si>
    <t>ms054@uark.edu</t>
  </si>
  <si>
    <t>Lennertz, Lora/F-8921-2018</t>
  </si>
  <si>
    <t>Lennertz, Lora/0000-0002-4708-4710</t>
  </si>
  <si>
    <t>0098-7913</t>
  </si>
  <si>
    <t>1879-095X</t>
  </si>
  <si>
    <t>SERIALS REV</t>
  </si>
  <si>
    <t>Ser. Rev.</t>
  </si>
  <si>
    <t>10.1080/00987913.2023.2235665</t>
  </si>
  <si>
    <t>Information Science &amp; Library Science</t>
  </si>
  <si>
    <t>M8RX8</t>
  </si>
  <si>
    <t>WOS:001032844600001</t>
  </si>
  <si>
    <t>Benghanem, S; Mesli, F; Zohra, HAF; Nacereddine, C; Hadjer, C; Abdellatif, M</t>
  </si>
  <si>
    <t>Benghanem, Soumia; Mesli, Fouzia; Zohra, Hadjadj Aoul Fatima; Nacereddine, Chaida; Hadjer, Chenaffa; Abdellatif, Merzoug</t>
  </si>
  <si>
    <t>Discovery of novel and highly potential inhibitors of glycogen synthase kinase 3-beta (GSK-3 beta) through structure-based pharmacophore modeling, virtual computational screening, docking and in silico ADMET analysis</t>
  </si>
  <si>
    <t>Pharmacophore modeling; GSK-3 beta; docking; ATP binding pocket; ADMET; dynamic simulations; pyrazolidine 3,5-dione</t>
  </si>
  <si>
    <t>BIOLOGICAL EVALUATION; ALZHEIMERS-DISEASE; MOLECULAR DOCKING; FORCE-FIELD; DRUG; RECOGNITION; IDENTIFY; DESIGN; COMMON; PHASE</t>
  </si>
  <si>
    <t>The protein Glycogen Synthase Kinase 3-Beta (GSK-3 beta), is a promising therapeutic target for treating various diseases such as neurodegenerative disorders, diabetes, inflammation and cancer. This study aims to investigate the potential of compounds targeting inflammation or carbohydrate metabolism to selectively inhibit GSK3 beta by binding to its ATP site. To achieve this goal, we filtered a database of 49367 molecules involved in carbohydrate metabolism or targeting inflammation using various computational analyses, including pharmacophore modeling, molecular docking, dynamic simulation, prime MM-GBSA calculation, and in silico ADME studies. We generated a pharmacophore model (hypo S: AADDHRR) using two different crystallographic complexes of GSK3b and evaluated the model's performance in identifying hits using various parameters, including EF, GH, ROC, AUC and BEDROC. Subsequently, we performed various dockings (HTVS, SP, XP and IFD) for the retrieved hits and found that, 5 out of the top 10 ranked compounds had the scaffold of pyrazolidine 3,5-dione, which has never been reported to inhibit kinases. We also conducted ADMET studies to and concluded that compound N6 exhibited the best pharmacokinetic profile passing the blood-brain barrier, possessing high lipophilicity and a high coefficient of skin permeability in the intestines, along with good bioavailability and low toxicity risk assessment. Dynamic simulation were also performed indicating that compounds N6 derived from pyrazolidine 3,5-dione demonstrated better binding potential for GSK3b during the simulation period. Therefore, we propose that compounds derived from pyrazolidine-3,5dione, which modulate the activity of lysosomal alpha-glucosidase could serve as a novel scaffold for the selective inhibition of GSK-3 beta.</t>
  </si>
  <si>
    <t>[Benghanem, Soumia; Nacereddine, Chaida; Hadjer, Chenaffa] Tlemcen Univ, Fac Med, Lab Therapeut Chem, Tilimsen, Algeria; [Mesli, Fouzia] Tlemcen Univ, Fac Sci, Lab Nat &amp; Bioact Subst, Tilimsen, Algeria; [Zohra, Hadjadj Aoul Fatima] Benyoucef Benkhadda Univ, Fac Pharm, Lab Therapeut Chem, Tilimsen, Algeria; [Abdellatif, Merzoug] Tlemcen Univ, Fac Technol, Tilimsen, Algeria</t>
  </si>
  <si>
    <t>Universite Abou Bekr Belkaid; Universite Abou Bekr Belkaid; Universite Abou Bekr Belkaid</t>
  </si>
  <si>
    <t>Mesli, F (corresponding author), Tlemcen Univ, Fac Sci, Lab Nat &amp; Bioact Subst, Tilimsen, Algeria.</t>
  </si>
  <si>
    <t>meslifouzia2018@gmail.com</t>
  </si>
  <si>
    <t>Algerian Ministry of Higher Education and Scientific Research</t>
  </si>
  <si>
    <t>Authors thanks the Algerian Ministry of Higher Education and Scientific Research for the support under the PRFU project (approval No. B00L01UN130120190009) and (approval No. BOOL01UN130120180004).</t>
  </si>
  <si>
    <t>2023 JUL 24</t>
  </si>
  <si>
    <t>10.1080/07391102.2023.2238062</t>
  </si>
  <si>
    <t>N7MQ4</t>
  </si>
  <si>
    <t>WOS:001038812900001</t>
  </si>
  <si>
    <t>Dhanalakshmi, B; Kumar, BMA; Murthy, VS; Srinivasa, SM; Vivek, HK; Sennappan, M; Rangappa, S</t>
  </si>
  <si>
    <t>Dhanalakshmi, Boregowda; Kumar, Belagal Motatis Anil; Murthy, Venkatappan Srinivasa; Srinivasa, Sudhanva Muddenahalli; Vivek, Hamse Kameshwar; Sennappan, Madhappan; Rangappa, Shobith</t>
  </si>
  <si>
    <t>Design, synthesis and docking studies of novel 4-aminophenol-1,2,4-oxadiazole hybrids as apoptosis inducers against triple negative breast cancer cells targeting MAP kinase</t>
  </si>
  <si>
    <t>4-Aminophenol; 1; 2; 4-oxadiazole; 4-aminophenolbenzamide; anticancer; triple negative breast cancer; &gt;</t>
  </si>
  <si>
    <t>INHIBITORS; POTENT; N-(4-HYDROXYPHENYL)RETINAMIDE; DERIVATIVES; FENRETINIDE; PROTEINS; INSULIN; ACID</t>
  </si>
  <si>
    <t>In our study, a series of novel 4-aminophenol benzamide-1,2,4-oxadiazole hybrid analogues have been designed and synthesized by condensing 4-hydroxyphenyl arylamides (3a-c) and 5-chloromethyl-3-aryl-1,2,4-oxadiazoles (6a-d). The structure of the synthesised compounds was verified by various spectroscopic techniques (H-1 NMR, C-13 NMR, IR and LC-MS). All the prepared compounds were subjected to in silico and in vitro antiproliferative study against TNBC cell lines MDA-MB-468 and MDA-MB-231. The investigations revealed that compound 7k significantly promoted apoptosis against MDA-MB-468 and MDA-MB-231 cells with IC50 values of 22.31 &amp; mu;M and 26.27 &amp; mu;M, respectively. Compound 7k interacted with crucial active sites of MAPK and exhibited the highest docking score of -7.06 kcal/mol. Docking was validated with molecular dynamic studies with simulation for 100 ns, depicting various stable interactions with MAPK. Consequently, 7k forms stable H-Bonds and &amp; pi;-&amp; pi; stacking with amino acid residues along with &amp; pi;-cation. Our investigations reveal that the in vitro antiproliferative study of 7k was in good correlation with the in silico studies. Hence, 7k serves as a potential novel lead for the inhibition of TNBCs by downregulating MAPK P38.Communicated by Ramaswamy H. Sarma</t>
  </si>
  <si>
    <t>[Dhanalakshmi, Boregowda; Murthy, Venkatappan Srinivasa] Dayananda Sagar Univ, Sch Engn, Dept Chem, Bengaluru, Karnataka, India; [Dhanalakshmi, Boregowda] Visvesvaraya Technol Univ, Rajeev Inst Technol, Dept Chem, Hassan, Karnataka, India; [Kumar, Belagal Motatis Anil; Srinivasa, Sudhanva Muddenahalli; Rangappa, Shobith] Adichunchanagiri Univ, Adichunchanagiri Sch Nat Sci, Dept Mol Biol, ACU CRI,BGSIT, Bg Nagara, Karnataka, India; [Kumar, Belagal Motatis Anil; Srinivasa, Sudhanva Muddenahalli; Rangappa, Shobith] Adichunchanagiri Univ, Adichunchanagiri Inst Mol Med, Adichunchanagiri Inst Med Sci, Bg Nagara, Karnataka, India; [Vivek, Hamse Kameshwar] Adichunchanagiri Univ, Adichunchanagiri Sch Nat Sci, Dept Biochem, ACU CRI,BGSIT, Bg Nagara, Karnataka, India; [Vivek, Hamse Kameshwar] Adichunchanagiri Univ, Adichunchanagiri Inst Med Sci, Dept Biochem, Bg Nagara, Karnataka, India; [Sennappan, Madhappan] Dayananda Sagar Coll Engn, Dept Chem, Bangalore, Karnataka, India</t>
  </si>
  <si>
    <t>Visvesvaraya Technological University; Dayananda Sagar College of Engineering</t>
  </si>
  <si>
    <t>Murthy, VS (corresponding author), Dayananda Sagar Univ, Sch Engn, Dept Chem, Bengaluru, Karnataka, India.</t>
  </si>
  <si>
    <t>vsmurthy-chem@dsu.edu.in</t>
  </si>
  <si>
    <t>Hamse, Vivek K/M-9726-2013; M, Sennappan/AAI-7897-2021; Muddenahalli Srinivasa, Sudhanva/AAD-9049-2020</t>
  </si>
  <si>
    <t>Hamse, Vivek K/0000-0002-5808-5583; M, Sennappan/0000-0002-4639-9438; Muddenahalli Srinivasa, Sudhanva/0000-0001-9141-6148</t>
  </si>
  <si>
    <t>10.1080/07391102.2023.2239912</t>
  </si>
  <si>
    <t>N8RQ3</t>
  </si>
  <si>
    <t>WOS:001039624700001</t>
  </si>
  <si>
    <t>Feeney, R; Willmott, L; Wilson, J; White, B</t>
  </si>
  <si>
    <t>Feeney, Rachel; Willmott, Lindy; Wilson, Jill; White, Ben</t>
  </si>
  <si>
    <t>Legal issues in end-of-life care for speech-language pathologists and social workers: A scoping review</t>
  </si>
  <si>
    <t>INTERNATIONAL JOURNAL OF SPEECH-LANGUAGE PATHOLOGY</t>
  </si>
  <si>
    <t>End-of-life care; health legislation; social workers; speech-language pathology; &gt;</t>
  </si>
  <si>
    <t>LAW</t>
  </si>
  <si>
    <t>PurposeEnd-of-life law governs end-of-life decision-making in clinical practice. There has been little analysis of the specific legal issues relevant to allied health professionals working in end-of-life care.MethodA scoping review was undertaken to identify and examine the extent, range, and nature of literature on the legal issues relevant to end-of-life practice for Australian speech-language pathologists and social workers, including current gaps. Literature was identified by searching six electronic databases, Google Scholar, the websites of relevant professional organisations and State/Territory health departments, scanning reference lists, and drawing on existing knowledge. Data charting and thematic analysis of findings was performed.ResultTwenty documents were included, spanning various document types. Most focused on adult clinical practice. Documents demonstrated that the two professions encounter similar legal issues.ConclusionKey gaps exist in the literature. Findings will inform these professionals of the legal issues relevant to their clinical practice and inform the development of further resources.</t>
  </si>
  <si>
    <t>[Feeney, Rachel; Willmott, Lindy; White, Ben] Queensland Univ Technol, Australian Ctr Hlth Law Res, Brisbane, Qld, Australia; [Wilson, Jill] Univ Queensland, Sch Nursing Midwifery &amp; Social Work, St Lucia, Australia</t>
  </si>
  <si>
    <t>Queensland University of Technology (QUT); University of Queensland</t>
  </si>
  <si>
    <t>Feeney, R (corresponding author), Queensland Univ Technol, Australian Ctr Hlth Law Res, Brisbane, Qld, Australia.</t>
  </si>
  <si>
    <t>rachel.feeney@qut.edu.au</t>
  </si>
  <si>
    <t>White, Ben P/I-9712-2012; Willmott, Lindy/I-9562-2012</t>
  </si>
  <si>
    <t>White, Ben P/0000-0003-3365-939X; Willmott, Lindy/0000-0002-9750-287X; Feeney, Rachel/0000-0002-8306-1030; Wilson, Jill/0000-0001-8724-411X</t>
  </si>
  <si>
    <t>1754-9507</t>
  </si>
  <si>
    <t>1754-9515</t>
  </si>
  <si>
    <t>INT J SPEECH-LANG PA</t>
  </si>
  <si>
    <t>Int. J. Speech-Lang. Pathol.</t>
  </si>
  <si>
    <t>10.1080/17549507.2023.2205061</t>
  </si>
  <si>
    <t>Audiology &amp; Speech-Language Pathology; Linguistics; Rehabilitation</t>
  </si>
  <si>
    <t>M8RQ1</t>
  </si>
  <si>
    <t>WOS:001032836900001</t>
  </si>
  <si>
    <t>Jannat, R; Al-Amin, M</t>
  </si>
  <si>
    <t>Jannat, Riyajun; Al-Amin, Mohammed</t>
  </si>
  <si>
    <t>Spatial statistics for legal process</t>
  </si>
  <si>
    <t>Forest crime; hotspots; IDW; Ripley's K; Moran's I; &gt;</t>
  </si>
  <si>
    <t>FOREST POLICY; LAND-USE; BANGLADESH; CRIME; LAW; MANAGEMENT; ENFORCEMENT</t>
  </si>
  <si>
    <t>This research was designed in a random sampling method for detecting legal drawbacks in Chattogram North Frest Division, Bangladesh. Land use and land cover (LULC) change, normalised difference vegetation indexing (NDVI), hotspot analysis, IDW and Ripley's K function were applied for spatial analysis of forest crimes of five fiscal years. The LULC showed forests degraded from 76% to 12% while the NDVI was 0.37 to 1. In 13 detected hotspots, a 2% probability of occurring offences in neighbouring areas of each hotspot was determined by hotspot analysis and IDW respectively. Ripley's K showed randomly distributed hotspots.</t>
  </si>
  <si>
    <t>[Jannat, Riyajun; Al-Amin, Mohammed] Univ Chittagong, Inst Forestry &amp; Environm Sci, Chattogram, Bangladesh</t>
  </si>
  <si>
    <t>University of Chittagong</t>
  </si>
  <si>
    <t>Jannat, R (corresponding author), Univ Chittagong, Inst Forestry &amp; Environm Sci, Chattogram, Bangladesh.</t>
  </si>
  <si>
    <t>riyajun.jannat01@gmail.com</t>
  </si>
  <si>
    <t>10.1080/14498596.2023.2226672</t>
  </si>
  <si>
    <t>N0ZA3</t>
  </si>
  <si>
    <t>WOS:001034386800001</t>
  </si>
  <si>
    <t>Liang, R; Liu, N; Liu, X; Tang, XB; Hu, YZ; Bastien, C; Liu, X</t>
  </si>
  <si>
    <t>Liang, Rui; Liu, Na; Liu, Xi; Tang, Xuebang; Hu, Yuanzhi; Bastien, Christophe; Liu, Xiang</t>
  </si>
  <si>
    <t>Effectiveness analysis of a foldable booster safety seat with integrated seatbelt buckle for reducing children's vehicle accident injury risk (Oct, 10.1080/13588265.2022.2130623, 2022)</t>
  </si>
  <si>
    <t>10.1080/13588265.2023.2241001</t>
  </si>
  <si>
    <t>P1RP8</t>
  </si>
  <si>
    <t>WOS:001048487000001</t>
  </si>
  <si>
    <t>Mohanty, S; Pattnaik, S; Rout, D; Praharaj, S; Mohanty, C</t>
  </si>
  <si>
    <t>Mohanty, Sweta; Pattnaik, Saswati; Rout, Dibyaranjan; Praharaj, Swetapadma; Mohanty, Chandana</t>
  </si>
  <si>
    <t>Emerging self-powered piezoelectric based nanobiomaterials as a platform for accelerated wound healing: recent advances and future perspectives</t>
  </si>
  <si>
    <t>INTERNATIONAL JOURNAL OF POLYMERIC MATERIALS AND POLYMERIC BIOMATERIALS</t>
  </si>
  <si>
    <t>Wound healing; piezoelectricity; nanobiomaterials; electrical stimulation; &gt;</t>
  </si>
  <si>
    <t>ELECTRIC-FIELD; REGENERATION; STIMULATION; MIGRATION; CELLS; FILMS; NANOCOMPOSITES; NANOPARTICLES; KERATINOCYTES; BIOMATERIALS</t>
  </si>
  <si>
    <t>Spontaneous generation of native endogenous electric fields (EFs) after wounding is the hallmark of enhanced wound healing (WH). Focus has been given toward creation of smart technologies that provide an external EF. Piezoelectric based dressings when applied to wound sites can conveniently generate EF in response to body's natural movement and promote WH. In this perspective, piezoelectric nanobiomaterials are gaining significant attention due to their high surface energy and complex cell-material interactions. This review discusses role of EF in WH simultaneously exploring their development and use for skin regeneration. Important properties of these materials and future directions are also discussed.</t>
  </si>
  <si>
    <t>[Mohanty, Sweta; Pattnaik, Saswati; Mohanty, Chandana] KIIT Univ, Sch Appl Sci, Dept Biol Sci, Bhubaneswar, Orissa, India; [Rout, Dibyaranjan; Praharaj, Swetapadma] KIIT Univ, Sch Appl Sci, Dept Phys, Bhubaneswar, Odisha, India; [Mohanty, Chandana] KIIT, Kalinga Inst Ind Technol, Sch Appl Sci, Dept Biol Sci, Bhubaneswar 751024, Odisha, India</t>
  </si>
  <si>
    <t>Kalinga Institute of Industrial Technology (KIIT); Kalinga Institute of Industrial Technology (KIIT); Kalinga Institute of Industrial Technology (KIIT)</t>
  </si>
  <si>
    <t>Praharaj, S (corresponding author), KIIT Univ, Sch Appl Sci, Dept Phys, Bhubaneswar, Odisha, India.;Mohanty, C (corresponding author), KIIT, Kalinga Inst Ind Technol, Sch Appl Sci, Dept Biol Sci, Bhubaneswar 751024, Odisha, India.</t>
  </si>
  <si>
    <t>spraharajfpy@kiit.ac.in; chandanamohanty@gmail.com</t>
  </si>
  <si>
    <t>Council of Scientific amp; Industrial Research (CSIR), Government of India</t>
  </si>
  <si>
    <t>Authors are thankful to School of Applied Sciences, KIIT Deemed to be University. S. Pattnaik would like to thank the Council of Scientific &amp; amp; Industrial Research (CSIR), Government of India, for providing a junior research fellowship.</t>
  </si>
  <si>
    <t>0091-4037</t>
  </si>
  <si>
    <t>1563-535X</t>
  </si>
  <si>
    <t>INT J POLYM MATER PO</t>
  </si>
  <si>
    <t>Int. J. Polym. Mater. Polym. Biomat.</t>
  </si>
  <si>
    <t>10.1080/00914037.2023.2239421</t>
  </si>
  <si>
    <t>Materials Science, Biomaterials; Polymer Science</t>
  </si>
  <si>
    <t>Materials Science; Polymer Science</t>
  </si>
  <si>
    <t>N2OD0</t>
  </si>
  <si>
    <t>WOS:001035458500001</t>
  </si>
  <si>
    <t>Segura, PS; Sanchez, JJ; Arbones-Mainar, JM; Lezcano, JSR; Osuna, GG; Monterde, VB</t>
  </si>
  <si>
    <t>Segura, Patricia Sanz; Sanchez, Javier Jimeno; Arbones-Mainar, Jose Miguel; Lezcano, Juan Sanchez-Rubio; Osuna, Gabriel Galache; Monterde, Vanesa Bernal</t>
  </si>
  <si>
    <t>Percutaneous left atrial appendage closure in patients with gastrointestinal bleeding associated with oral anticoagulants Percutaneous left atrial appendage closure and gastrointestinal bleeding</t>
  </si>
  <si>
    <t>SCANDINAVIAN JOURNAL OF GASTROENTEROLOGY</t>
  </si>
  <si>
    <t>Oral anticoagulation; gastrointestinal bleeding; interventional cardiology; atrial fibrillation; left atrial appendage occlusion; health resources; &gt;</t>
  </si>
  <si>
    <t>WARFARIN THERAPY; FOLLOW-UP; FIBRILLATION; OCCLUSION; RISK; STROKE; SAFETY; EFFICACY; METAANALYSIS; WATCHMAN</t>
  </si>
  <si>
    <t>IntroductionPercutaneous left atrial appendage closure (LAAC) has shown non-inferiority compared to oral anticoagulation (OAC) in preventing atrial fibrillation (AF)-related stroke. The objective of this study was to assess whether LAAC reduces the incidence of gastrointestinal bleeding (GIB) and/or chronic anaemia associated with OAC, as well as the consumption of healthcare resources.Materials and MethodsProspective, single-center study from 2016 to 2022, LAAC was performed. Clinical, analytical and healthcare resource consumption data were collected (endoscopies, blood transfusions, hospital admissions) prior and 6 months after LAAC.Results43 patients were included, with an average age of 77.6 years. LAAC indication was upper, low and obscure GIB in 7 (16%), 8 (19%) and 28 patients (65%) respectively. GIB source was intestinal angiodysplasias in 27 patients (63%), occult origin in 12 (28%), and others (antral vascular ectasia, portal hypertension gastropathy, etc.) in 4 patients (9%). The mean number of packed red blood cells per patient before LAAC was (mean &amp; PLUSMN; SD) 7.29 &amp; PLUSMN; 5 vs 0.42 &amp; PLUSMN; 1.3 (p &lt; 0.001); endoscopic procedures were 4.34 &amp; PLUSMN; 2.85 vs 0.27 &amp; PLUSMN; 0.76 (p &lt; 0.001); and hospitalizations 2.67 &amp; PLUSMN; 2.14 vs 0.03 &amp; PLUSMN; 0.17 (p &lt; 0.001), with a hospital stay of 21.5 &amp; PLUSMN; 17.3 vs 0.09 &amp; PLUSMN; 0.5 days (p &lt; 0.001) at 6 months post-intervention. Haemoglobin value increased from 8.1 &amp; PLUSMN; 1.2g/dl to 12.4 &amp; PLUSMN; 2.2g/dl (p &lt; 0.001) at 6 months. No thromboembolic events were registered during a median follow-up of 16.6 months (range 6-65).ConclusionsLAAC could be a safe and effective alternative to OAC in patients with non-valvular AF presenting significant, recurrent or potentially unresolvable GIB. This intervention also leads to important savings in the consumption of healthcare resources.</t>
  </si>
  <si>
    <t>[Segura, Patricia Sanz] Royo Villanova Hosp, Gastroenterol Dept, Zaragoza, Spain; [Sanchez, Javier Jimeno; Lezcano, Juan Sanchez-Rubio; Osuna, Gabriel Galache] Miguel Servet Univ Hosp, Intervent Cardiol Unit, Zaragoza, Spain; [Arbones-Mainar, Jose Miguel] Miguel Servet Univ Hosp, Translat Res Unit, Inst Aragones Ciencias Salud IACS, Zaragoza, Spain; [Arbones-Mainar, Jose Miguel; Monterde, Vanesa Bernal] Inst Invest Sanitaria IIS Aragon, Zaragoza, Spain; [Arbones-Mainar, Jose Miguel] Inst Salud Carlos III, Ctr Invest Biomed Red Fisiopatol Obesidad &amp; Nutr C, Madrid, Spain; [Monterde, Vanesa Bernal] Miguel Servet Univ Hosp, Gastroenterol Dept, Zaragoza, Spain; [Segura, Patricia Sanz] Royo Villanova Hosp, Gastroenterol Dept, Avda San Gregorio S-N, Zaragoza, Spain</t>
  </si>
  <si>
    <t>Miguel Servet University Hospital; Miguel Servet University Hospital; Instituto de Salud Carlos III; Miguel Servet University Hospital</t>
  </si>
  <si>
    <t>Segura, PS (corresponding author), Royo Villanova Hosp, Gastroenterol Dept, Avda San Gregorio S-N, Zaragoza, Spain.</t>
  </si>
  <si>
    <t>patricia.sanz.segura@gmail.com</t>
  </si>
  <si>
    <t>0036-5521</t>
  </si>
  <si>
    <t>1502-7708</t>
  </si>
  <si>
    <t>SCAND J GASTROENTERO</t>
  </si>
  <si>
    <t>Scand. J. Gastroenterol.</t>
  </si>
  <si>
    <t>10.1080/00365521.2023.2239973</t>
  </si>
  <si>
    <t>M8RW3</t>
  </si>
  <si>
    <t>WOS:001032843100001</t>
  </si>
  <si>
    <t>Singh, R; Mishra, VK</t>
  </si>
  <si>
    <t>Singh, Ranu; Mishra, Vinod Kumar</t>
  </si>
  <si>
    <t>Machine learning based fuzzy inventory model for imperfect deteriorating products with demand forecast and partial backlogging under green investment technology</t>
  </si>
  <si>
    <t>JOURNAL OF THE OPERATIONAL RESEARCH SOCIETY</t>
  </si>
  <si>
    <t>Inventory model; demand forecast; deterioration; imperfect product; carbon emission; green investment technology; &gt;</t>
  </si>
  <si>
    <t>ECONOMIC ORDER QUANTITY; EOQ MODEL; QUALITY; INSPECTION; TRADE</t>
  </si>
  <si>
    <t>This article proposes a novel approach to managing inventory by incorporating machine learning techniques to handle imperfect deteriorating products under green investment technology. The shortages are permitted and partially backlogged. Due to uncertainty, deterioration rate and defective percentage in quantity in the received lot are considered fuzzy variables. This study aims to determine optimal ordering quantity and replenishment period to minimise the total average cost with carbon emission cost. Decision Tree Classifier algorithm is used to demand forecast seasonally. The total fuzzy cost functions defuzzify by applying sign distance approach method. A numerical example is taken to illustrate the proposed model. A comparative analysis has been studied between fixed demand and month-wise forecasted demand. The study highlights the importance of forecasted demand in the inventory system and establishes methodology to get direct month-wise forecasted demand. Finally, the sensitivity analysis performs to determine more sensitive parameters and provides managerial insights.</t>
  </si>
  <si>
    <t>[Singh, Ranu; Mishra, Vinod Kumar] Madan Mohan Malaviya Univ Technol, Dept Math &amp; Sci Comp, Gorakhpur, UP, India</t>
  </si>
  <si>
    <t>Madan Mohan Malaviya University of Technology</t>
  </si>
  <si>
    <t>Mishra, VK (corresponding author), Madan Mohan Malaviya Univ Technol, Dept Math &amp; Sci Comp, Gorakhpur, UP, India.</t>
  </si>
  <si>
    <t>ranusinghgkp@gmail.com; vkmmsc@mmmut.ac.in</t>
  </si>
  <si>
    <t>0160-5682</t>
  </si>
  <si>
    <t>1476-9360</t>
  </si>
  <si>
    <t>J OPER RES SOC</t>
  </si>
  <si>
    <t>J. Oper. Res. Soc.</t>
  </si>
  <si>
    <t>10.1080/01605682.2023.2239868</t>
  </si>
  <si>
    <t>Management; Operations Research &amp; Management Science</t>
  </si>
  <si>
    <t>Business &amp; Economics; Operations Research &amp; Management Science</t>
  </si>
  <si>
    <t>N8NM0</t>
  </si>
  <si>
    <t>WOS:001039516400001</t>
  </si>
  <si>
    <t>Ward, SE</t>
  </si>
  <si>
    <t>Ward, Shelby E. E.</t>
  </si>
  <si>
    <t>State in/security, ethnicity, and tourism: mapping tourist spaces and Sri Lankan identity politics</t>
  </si>
  <si>
    <t>CRITICAL STUDIES ON SECURITY</t>
  </si>
  <si>
    <t>ethnicity; identity politics; civil war; mapping; Sri Lanka; tourism; &gt;</t>
  </si>
  <si>
    <t>SECURITY; VIOLENCE</t>
  </si>
  <si>
    <t>This article follows suggestions from participants in interview and mapping exercises in Sri Lanka from December 2017-January 2018 that travellers and tourists to the country should visit the former war zones in the North and East of the country. These were the primary territories inflicted by the Sri Lankan civil war (1983-2009) between the majority Sinhalese and the minority Tamils. I extend these discussions to underlying identity and ethnic politics that caused these now tourist locations to be war zones in the first place, as well as reflect how the exclusionary politics of nationalism reflects continued postcolonial anxiety and the acceptance (or not) of Islamic identities within the contemporary state. Examining an underlying nexus of security, development, and ethnic politics in the Sri Lankan context, I argue that economic relations within its tourism industry indicates the anxiety, insecurity, and limitations of the nation-state more broadly.</t>
  </si>
  <si>
    <t>[Ward, Shelby E. E.] Tusculum Univ, Dept Social Sci, Greeneville, TN 37743 USA</t>
  </si>
  <si>
    <t>Ward, SE (corresponding author), Tusculum Univ, Dept Social Sci, Greeneville, TN 37743 USA.</t>
  </si>
  <si>
    <t>sward@tusculum.edu</t>
  </si>
  <si>
    <t>2162-4887</t>
  </si>
  <si>
    <t>2162-4909</t>
  </si>
  <si>
    <t>CRIT STUD SECUR</t>
  </si>
  <si>
    <t>Crit. Stud. Secur.</t>
  </si>
  <si>
    <t>10.1080/21624887.2023.2239009</t>
  </si>
  <si>
    <t>M8SP0</t>
  </si>
  <si>
    <t>WOS:001032861800001</t>
  </si>
  <si>
    <t>Jensen, B</t>
  </si>
  <si>
    <t>Jensen, Bjarke</t>
  </si>
  <si>
    <t>Patterns of basidiocarp growth in oak mazegill (Daedalea quercina, Polyporales) revealed by experimental and natural perturbations</t>
  </si>
  <si>
    <t>Hymenophore; carpogenesis; growth rate; &gt;</t>
  </si>
  <si>
    <t>In Polyporales, the pore field immediately behind the basidiocarp margin may configure the hymenophore. Basidiocarp growth is not restricted to the margin, however. Here, the importance of the pore field was assessed from two years' of observations on naturally occurring oak mazegill (Daedalea quercina, Polyporales) basidiocarps and tested by experimental perturbations in natural habitats. Oak mazegill was chosen because the formed hymenophore has a unique and stable combination of poroid and lamellate features. Whether the pore field is required for basidiocarp growth was tested in 10 basidiocarps in which one side was resected. New growth was observed in six basidiocarps, and it occurred equally from the cut hymenophore and the intact pore field. New formation of hymenophore and pileus even occurred in seven out of 10 basidiocarps that had the entire pore field resected. Whether the hymenophore is configured permanently was tested on 54 basidiocarps on 10 trunks that were turned upside down. A new hymenophore grew through the old pileus, often far from the pore field, and its hymenophore configuration was invariably poroid despite the old hymenophore had lamellate features. In 48 experimentally banded basidiocarps, new hymenophore grew in the insertion hole of the band despite this being far from the pore field. The banded basidiocarps grew at an average rate of 5 mm per year. In conclusion, the capacity to configure the hymenophore is not confined to the pore field and it could be broadly present in the basidiocarp, possibly due to ubiquitous hyphal totipotency.</t>
  </si>
  <si>
    <t>[Jensen, Bjarke] Amsterdam Univ Med Ctr, Amsterdam Cardiovasc Sci, Dept Med Biol, Meibergdreef 15, NL-1105 AZ Amsterdam, Netherlands</t>
  </si>
  <si>
    <t>Jensen, B (corresponding author), Amsterdam Univ Med Ctr, Amsterdam Cardiovasc Sci, Dept Med Biol, Meibergdreef 15, NL-1105 AZ Amsterdam, Netherlands.</t>
  </si>
  <si>
    <t>b.jensen@amsterdamumc.nl</t>
  </si>
  <si>
    <t>Jensen, Bjarke/I-7490-2019</t>
  </si>
  <si>
    <t>Jensen, Bjarke/0000-0002-7750-8035</t>
  </si>
  <si>
    <t>10.1080/00275514.2023.2227553</t>
  </si>
  <si>
    <t>WOS:001032273100001</t>
  </si>
  <si>
    <t>Marsh, AJ</t>
  </si>
  <si>
    <t>Marsh, Alan J.</t>
  </si>
  <si>
    <t>Education health and care plans (EHCPs) and statements in England: a 20 year sustainability review</t>
  </si>
  <si>
    <t>EDUCATIONAL PSYCHOLOGY IN PRACTICE</t>
  </si>
  <si>
    <t>special needs education; UK; education health and care plans; local government; England; UK education statistics; sustainable high needs; &gt;</t>
  </si>
  <si>
    <t>In 2003, the Department for Education in England commissioned research which supported the policy drive to reduce the reliance on statements for special educational needs (SEN). Twenty years on and the government's emphasis has now switched from reducing workload to creating financially sustainable systems. There continue to be wide variations in local authority (LA) statutory assessment practice, with considerable differences in the proportion of pupils with education, health and care plans (EHCPs), even when benchmarked across demographically comparable authorities. LAs with low EHCPs have smaller high needs block (HNB) budgets but typical rates of special needs and disability (SEND) Tribunal appeals. A comparison is also made of the statutory assessment process within the four nations of the UK. The discussion considers the implications of the findings for sustainable high-need systems and for appropriately managing the demand for EHCPs. The current 25-year trendline is projecting towards 10% EHCPs by 2042, a remarkable increase from 2.5% in 2017.</t>
  </si>
  <si>
    <t>a.j.marsh@icloud.com</t>
  </si>
  <si>
    <t>Marsh, Alan J./0000-0002-0250-2966</t>
  </si>
  <si>
    <t>0266-7363</t>
  </si>
  <si>
    <t>1469-5839</t>
  </si>
  <si>
    <t>EDUC PSYCHOL PRACT</t>
  </si>
  <si>
    <t>Educ. Psychol. Pract.</t>
  </si>
  <si>
    <t>2023 JUL 23</t>
  </si>
  <si>
    <t>10.1080/02667363.2023.2237879</t>
  </si>
  <si>
    <t>Psychology, Educational</t>
  </si>
  <si>
    <t>N1AF3</t>
  </si>
  <si>
    <t>WOS:001034417800001</t>
  </si>
  <si>
    <t>Picca, F; Sasso, F; Commodo, M; Minutolo, P</t>
  </si>
  <si>
    <t>Picca, Francesca; Sasso, Fabio; Commodo, Mario; Minutolo, Patrizia</t>
  </si>
  <si>
    <t>A Filter-Based Approach for the Measurement of Mass Absorption Coefficient of OC and EC Components in Soot</t>
  </si>
  <si>
    <t>COMBUSTION SCIENCE AND TECHNOLOGY</t>
  </si>
  <si>
    <t>Soot; absorption photometer; organic; elemental carbon; mass absorption coefficient; Absorption angstrom exponent; &gt;</t>
  </si>
  <si>
    <t>AEROSOL LIGHT-ABSORPTION; BLACK CARBON; CROSS-SECTION; BROWN CARBON; OPTICAL-PROPERTIES; ORGANIC-CARBON; SPECTRAL DEPENDENCE; REFRACTIVE-INDEX; PARTICLES; GROWTH</t>
  </si>
  <si>
    <t>There is a general consensus that soot produced by hydrocarbon combustion consists of two components, elemental carbon associated with the graphitic nanostructure and organic carbon. Despite the relevance of evaluating their radiative properties, particularly for organic carbon, the knowledge of the spectral absorption behavior remains limited. In this work, a dual-beam five wavelengths absorption photometer is used to estimate the optical properties of particulate matter generated by a laminar premixed ethylene-air flame at different residence times along the flame. The wavelength dependence of the light absorption of aerosols collected on filters is analyzed in terms of both the optical band gap and the absorption &amp; ANGS;ngstrom exponent, AAE. The aerosols are then analyzed in terms of the organic and elemental carbon content by a thermal-optical OC-EC analyzer. Combining the results of light absorption and OC-EC analysis, the spectral mass absorption coefficient of both the organic carbon and elemental carbon components in soot are obtained.</t>
  </si>
  <si>
    <t>[Picca, Francesca] Univ Napoli Federico II, Ctr Serv Metrol &amp; Tecnol Avanzati, Naples, Italy; [Picca, Francesca; Sasso, Fabio] Univ Napoli Federico II, Dipartimento Ingn Chim Mat &amp; Prod Ind, Naples, Italy; [Commodo, Mario; Minutolo, Patrizia] CNR, Ist Sci &amp; Tecnol Energia &amp; Mobil Sostenibili, Naples, Italy</t>
  </si>
  <si>
    <t>University of Naples Federico II; University of Naples Federico II; Consiglio Nazionale delle Ricerche (CNR)</t>
  </si>
  <si>
    <t>Picca, F (corresponding author), Univ Napoli Federico II, Ctr Serv Metrol &amp; Tecnol Avanzati, Naples, Italy.;Commodo, M (corresponding author), CNR, Ist Sci &amp; Tecnol Energia &amp; Mobil Sostenibili, Naples, Italy.</t>
  </si>
  <si>
    <t>francesca.picca@unina.it; mario.commodo@stems.cnr.it</t>
  </si>
  <si>
    <t>Picca, Francesca/JBI-7191-2023</t>
  </si>
  <si>
    <t>Picca, Francesca/0000-0002-1288-8460</t>
  </si>
  <si>
    <t>FESR [PIR01_00015 PER-ACTRIS-IT]; project CIR - Capitale Umano delle Infrastrutture di Ricerca di ACTRIS</t>
  </si>
  <si>
    <t>FESR; project CIR - Capitale Umano delle Infrastrutture di Ricerca di ACTRIS</t>
  </si>
  <si>
    <t>This work was supported by FESR PIR01_00015 PER-ACTRIS-IT Potenziamento della componente italiana della Infrastruttura di Ricerca Aerosol, Clouds and Trace Gases Research Infrastructure and by the project CIR - Capitale Umano delle Infrastrutture di Ricerca di ACTRIS</t>
  </si>
  <si>
    <t>0010-2202</t>
  </si>
  <si>
    <t>1563-521X</t>
  </si>
  <si>
    <t>COMBUST SCI TECHNOL</t>
  </si>
  <si>
    <t>Combust. Sci. Technol.</t>
  </si>
  <si>
    <t>10.1080/00102202.2023.2239465</t>
  </si>
  <si>
    <t>Thermodynamics; Energy &amp; Fuels; Engineering, Multidisciplinary; Engineering, Chemical</t>
  </si>
  <si>
    <t>Thermodynamics; Energy &amp; Fuels; Engineering</t>
  </si>
  <si>
    <t>M9XY2</t>
  </si>
  <si>
    <t>WOS:001033682100001</t>
  </si>
  <si>
    <t>Shoarinejad, S; Markarian, N</t>
  </si>
  <si>
    <t>Shoarinejad, Saeedeh; Markarian, Nanor</t>
  </si>
  <si>
    <t>Structural transition in a ferroelectric nano-dispersed cholesteric liquid crystal</t>
  </si>
  <si>
    <t>Liquid crystal; ferroelectric nanoparticles; cholesteric; nematic; phase transition; &gt;</t>
  </si>
  <si>
    <t>OPTICAL-PROPERTIES; NANOPARTICLES; BATIO3; PHASE; SUSPENSIONS</t>
  </si>
  <si>
    <t>We present a theoretical study of the orientational and electrical behaviors of a cholesteric liquid crystal dispersed with ferroelectric nanoparticles. We assume a soft planar coupling between the liquid crystal molecules and the nanoparticles. We consider two spiral structures in the ferroelectric nano-dispersed system under an external electric field. This assumption is due to the fact that the director and the polarization vector would have different pitches of spiral structure. We study the behavior of the average polarization and the pitch of the helical structure as a function of the field strength. The impact of ferroelectric nanoparticles on cholesteric-nematic phase transition is investigated by calculating the critical electric field. The influence of field strength and material parameters on the phase transition is also discussed. The calculations are based on a developed continuum theory and a modified form of free energy for the helical supramolecular structure. The influence of nanoparticle volume fraction on the helix unwinding of both spiral structures is studied. It is found that an electric field with a sufficiently high strength causes an increase in the pitch of the helical structure of polarization. We obtain a critical volume fraction of nanoparticles, after which the pitch of the polarization helical structure differs from the director pitch.</t>
  </si>
  <si>
    <t>[Shoarinejad, Saeedeh; Markarian, Nanor] Alzahra Univ, Fac Phys, Dept Theoret &amp; Nano Phys, Tehran, Iran</t>
  </si>
  <si>
    <t>Alzahra University</t>
  </si>
  <si>
    <t>Shoarinejad, S (corresponding author), Alzahra Univ, Fac Phys, Dept Theoret &amp; Nano Phys, Tehran, Iran.</t>
  </si>
  <si>
    <t>sshoari@alzahra.ac.ir</t>
  </si>
  <si>
    <t>10.1080/1539445X.2023.2235329</t>
  </si>
  <si>
    <t>O1DB6</t>
  </si>
  <si>
    <t>WOS:001031476700001</t>
  </si>
  <si>
    <t>Lanzieri, N; McAlpin, EC; Asakura, K</t>
  </si>
  <si>
    <t>Lanzieri, Nicholas; McAlpin, Elizabeth C.; Asakura, Kenta</t>
  </si>
  <si>
    <t>A VR Client Simulation to Prepare MSW Social Work Students for Practicum: A Feasibility Study</t>
  </si>
  <si>
    <t>JOURNAL OF TECHNOLOGY IN HUMAN SERVICES</t>
  </si>
  <si>
    <t>Authentic learning; immersive learning; virtual reality; simulation; &gt;</t>
  </si>
  <si>
    <t>VIRTUAL-REALITY; LEARNING OUTCOMES; FIELD INSTRUCTORS; COGNITIVE LOAD; EDUCATION; EXPERIENCES; MANAGEMENT; EMOTIONS; SKILLS</t>
  </si>
  <si>
    <t>In this feasibility study of virtual reality (VR)-based learning, we surveyed Master of Social Work students (n = 54) to examine student perceptions of a VR client simulation (VRCS) as a preparatory tool to work with real clients. The pre-post survey examined changes in students' perceived anxiety, stress, excitement, competency, confidence and frustration to communicate and interact with a client. We also measured changes in students' perceived interest toward working with older adults (70+) years. Wilcoxon signed-rank tests showed statistically significant decreases in participants perceived anxiety, stress, and frustration, and statistically significant increases in participants perceived competency, confidence, and excitement to interact with a future live client as part of their practicum placement requirements. There was a statistically significant increase in participants' perceptions that practicing with a VRCS will transfer effectively to interacting with a real live client in the future. Results also showed statistically significant increases in participant's perceived interest to work with older adults. Outcomes suggest a VRCS may complement other learning activities in a curricular program especially at the start as an experiential strategy to prepare students for practicum.</t>
  </si>
  <si>
    <t>[Lanzieri, Nicholas; McAlpin, Elizabeth C.] NYU, New York, NY USA; [Asakura, Kenta] Smith Coll Sch Social Work, Northampton, MA USA; [Lanzieri, Nicholas] NYU, Silver Sch Social Work, New York, NY 10012 USA</t>
  </si>
  <si>
    <t>New York University; Smith College; New York University</t>
  </si>
  <si>
    <t>Lanzieri, N (corresponding author), NYU, Silver Sch Social Work, New York, NY 10012 USA.</t>
  </si>
  <si>
    <t>nl240@nyu.edu</t>
  </si>
  <si>
    <t>1522-8835</t>
  </si>
  <si>
    <t>1522-8991</t>
  </si>
  <si>
    <t>J TECHNOL HUMAN SERV</t>
  </si>
  <si>
    <t>J. Technol. Human Serv.</t>
  </si>
  <si>
    <t>10.1080/15228835.2023.2240382</t>
  </si>
  <si>
    <t>Q6MV2</t>
  </si>
  <si>
    <t>WOS:001040371400001</t>
  </si>
  <si>
    <t>Melo, JLM; Feitosa, JPA; Mota, JCA; Dias, CTD; de Lacerda, CF; Simmons, R; Costa, MCG</t>
  </si>
  <si>
    <t>Melo, Jose Lucas Martins; Feitosa, Judith Pessoa Andrade; Mota, Jaedson Claudio Anunciato; Dias, Carlos Tadeu dos Santos; de Lacerda, Claudivan Feitosa; Simmons, Robert; Costa, Mirian Cristina Gomes</t>
  </si>
  <si>
    <t>Can a superabsorbent polymer synthesised a CaCO3 based biofiller improve soil and plant available water and crop growth under salt stress?</t>
  </si>
  <si>
    <t>ARCHIVES OF AGRONOMY AND SOIL SCIENCE</t>
  </si>
  <si>
    <t>Polymer-matrix composite; hydrogel; acrylamide; acrylate; additive from eggshell; &gt;</t>
  </si>
  <si>
    <t>HYDRAULIC CONDUCTIVITY; LETTUCE CULTIVARS; SLOW-RELEASE; SANDY SOIL; RETENTION; SALINITY</t>
  </si>
  <si>
    <t>The use of superabsorbent polymers (SAPs) in dryland agricultural areas utilizing brackish irrigation water is a strategy to increase plant available water (AW). However, water retention by SAPs may be adversely affected under salinity. SAP containing calcium carbonate (Ca-SAP) is considered to be more resistant and provide more plant AW under saline conditions compared to conventional SAP (C-SAP) and to control. This research investigated two replicated lettuce trials to evaluate three treatments (Ca-SAP, C-SAP and control) subjected to irrigation water with electrical conductivities of 0.0, 0.5, 1.0, 2.0 and 4.0 dS m(-1). Both SAP treatments increased AW by an average of 0.16 m(3) m(-3) as compared to the control. Decrease in AW with salinity was lower in Ca-SAP (0.07 m(3) m(-3)) as compared with C-SAP (0.13 m(3) m(-3)). Lettuce fresh weight (g plant(-1)) was higher for Ca-SAP (22.9) as compared to C-SAP (16.4), however, did not differ from control (20.6). As water salinity increased, lettuce fresh biomass was higher in Ca-SAP as compared to C-SAP up to 2 dS m(-1) with no significant differences from control. The Ca-SAP is less affected by salts than the C-SAP, although its use did not benefit lettuce growth under saline conditions as expected.</t>
  </si>
  <si>
    <t>[Melo, Jose Lucas Martins; Mota, Jaedson Claudio Anunciato; Dias, Carlos Tadeu dos Santos; Costa, Mirian Cristina Gomes] Univ Fed Ceara, Soil Sci Dept, Fortaleza, Brazil; [Feitosa, Judith Pessoa Andrade] Univ Fed Ceara, Dept Organ &amp; Inorgan Chem, Fortaleza, Brazil; [de Lacerda, Claudivan Feitosa] Univ Fed Ceara, Agr Engn Dept, Fortaleza, Brazil; [Simmons, Robert] Cranfield Univ, Ctr Soil Agrifood &amp; Biosci, Cranfield, England</t>
  </si>
  <si>
    <t>Universidade Federal do Ceara; Universidade Federal do Ceara; Universidade Federal do Ceara; Cranfield University</t>
  </si>
  <si>
    <t>Costa, MCG (corresponding author), Univ Fed Ceara, Soil Sci Dept, Fortaleza, Brazil.</t>
  </si>
  <si>
    <t>mirian.costa@ufc.br</t>
  </si>
  <si>
    <t>Simmons, Robert/0000-0002-9594-9934</t>
  </si>
  <si>
    <t>Coordenacao de Aperfeicoamento de Pessoal de Nivel Superior - Brasil (CAPES) [001]; National Council for Scientific and Technological Development (CNPq) [305907/2019-0]</t>
  </si>
  <si>
    <t>Coordenacao de Aperfeicoamento de Pessoal de Nivel Superior - Brasil (CAPES)(Coordenacao de Aperfeicoamento de Pessoal de Nivel Superior (CAPES)); National Council for Scientific and Technological Development (CNPq)(Conselho Nacional de Desenvolvimento Cientifico e Tecnologico (CNPQ))</t>
  </si>
  <si>
    <t>This study was financed in part by the Coordenacao de Aperfeicoamento de Pessoal de Nivel Superior - Brasil (CAPES) - Finance Code 001. This work was supported by the National Council for Scientific and Technological Development (CNPq) under Grant intitled Leguminosas e hidrogel em estrategias de manejo de solos em regiao semiarida [number 305907/2019-0].</t>
  </si>
  <si>
    <t>0365-0340</t>
  </si>
  <si>
    <t>1476-3567</t>
  </si>
  <si>
    <t>ARCH AGRON SOIL SCI</t>
  </si>
  <si>
    <t>Arch. Agron. Soil Sci.</t>
  </si>
  <si>
    <t>2023 JUL 22</t>
  </si>
  <si>
    <t>10.1080/03650340.2023.2237899</t>
  </si>
  <si>
    <t>Agronomy; Soil Science</t>
  </si>
  <si>
    <t>N0WA1</t>
  </si>
  <si>
    <t>WOS:001034308600001</t>
  </si>
  <si>
    <t>Milleville, K; Van Ackere, S; Verdoodt, J; Verstockt, S; De Maeyer, P; van de Weghe, N</t>
  </si>
  <si>
    <t>Milleville, Kenzo; Van Ackere, Samuel; Verdoodt, Jana; Verstockt, Steven; De Maeyer, Philippe; van de Weghe, Nico</t>
  </si>
  <si>
    <t>Exploring the potential of social media to study environmental topics and natural disasters</t>
  </si>
  <si>
    <t>JOURNAL OF LOCATION BASED SERVICES</t>
  </si>
  <si>
    <t>Social media; Geospatial data analysis; Natural language processing; Sentiment analysis; &gt;</t>
  </si>
  <si>
    <t>Social media has become an important means of communication and new insights can be gained from processing this data on a large scale. Our goal is to develop and implement a pipeline to automatically extract and analyse Twitter data on natural disasters and environmental topics. We aim to provide an additional layer of spatiotemporal data that can be used to study the immediate and lasting impacts of natural disasters, climate change, and environmental topics on the global population. An initial analysis of forest fires was conducted in four different languages confirming the need for multilingual support for global analysis. We found a positive correlation between wildfire occurrence and tweeting behaviour, as well as the geographic spread of fires. We found that simple sentiment predictions add little value when aggregating data on a large scale. A subsequent test using a fine-tuned stance detection model proved promising in determining the stance of tweets towards nuclear energy. We intend to expand our dataset and develop customised models in the future that can be used to analyse the global impact of natural disasters and environmental topics.</t>
  </si>
  <si>
    <t>[Milleville, Kenzo; Van Ackere, Samuel; Verdoodt, Jana; De Maeyer, Philippe; van de Weghe, Nico] Univ Ghent, CartoGis, Ghent, Belgium; [Milleville, Kenzo; Verstockt, Steven] Univ Ghent, IDLab, Imec, Ghent, Belgium</t>
  </si>
  <si>
    <t>Ghent University; IMEC; Ghent University</t>
  </si>
  <si>
    <t>Milleville, K (corresponding author), Univ Ghent, CartoGis, Ghent, Belgium.</t>
  </si>
  <si>
    <t>kenzo.milleville@ugent.be</t>
  </si>
  <si>
    <t>Van de Weghe, Nico/B-7680-2011; De Maeyer, Philippe/F-2985-2011</t>
  </si>
  <si>
    <t>Van de Weghe, Nico/0000-0002-5327-4000; De Maeyer, Philippe/0000-0001-8902-3855; Milleville, Kenzo/0000-0002-9765-6000; Verdoodt, Jana/0000-0003-2645-9904</t>
  </si>
  <si>
    <t>Ghent University; Research Foundation - Flanders (FWO) [G0F2820N]</t>
  </si>
  <si>
    <t>Ghent University(Ghent University); Research Foundation - Flanders (FWO)(FWO)</t>
  </si>
  <si>
    <t>The work was supported by the~Fonds Wetenschappelijk Onderzoek [G0F2820N].</t>
  </si>
  <si>
    <t>1748-9725</t>
  </si>
  <si>
    <t>1748-9733</t>
  </si>
  <si>
    <t>J LOCAT BASED SERV</t>
  </si>
  <si>
    <t>J. Locat. Based Serv.</t>
  </si>
  <si>
    <t>10.1080/17489725.2023.2238663</t>
  </si>
  <si>
    <t>Telecommunications</t>
  </si>
  <si>
    <t>M4PF8</t>
  </si>
  <si>
    <t>WOS:001030038700001</t>
  </si>
  <si>
    <t>Sahasrabudhe, KD; Albrethsen, M; Mims, AS</t>
  </si>
  <si>
    <t>Sahasrabudhe, Kieran D.; Albrethsen, Mary; Mims, Alice S.</t>
  </si>
  <si>
    <t>Emerging small molecular inhibitors as targeted therapies for high-risk acute myeloid leukemias</t>
  </si>
  <si>
    <t>Acute myeloid leukemia; targeted therapeutics; small molecule inhibitors; KMT2A; FLT3; TP53; &gt;</t>
  </si>
  <si>
    <t>CHEMOTHERAPY; AZACITIDINE; CLASSIFICATION; VENETOCLAX; MUTATIONS; IMPACT; ADULTS; AML</t>
  </si>
  <si>
    <t>IntroductionAcute myeloid leukemia (AML) is an aggressive disease which has traditionally been treated with intensive chemotherapy. Survival in patients with high-risk cytogenetic and molecular subsets has been poor with this approach due to suboptimal responses seen with intensive chemotherapy and due to many patients with higher risk disease being older and unable to tolerate intensive therapies. In recent years, several targeted therapies have been under investigation for patients with high-risk AML subsets.Areas coveredThis review covers four different subsets of high-risk AML including TP53-mutated, KMT2A-rearranged, FLT3-mutated, and secondary AML developing after prior hypomethylating agent exposure. The research discussed in this review focuses on small molecule inhibitors that have been studied in the treatment of these high-risk AML subsets.Expert opinionThere are several small molecule inhibitors that have demonstrated promise in these high-risk AML subsets. Longer follow-up and ongoing investigation are needed to continue to optimize therapy for patients with high-risk AML.</t>
  </si>
  <si>
    <t>[Sahasrabudhe, Kieran D.; Albrethsen, Mary; Mims, Alice S.] Ohio State Univ, Dept Internal Med, Div Hematol, Comprehens Canc Ctr, Columbus, OH USA; [Mims, Alice S.] Ohio State Univ, Div Hematol, Dept Internal Med, Comprehens Canc Ctr, 460 W 10th Ave, Columbus, OH 43210 USA</t>
  </si>
  <si>
    <t>James Cancer Hospital &amp; Solove Research Institute; University System of Ohio; Ohio State University; University System of Ohio; Ohio State University; James Cancer Hospital &amp; Solove Research Institute</t>
  </si>
  <si>
    <t>Mims, AS (corresponding author), Ohio State Univ, Div Hematol, Dept Internal Med, Comprehens Canc Ctr, 460 W 10th Ave, Columbus, OH 43210 USA.</t>
  </si>
  <si>
    <t>Alice.Mims@osumc.edu</t>
  </si>
  <si>
    <t>Albrethsen, Mary/0000-0001-8844-9598</t>
  </si>
  <si>
    <t>10.1080/17474086.2023.2233701</t>
  </si>
  <si>
    <t>M6RG3</t>
  </si>
  <si>
    <t>WOS:001031462800001</t>
  </si>
  <si>
    <t>Takahashi, K; Hiratsuka, Y; Iwamura, T; Sasaki, D; Yamamura, N; Kitazawa, S; Ueda, M; Morioka, H; Okura, T; Enomoto, D; Uemura, S; Kono, T; Sakaue, T; Ikeda, S</t>
  </si>
  <si>
    <t>Takahashi, Koji; Hiratsuka, Yoshiyasu; Iwamura, Takaaki; Sasaki, Daisuke; Yamamura, Nobuhisa; Kitazawa, Sohei; Ueda, Mitsuharu; Morioka, Hiroe; Okura, Takafumi; Enomoto, Daijiro; Uemura, Shigeki; Kono, Taizo; Sakaue, Tomoki; Ikeda, Shuntaro</t>
  </si>
  <si>
    <t>Technetium-99m-pyrophosphate imaging-based computed tomography-guided core-needle biopsy of internal oblique muscle in wild-type transthyretin cardiac amyloidosis</t>
  </si>
  <si>
    <t>AMYLOID-JOURNAL OF PROTEIN FOLDING DISORDERS</t>
  </si>
  <si>
    <t>Amyloidosis; bone-avid tracer; core-needle biopsy; skeletal muscle; transthyretin; &gt;</t>
  </si>
  <si>
    <t>SOCIETY</t>
  </si>
  <si>
    <t>BackgroundTechnetium-99m-pyrophosphate (Tc-99m-PYP) uptake in the internal oblique muscle (IOM), which is often observed in patients with wild-type transthyretin cardiac amyloidosis (ATTR-CA), indicates amyloid transthyretin (ATTR) deposition.ObjectiveThis study aimed to assess the safety and efficacy of Tc-99m-PYP imaging-based computed tomography (CT)-guided core-needle biopsy of the IOM as a new extracardiac screening biopsy for confirming the presence of ATTR deposits.MethodsPatients with suspected ATTR-CA in whom myocardial tracer uptake was detected on chest- and abdomen-centered images of Tc-99m-PYP scintigraphy underwent CT-guided core-needle biopsy at the site with the highest tracer uptake in the IOM between September 2021 and November 2022.ResultsAll 18 consecutive patients (mean age, 86.3 years &amp; PLUSMN; 6.5; 61.1% male) enrolled in the study showed Tc-99m-PYP uptake into the IOM. Adequate tissue samples were obtained from all patients except one without serious complications. Immunohistochemical analysis confirmed ATTR deposits in 16/18 (88.9%) patients. In the remaining two patients, ATTR deposits were observed via endomyocardial biopsy. All patients were diagnosed with wild-type ATTR-CA based on transthyretin gene sequence testing results.ConclusionIn wild-type ATTR-CA, Tc-99m-PYP imaging-based CT-guided core-needle biopsy of the IOM could be used as an extracardiac screening biopsy to confirm the presence of ATTR deposits.</t>
  </si>
  <si>
    <t>[Takahashi, Koji; Sakaue, Tomoki; Ikeda, Shuntaro] Ehime Univ, Grad Sch Med, Dept Community Emergency Med, Matsuyama, Japan; [Takahashi, Koji; Morioka, Hiroe; Okura, Takafumi; Enomoto, Daijiro; Uemura, Shigeki; Sakaue, Tomoki; Ikeda, Shuntaro] Yawatahama City Gen Hosp, Dept Cardiol, Yawatahama, Ehime, Japan; [Hiratsuka, Yoshiyasu; Iwamura, Takaaki; Sasaki, Daisuke; Kono, Taizo] Yawatahama City Gen Hosp, Dept Radiol, Yawatahama, Ehime, Japan; [Yamamura, Nobuhisa] Yawatahama City Gen Hosp, Dept Clin Pathol, Yawatahama, Ehime, Japan; [Kitazawa, Sohei] Ehime Univ, Grad Sch Med, Dept Mol Pathol, Matsuyama, Ehime, Japan; [Ueda, Mitsuharu] Kumamoto Univ, Grad Sch Med Sci, Dept Neurol, Kumamoto, Japan; [Takahashi, Koji] Yawatahama City Gen Hosp, Dept Cardiol, 1-638 Ohira, Yawatahama, Ehime 7968502, Japan; [Hiratsuka, Yoshiyasu] Ehime Prefectural Cent Hosp, Dept Radiol, Matsuyama, Ehime, Japan</t>
  </si>
  <si>
    <t>Ehime University; Ehime University; Kumamoto University</t>
  </si>
  <si>
    <t>Takahashi, K (corresponding author), Ehime Univ, Grad Sch Med, Dept Community Emergency Med, Matsuyama, Japan.;Takahashi, K (corresponding author), Yawatahama City Gen Hosp, Dept Cardiol, 1-638 Ohira, Yawatahama, Ehime 7968502, Japan.</t>
  </si>
  <si>
    <t>michitokitatsumasa@gmail.com</t>
  </si>
  <si>
    <t>Ueda, Mitsuharu/Q-8595-2019</t>
  </si>
  <si>
    <t>Ueda, Mitsuharu/0000-0002-6814-0582</t>
  </si>
  <si>
    <t>1350-6129</t>
  </si>
  <si>
    <t>1744-2818</t>
  </si>
  <si>
    <t>AMYLOID</t>
  </si>
  <si>
    <t>Amyloid-J. Protein Fold. Disord.</t>
  </si>
  <si>
    <t>10.1080/13506129.2023.2235881</t>
  </si>
  <si>
    <t>Biochemistry &amp; Molecular Biology; Medicine, General &amp; Internal; Medicine, Research &amp; Experimental</t>
  </si>
  <si>
    <t>Biochemistry &amp; Molecular Biology; General &amp; Internal Medicine; Research &amp; Experimental Medicine</t>
  </si>
  <si>
    <t>M7TK9</t>
  </si>
  <si>
    <t>WOS:001032203200001</t>
  </si>
  <si>
    <t>Tian, XM</t>
  </si>
  <si>
    <t>Tian, Xiaoming</t>
  </si>
  <si>
    <t>Academic achievement in bilingual and immersion education: TransAcquisition pedagogy and curriculum design</t>
  </si>
  <si>
    <t>INTERNATIONAL JOURNAL OF BILINGUAL EDUCATION AND BILINGUALISM</t>
  </si>
  <si>
    <t>[Tian, Xiaoming] Xian Univ Posts &amp; Telecommun, Sch Humanities &amp; Foreign Languages, Xian, Peoples R China</t>
  </si>
  <si>
    <t>Xi'an University of Posts &amp; Telecommunications</t>
  </si>
  <si>
    <t>Tian, XM (corresponding author), Xian Univ Posts &amp; Telecommun, Sch Humanities &amp; Foreign Languages, Xian, Peoples R China.</t>
  </si>
  <si>
    <t>x.tian@auckland.ac.nz</t>
  </si>
  <si>
    <t>Tian, Xiaoming/JDM-8837-2023</t>
  </si>
  <si>
    <t>Tian, Xiaoming/0000-0003-3495-3945</t>
  </si>
  <si>
    <t>Xi'an University of Posts and Telecommunications [117/312012203]</t>
  </si>
  <si>
    <t>Xi'an University of Posts and Telecommunications</t>
  </si>
  <si>
    <t>This work was supported by the research project (No. 117/312012203) approved by Xi'an University of Posts and Telecommunications.</t>
  </si>
  <si>
    <t>1367-0050</t>
  </si>
  <si>
    <t>1747-7522</t>
  </si>
  <si>
    <t>INT J BILING EDUC BI</t>
  </si>
  <si>
    <t>Int. J. Biling. Educ. Biling.</t>
  </si>
  <si>
    <t>10.1080/13670050.2023.2237644</t>
  </si>
  <si>
    <t>N2VM0</t>
  </si>
  <si>
    <t>WOS:001035651500001</t>
  </si>
  <si>
    <t>Waldinger, R; Hoffmann, NI; Lai, TJ</t>
  </si>
  <si>
    <t>Waldinger, Roger; Hoffmann, Nathan I.; Lai, Tianjian</t>
  </si>
  <si>
    <t>Differentiated legality: understanding the sources of immigrants' deportation fear</t>
  </si>
  <si>
    <t>Deportation; fear; legal status; system embeddedness; differentiated legality; citizenship; &gt;</t>
  </si>
  <si>
    <t>CITIZENSHIP; BOUNDARIES</t>
  </si>
  <si>
    <t>All non-citizens face risk of deportation, but a variety of factors unequally stratify this risk. To capture the range of formally unequal statuses produced by migration control systems, we introduce the concept of differentiated legality. This paper applies this framework to analyze perceived deportation risk reported by 1,976 immigrants from a range of origin countries in the 2016-2017 Collaborative Multi-racial Post-election Survey. Findings show that unauthorized immigrants and immigrants with temporary authorized status worry more than naturalized citizens about being deported. Respondents who know someone who has been deported and who were interviewed in a language other than English express greater fear of deportation, even in models with controls. In addition, system embeddedness - i.e. perceived legibility to the state - may increase deportation fears, even among those with comparatively secure legal statuses. This paper is a significant contribution to understandings of citizenship, legality, and how immigrants experience deportability.</t>
  </si>
  <si>
    <t>[Waldinger, Roger; Hoffmann, Nathan I.; Lai, Tianjian] Univ Calif Los Angeles, Dept Sociol, Los Angeles, CA 90095 USA</t>
  </si>
  <si>
    <t>University of California System; University of California Los Angeles</t>
  </si>
  <si>
    <t>Hoffmann, NI (corresponding author), Univ Calif Los Angeles, Dept Sociol, Los Angeles, CA 90095 USA.</t>
  </si>
  <si>
    <t>nathanihoff@g.ucla.edu</t>
  </si>
  <si>
    <t>Lai, Tianjian/0000-0003-4273-6713; Hoffmann, Nathan/0000-0002-7412-4837</t>
  </si>
  <si>
    <t>10.1080/01419870.2023.2235419</t>
  </si>
  <si>
    <t>N0ZY7</t>
  </si>
  <si>
    <t>WOS:001034411200001</t>
  </si>
  <si>
    <t>Zhang, HF</t>
  </si>
  <si>
    <t>Zhang, Hong-Fan</t>
  </si>
  <si>
    <t>A varying coefficient model with matrix valued covariates</t>
  </si>
  <si>
    <t>JOURNAL OF NONPARAMETRIC STATISTICS</t>
  </si>
  <si>
    <t>Varying coefficient model; matrix covariates; principal component analysis; variable selection; proximal gradient algorithm; &gt;</t>
  </si>
  <si>
    <t>NONCONCAVE PENALIZED LIKELIHOOD; EFFICIENT ESTIMATION; VARIABLE SELECTION; INFERENCES</t>
  </si>
  <si>
    <t>Modern data are often collected in a matrix form. In this paper, we consider modelling the varying coefficient regression with matrix valued covariate X and scalar index variable U. The proposed model simultaneously makes principal component analysis for both the row and column dimensions of the matrix objects, maintaining the matrix structure while achieving substantial dimension reduction. We develop an iterative estimation method for the involved principal parameters and nonparametric functions. Under regularity conditions, the asymptotic distributions of the estimators are derived. In addition, by incorporating the estimation with the adaptive group Lasso and the group SCAD penalties, variables of X in entire rows or columns are selected. The proximal gradient algorithm is further utilised to solve the regularised optimisation problems. The asymptotic properties of the penalised estimators are also studied. Our model and estimation methods are demonstrated by simulated experiments. Real applications to the primary biliary cirrhosis (PBC) data reveal that the effects of the blood measurements to the survival time vary with levels of age.</t>
  </si>
  <si>
    <t>[Zhang, Hong-Fan] Southwest Jiaotong Univ, Dept Stat, Chengdu, Peoples R China</t>
  </si>
  <si>
    <t>Southwest Jiaotong University</t>
  </si>
  <si>
    <t>Zhang, HF (corresponding author), Southwest Jiaotong Univ, Dept Stat, Chengdu, Peoples R China.</t>
  </si>
  <si>
    <t>zhfbeyond@126.com</t>
  </si>
  <si>
    <t>1048-5252</t>
  </si>
  <si>
    <t>1029-0311</t>
  </si>
  <si>
    <t>J NONPARAMETR STAT</t>
  </si>
  <si>
    <t>J. Nonparametr. Stat.</t>
  </si>
  <si>
    <t>10.1080/10485252.2023.2238841</t>
  </si>
  <si>
    <t>M7TS1</t>
  </si>
  <si>
    <t>WOS:001032210500001</t>
  </si>
  <si>
    <t>Avis, J</t>
  </si>
  <si>
    <t>Avis, James</t>
  </si>
  <si>
    <t>In pursuit of equity vocational education and training and social justice</t>
  </si>
  <si>
    <t>RESEARCH IN POST-COMPULSORY EDUCATION</t>
  </si>
  <si>
    <t>Equity; vocational education and training; Social justice; equality; equal opportunity; meritocracy; &gt;</t>
  </si>
  <si>
    <t>WORKING-CLASS STUDENTS</t>
  </si>
  <si>
    <t>The paper problematises conceptualisations of Vocational Education and Training (VET) and its relationship to social justice by examining a number of debates. It explores a post-structural policy analysis which is sensitive to the manner in which, through research, we constitute the object of our inquiry and as a result of this process subtly change it. This initial discussion leads into an examination of hegemonic constructions of VET. Subsequently, the paper addresses the contours of inequality as they apply to VET and English further education. This is followed by an examination of conceptualisations of equity, equality and meritocracy. In conclusion, the paper poses a question - how far can VET be shifted from its occupational moorings in order to contribute towards a socially just society, or is it compromised by its close association with the needs of capital and employers? This is not merely an empirical but also a political question that hinges on conceptualisations of social justice and power as well as the manner in which these are addressed in the struggle for a fairer more just society.</t>
  </si>
  <si>
    <t>[Avis, James] Univ Huddersfield, Univ Derby, Inst Educ, Huddersfield, England</t>
  </si>
  <si>
    <t>University of Derby; University of Huddersfield</t>
  </si>
  <si>
    <t>Avis, J (corresponding author), Univ Huddersfield, Univ Derby, Inst Educ, Huddersfield, England.</t>
  </si>
  <si>
    <t>j.avis@hud.ac.uk</t>
  </si>
  <si>
    <t>1359-6748</t>
  </si>
  <si>
    <t>1747-5112</t>
  </si>
  <si>
    <t>RES POST-COMPULS EDU</t>
  </si>
  <si>
    <t>Res. Post-Compuls. Educ.</t>
  </si>
  <si>
    <t>2023 JUL 21</t>
  </si>
  <si>
    <t>10.1080/13596748.2023.2221119</t>
  </si>
  <si>
    <t>M7QD4</t>
  </si>
  <si>
    <t>WOS:001032117600001</t>
  </si>
  <si>
    <t>Doyle, A</t>
  </si>
  <si>
    <t>Doyle, Audrey</t>
  </si>
  <si>
    <t>Disturbing the teacher's role as assessor: the case of calculated grades 2020-2021 in Ireland</t>
  </si>
  <si>
    <t>Assessment; leaving certificate; calculated grades; teacher identity; &gt;</t>
  </si>
  <si>
    <t>FORMATIVE ASSESSMENT; ASSESSMENT LITERACY; EDUCATION; WORKING; POLICY</t>
  </si>
  <si>
    <t>For the first time in the history of the high stakes Leaving Certificate Established examination in Ireland, teachers graded and ranked their own students due to Covid-19 restrictions. In the wake of the process, a questionnaire and focus group interviews explored how teachers engaged with the Leaving Certificate Calculated Grades 2020 (CG2020) and how they viewed their role as assessor. The process challenged the becoming of teachers in their personal, professional, and political identity, and it created a space where teachers' feelings and beliefs oscillated between holding on to the traditional assessment approach and engaging in new possibilities of assessment reform. This paper maps what teachers were feeling and believing during the event of CG2020 and offers possible explanations for these responses through interrogating the molar, molecular and lines of flight of Teacher Assessment Becoming [Deleuze and Guattari. 1988. A Thousand Plateaus. University of Minnesota Press]. The feelings and beliefs of teachers as assessors offer potential lines of flight to reterritorialize through the reimagining of new assessment spaces, but there are many complex challenges to ensure that this reterritorialization does not regroup back into the old, striated space of previous assessment practices..</t>
  </si>
  <si>
    <t>[Doyle, Audrey] Dublin City Univ, Inst Educ, Sch Policy &amp; Practice, Dublin, Ireland</t>
  </si>
  <si>
    <t>Doyle, A (corresponding author), Dublin City Univ, Inst Educ, Sch Policy &amp; Practice, Dublin, Ireland.</t>
  </si>
  <si>
    <t>audrey.doyle@dcu.ie</t>
  </si>
  <si>
    <t>Doyle, Audrey Mary/0000-0001-7731-6845</t>
  </si>
  <si>
    <t>10.1080/03323315.2023.2236597</t>
  </si>
  <si>
    <t>M7UJ3</t>
  </si>
  <si>
    <t>WOS:001032227700001</t>
  </si>
  <si>
    <t>Fan, YY; Jiang, XW; Xiao, YH; Li, HW; Chen, JL; Bai, WB</t>
  </si>
  <si>
    <t>Fan, Yueyao; Jiang, Xinwei; Xiao, Yuhang; Li, Haiwei; Chen, Jiali; Bai, Weibin</t>
  </si>
  <si>
    <t>Natural antioxidants mitigate heavy metal induced reproductive toxicity: prospective mechanisms and biomarkers</t>
  </si>
  <si>
    <t>Heavy metal; natural antioxidants; reproductive health; oxidative stress; inflammation; endocrine disruption; &gt;</t>
  </si>
  <si>
    <t>INDUCED TESTICULAR TOXICITY; OXIDATIVE STRESS; CADMIUM TOXICITY; IN-VIVO; EXPOSURE; LEAD; INFERTILITY; MERCURY; FERTILITY; HORMONES</t>
  </si>
  <si>
    <t>Heavy metals are harmful environmental pollutants that have attracted widespread attention, attributed to their health hazards to humans and animals. Due to the non-degradable property of heavy metals, organisms are inevitably exposed to heavy metals such as arsenic (As), cadmium (Cd), lead (Pb), and mercury (Hg). Several studies revealed that heavy metals can cause reproductive damage by the excessive production of reactive oxygen species (ROS), which exacerbates oxidative stress, inflammation, and endocrine disruption. Natural antioxidants, mainly polyphenols, carotenoids, and vitamins, have been shown to mitigate heavy metal-induced reproductive toxicity potentially. In this review, accumulated evidences on the influences of four non-essential heavy metals As, Cd, Pb, and Hg on both males and females reproductive system were established. The purpose of this review is to explore the potential mechanisms of the effects of heavy metals on reproductive function and point out the potential biomarkers of natural antioxidants interventions toward heavy metal-induced reproductive toxicity. Notably, increasing evidence proven that the regulations of hypothalamic-pituitary-gonadal axis, Nrf2, MAPK, or NF-&amp; kappa;B pathways are the important mechanisms for the amelioration of heavy metal induced reproductive toxicity by natural antioxidants. It also provided a promising guidance for prevention and management of heavy metal-induced reproductive toxicity.</t>
  </si>
  <si>
    <t>[Fan, Yueyao; Jiang, Xinwei; Xiao, Yuhang; Li, Haiwei; Chen, Jiali; Bai, Weibin] Jinan Univ, Inst Food Safety &amp; Nutr, Guangdong Engn Technol Ctr Food Safety Mol Rapid D, Dept Food Sci &amp; Engn, Guangzhou, Peoples R China</t>
  </si>
  <si>
    <t>Jinan University</t>
  </si>
  <si>
    <t>Chen, JL; Bai, WB (corresponding author), Jinan Univ, Inst Food Safety &amp; Nutr, Guangdong Engn Technol Ctr Food Safety Mol Rapid D, Dept Food Sci &amp; Engn, Guangzhou, Peoples R China.</t>
  </si>
  <si>
    <t>kellychan123@126.com; baiweibin@163.com</t>
  </si>
  <si>
    <t>National Natural Science Foundation of China (NSFC) [32101933, 32172220]; Science and Technology Projects in Guangzhou [202201010504]</t>
  </si>
  <si>
    <t>National Natural Science Foundation of China (NSFC)(National Natural Science Foundation of China (NSFC)); Science and Technology Projects in Guangzhou</t>
  </si>
  <si>
    <t>This work was supported by National Natural Science Foundation of China (NSFC, No.32101933, No.32172220); and Science and Technology Projects in Guangzhou (202201010504).</t>
  </si>
  <si>
    <t>10.1080/10408398.2023.2240399</t>
  </si>
  <si>
    <t>O0GJ9</t>
  </si>
  <si>
    <t>WOS:001040688800001</t>
  </si>
  <si>
    <t>Feddersen, M; Freier, LF</t>
  </si>
  <si>
    <t>Feddersen, Mayra; Freier, Luisa Feline</t>
  </si>
  <si>
    <t>Unpacking the ideational foundations of South American migration governance: a systematic analysis of the South American conference on migration (SACM)</t>
  </si>
  <si>
    <t>GLOBALIZATIONS</t>
  </si>
  <si>
    <t>South America; migration governance; migrant rights; ideas; philosophies; &gt;</t>
  </si>
  <si>
    <t>IMMIGRATION POLICY; LATIN-AMERICA; IDEAS</t>
  </si>
  <si>
    <t>Is there empirical evidence for a liberal paradigm that informs South American immigration governance? And how does this paradigm relate to other ideas on managing immigration? Based on Pecoud's (2020) categorization of immigration governance philosophies, and the content analysis of all final declarations of the South American Conference on Migration between 2000 and 2022, we confirm a dominant liberal paradigm in the region. We further find that in South America, Pecoud's global rights-based philosophy operates as a hinge between three other philosophies: the free (non) governance of migration, anti-migrant governance, and managerial/development global migration governance philosophy. Through our analysis, we demonstrate the applicability of Pecoud's (2020) immigration governance philosophies to a major immigrant receiving region in the Global South, and contribute to the ideational literature by showing how paradigms and philosophies represent ideational building blocks that can be combined, merged, and adapted by political actors to different regional contexts.</t>
  </si>
  <si>
    <t>[Feddersen, Mayra] Univ Adolfo Ibanez, Sch Law, Santiago, Chile; [Freier, Luisa Feline] Univ Pacifico, Dept Social &amp; Polit Sci, Lima, Peru</t>
  </si>
  <si>
    <t>Universidad Adolfo Ibanez; Universidad del Pacifico Peru</t>
  </si>
  <si>
    <t>Feddersen, M (corresponding author), Univ Adolfo Ibanez, Sch Law, Santiago, Chile.</t>
  </si>
  <si>
    <t>mayra.feddersen@uai.cl</t>
  </si>
  <si>
    <t>Freier, Luisa Feline/0000-0002-4653-4812</t>
  </si>
  <si>
    <t>Agencia Nacional de Investigacion y Desarrollo [Grant Millenium Nucleus MIGRA] [ANID-MILENIO-NCS2022 051, 11200018]</t>
  </si>
  <si>
    <t>Agencia Nacional de Investigacion y Desarrollo [Grant Millenium Nucleus MIGRA]</t>
  </si>
  <si>
    <t>This work was supported by Agencia Nacional de Investigacion y Desarrollo: [Grant Number Millenium Nucleus MIGRA, ANID-MILENIO-NCS2022 051]; Agencia Nacional de Investigacion y Desarrollo: [Grant Number 11200018].</t>
  </si>
  <si>
    <t>1474-7731</t>
  </si>
  <si>
    <t>1474-774X</t>
  </si>
  <si>
    <t>Globalizations</t>
  </si>
  <si>
    <t>10.1080/14747731.2023.2236886</t>
  </si>
  <si>
    <t>International Relations; Social Sciences, Interdisciplinary</t>
  </si>
  <si>
    <t>International Relations; Social Sciences - Other Topics</t>
  </si>
  <si>
    <t>N4SH1</t>
  </si>
  <si>
    <t>WOS:001036923700001</t>
  </si>
  <si>
    <t>Maddah, M; Esmaeilzadeh, P; Mirzaei, T</t>
  </si>
  <si>
    <t>Maddah, Mahed; Esmaeilzadeh, Pouyan; Mirzaei, Tala</t>
  </si>
  <si>
    <t>An Experimental Study to Examine Relationships Between IT Identity and Users' Post-Adoption Behaviors for Different Types of Health Applications</t>
  </si>
  <si>
    <t>INFORMATION SYSTEMS MANAGEMENT</t>
  </si>
  <si>
    <t>Health apps; IT identity; post-adoption behaviors; experiments; moderating effects; &gt;</t>
  </si>
  <si>
    <t>INFORMATION-TECHNOLOGY IDENTITY; MOBILE-HEALTH; PRIVACY CONCERNS; SELF-EFFICACY; PERCEIVED EASE; ACCEPTANCE; ONLINE; PERCEPTIONS; SERVICES; CARE</t>
  </si>
  <si>
    <t>This study investigates whether types, purposes, and contexts of using an app affect the relationships between Information technology (IT) identity and post-adoption behaviors. We designed four experiments to examine the effects of IT identity on positive use behaviors for four groups of health-apps (i.e. managing chronic physical diseases, health-related habits, mental disorders, and diet/fitness). Results suggest that these relationships vary by the interaction between the purpose of using a health app and seven moderating factors.</t>
  </si>
  <si>
    <t>[Maddah, Mahed] Suffolk Univ, Informat Syst &amp; Operat Management Dept, Boston, MA USA; [Esmaeilzadeh, Pouyan; Mirzaei, Tala] Florida Int Univ, Dept Informat Syst &amp; Business Analyt, Miami, FL USA; [Esmaeilzadeh, Pouyan] McMaster Univ, DeGroote Sch Business, Dept Informat Syst, Hamilton, ON, Canada; [Maddah, Mahed] ISOM Dept, Room 5104,120 Tremont St, Boston, MA 02108 USA</t>
  </si>
  <si>
    <t>Suffolk University; State University System of Florida; Florida International University; McMaster University</t>
  </si>
  <si>
    <t>Maddah, M (corresponding author), ISOM Dept, Room 5104,120 Tremont St, Boston, MA 02108 USA.</t>
  </si>
  <si>
    <t>mmaddah@suffolk.edu</t>
  </si>
  <si>
    <t>Esmaeilzadeh, Pouyan/0000-0002-3885-8112</t>
  </si>
  <si>
    <t>1058-0530</t>
  </si>
  <si>
    <t>1934-8703</t>
  </si>
  <si>
    <t>INFORM SYST MANAGE</t>
  </si>
  <si>
    <t>Inf. Syst. Manage.</t>
  </si>
  <si>
    <t>10.1080/10580530.2023.2237187</t>
  </si>
  <si>
    <t>M8QR8</t>
  </si>
  <si>
    <t>WOS:001032812000001</t>
  </si>
  <si>
    <t>Ni, ZL; Gao, ZT</t>
  </si>
  <si>
    <t>Ni, Zenglei; Gao, Zhiting</t>
  </si>
  <si>
    <t>Insights into microstructure evolution and interface joining mechanism of ultrasonic spot welded Cu/Cu joint</t>
  </si>
  <si>
    <t>Ultrasonic spot welding; Cu; Cu joint; microstructure evolution; interface joining mechanism; &gt;</t>
  </si>
  <si>
    <t>DYNAMIC RECRYSTALLIZATION; PLASTIC-DEFORMATION; GRAIN-BOUNDARY</t>
  </si>
  <si>
    <t>To understand the underlying microstructure evolution and joining mechanism of ultrasonic spot welded Cu/Cu joint, the microstructure and crystallography analysis were investigated. The grain size, grain boundary, misorientation angle, Kernel Average Misorientation, Schmid factor and crystal orientation along the weld thickness were heterogeneous and unsymmetrical. The changes of corresponding microstructural and crystallographic features were more obvious for the top sheet comparing with the bottom sheet. The {111} texture, nano-sized equiaxed induced by discontinuous dynamic recrystallization and refined elongated grains because of continuous dynamic recrystallization were formed at the welding interface. The nucleated fine grains between the elongated grains attributing to continuous dynamic recrystallization were beneficial to the grain boundary migration and consequent the achievement of the interfacial metallurgical bonding.</t>
  </si>
  <si>
    <t>[Ni, Zenglei] North China Univ Water Resources &amp; Elect Power, Sch Mat Sci &amp; Engn, Zhengzhou 450045, Peoples R China; [Gao, Zhiting] Beijing Inst Technol, Sch Mat Sci &amp; Engn, Beijing, Peoples R China; [Gao, Zhiting] Beijing Inst Technol, Chongqing Innovat Ctr, Chongqing, Peoples R China</t>
  </si>
  <si>
    <t>North China University of Water Resources &amp; Electric Power; Beijing Institute of Technology; Beijing Institute of Technology</t>
  </si>
  <si>
    <t>Ni, ZL (corresponding author), North China Univ Water Resources &amp; Elect Power, Sch Mat Sci &amp; Engn, Zhengzhou 450045, Peoples R China.</t>
  </si>
  <si>
    <t>zlni@tju.edu.cn</t>
  </si>
  <si>
    <t>National Natural Science Foundation of China [51905171]</t>
  </si>
  <si>
    <t>This work was supported by National Natural Science Foundation of China: [Grant Number 51905171].</t>
  </si>
  <si>
    <t>10.1080/13621718.2023.2237275</t>
  </si>
  <si>
    <t>M7TY0</t>
  </si>
  <si>
    <t>WOS:001032216400001</t>
  </si>
  <si>
    <t>Pichalakkattu, BJ</t>
  </si>
  <si>
    <t>Pichalakkattu, Binoy Jacob</t>
  </si>
  <si>
    <t>Science and Religion in India: Beyond Disenchantment</t>
  </si>
  <si>
    <t>THEOLOGY AND SCIENCE</t>
  </si>
  <si>
    <t>[Pichalakkattu, Binoy Jacob] Loyola Inst Peace &amp; Int Relat LIPI, Kochi, India</t>
  </si>
  <si>
    <t>Pichalakkattu, BJ (corresponding author), Loyola Inst Peace &amp; Int Relat LIPI, Kochi, India.</t>
  </si>
  <si>
    <t>binoysj@gmail.com</t>
  </si>
  <si>
    <t>1474-6700</t>
  </si>
  <si>
    <t>1474-6719</t>
  </si>
  <si>
    <t>THEOL SCI</t>
  </si>
  <si>
    <t>Theol. Sci.</t>
  </si>
  <si>
    <t>10.1080/14746700.2023.2230440</t>
  </si>
  <si>
    <t>History &amp; Philosophy Of Science; Religion</t>
  </si>
  <si>
    <t>History &amp; Philosophy of Science; Religion</t>
  </si>
  <si>
    <t>O0LN9</t>
  </si>
  <si>
    <t>WOS:001033766900001</t>
  </si>
  <si>
    <t>Reginato, L; Collatto, DC; Cornacchione, E</t>
  </si>
  <si>
    <t>Reginato, Luciane; Collatto, Dalila Cisco; Cornacchione, Edgard</t>
  </si>
  <si>
    <t>The relationship between culture, controller behavior and corporate performance in large Brazilian companies</t>
  </si>
  <si>
    <t>Organizational culture; controller behavior; corporate performance; Brazilian companies; biggest and best companies; &gt;</t>
  </si>
  <si>
    <t>ORGANIZATIONAL CULTURE; MANAGEMENT; TRAITS</t>
  </si>
  <si>
    <t>Historically both academia and practice keep paying attention to potential elements explaining organizations, management and performance. However, as such elements are typically observed in a narrow fashion, this study focuses on this research gap and brings all three constructs together, exploring relationships among them. We designed a field-based research supported by a fresh and exclusive sample of 116 large organizations, with financial data and responses from top-level executives. The goal is to explore the existence of relationships among organizational culture, controller behavior, and corporate performance. Three research hypotheses are discussed. In order to accomplish that, a combined set of statistical procedures was used, including descriptives, comparison of means, ANOVA, correlational and structural equation modeling. Findings support the claims of significant positive relationships between organizational culture and controller behavior, as well as between organizational culture and corporate performance. Beyond discussion of the results in light of the relevant reviewed literature, recommendations to academia and practice are present, as well as suggestions for future research in this area. The main contribution, along with these results, is the development of management models that encourage the best behavior of managers in the company and cultivate a culture that promotes better performance.</t>
  </si>
  <si>
    <t>[Reginato, Luciane; Cornacchione, Edgard] Univ Sao Paulo, Business &amp; Accounting, Ave Luciano Gualberto 908,FEA3,218, BR-05508210 Sao Paulo, Brazil; [Collatto, Dalila Cisco] South Rio Grande Fed Inst Educ, Educ Sci &amp; Technol, Sapucaia Do Sul, Brazil</t>
  </si>
  <si>
    <t>Universidade de Sao Paulo</t>
  </si>
  <si>
    <t>Reginato, L (corresponding author), Univ Sao Paulo, Business &amp; Accounting, Ave Luciano Gualberto 908,FEA3,218, BR-05508210 Sao Paulo, Brazil.</t>
  </si>
  <si>
    <t>lucianereginato@usp.br</t>
  </si>
  <si>
    <t>Reginato, Luciane/0000-0003-1812-4311; Cornacchione Jr., Edgard B./0000-0002-0745-131X</t>
  </si>
  <si>
    <t>Sao Paulo State Research Support Foundation (FAPESP)</t>
  </si>
  <si>
    <t>Sao Paulo State Research Support Foundation (FAPESP)(Fundacao de Amparo a Pesquisa do Estado de Sao Paulo (FAPESP))</t>
  </si>
  <si>
    <t>In particular, we are grateful for the support offered by the Sao Paulo State Research Support Foundation (FAPESP, an important research foundation in Brazil), which made possible the full development of this study.</t>
  </si>
  <si>
    <t>10.1080/00208825.2023.2235156</t>
  </si>
  <si>
    <t>M9XT9</t>
  </si>
  <si>
    <t>WOS:001033677800001</t>
  </si>
  <si>
    <t>Sadownik, AR</t>
  </si>
  <si>
    <t>Sadownik, Alicja R.</t>
  </si>
  <si>
    <t>Norwegian polyamorous families and their experiences of kindergarten: a narrative inquiry</t>
  </si>
  <si>
    <t>Family; narratives; parents; primary (elementary) education; &gt;</t>
  </si>
  <si>
    <t>SCHOOL</t>
  </si>
  <si>
    <t>This article reports on a narrative inquiry (NI) of two Norwegian polyamorous families regarding their encounters with their children's kindergartens. NI as a theory and method is employed, along with discourse theory, to understand the experiences of these polyfamilies in Norway. Norway has declared its institutions to be discrimination-free but that does not allow for the formalization of polyamory as a legitimate relationship. The analysis focuses on restorying three experiences of the polyamorous families: becoming polyfamilies, disclosing their relationship to the children, and encounters with the kindergartens. The discussion highlights the dichotomy between the families' experiences when hiding and being open about their family arrangement; and the silent hegemony of monogamy underpinning a ray of policy documents framing kindergarten policy and practice (of collaborations with families).</t>
  </si>
  <si>
    <t>[Sadownik, Alicja R.] Western Norway Univ Appl Sci, Kindergarten Knowledge Ctr Syst Res Divers &amp; Susta, Bergen, Norway; [Sadownik, Alicja R.] Western Norway Univ Appl Sci, Kindergarten Knowledge Ctr Syst Res Divers &amp; Susta, Inndalsveien 28, N-5063 Bergen, Norway</t>
  </si>
  <si>
    <t>Western Norway University of Applied Sciences; Western Norway University of Applied Sciences</t>
  </si>
  <si>
    <t>Sadownik, AR (corresponding author), Western Norway Univ Appl Sci, Kindergarten Knowledge Ctr Syst Res Divers &amp; Susta, Inndalsveien 28, N-5063 Bergen, Norway.</t>
  </si>
  <si>
    <t>aras@hvl.no</t>
  </si>
  <si>
    <t>Kindergarten Knowledge Centre for Systemic Research on Diversity and Sustainable Futures [275575]</t>
  </si>
  <si>
    <t>Kindergarten Knowledge Centre for Systemic Research on Diversity and Sustainable Futures</t>
  </si>
  <si>
    <t>This work was supported by Kindergarten Knowledge Centre for Systemic Research on Diversity and Sustainable Futures[grant number 275575].</t>
  </si>
  <si>
    <t>6-7</t>
  </si>
  <si>
    <t>10.1080/09540253.2023.2235408</t>
  </si>
  <si>
    <t>Q5UG1</t>
  </si>
  <si>
    <t>WOS:001032212100001</t>
  </si>
  <si>
    <t>Smith, PJ</t>
  </si>
  <si>
    <t>Smith, Paul Julian</t>
  </si>
  <si>
    <t>Youth Culture in Spanish and Mexican Cinema and Television: Studies and Sources</t>
  </si>
  <si>
    <t>ROMANCE STUDIES</t>
  </si>
  <si>
    <t>Mexican cinema; Mexican television; Spanish cinema; Spanish television; youth culture; social media; media convergence; &gt;</t>
  </si>
  <si>
    <t>This article gives an account of four studies of youth culture in the areas of recent fiction film and television in Spain and Mexico. It argues that, although the primary texts are different in medium, format and audience address, they coincide in their treatment of such themes as friends and family, and sex and violence. The article also suggests that much-criticized youth TV series in both countries deserve both close textual analysis and sympathetic reading of the social media that they have provoked and with which they have converged. These give evidence of an active and sophisticated audience response.</t>
  </si>
  <si>
    <t>[Smith, Paul Julian] CUNY, Grad Ctr, Comparat Literature Program, New York, NY USA; [Smith, Paul Julian] CUNY, Grad Ctr, Comparat Literature Program, New York, NY 10016 USA</t>
  </si>
  <si>
    <t>Smith, PJ (corresponding author), CUNY, Grad Ctr, Comparat Literature Program, New York, NY 10016 USA.</t>
  </si>
  <si>
    <t>psmith@gc.cuny.edu</t>
  </si>
  <si>
    <t>0263-9904</t>
  </si>
  <si>
    <t>1745-8153</t>
  </si>
  <si>
    <t>ROMAN STUD</t>
  </si>
  <si>
    <t>Roman Stud.</t>
  </si>
  <si>
    <t>10.1080/02639904.2023.2232203</t>
  </si>
  <si>
    <t>N2NE5</t>
  </si>
  <si>
    <t>WOS:001035433800001</t>
  </si>
  <si>
    <t>Alamsyah; Alfalah, A; Siregar, SDP</t>
  </si>
  <si>
    <t>Alamsyah; Alfalah, Adib; Siregar, Sri Dewi Priwarti</t>
  </si>
  <si>
    <t>Elementary online learning: strategies and designs for building virtual education, Grades K-5</t>
  </si>
  <si>
    <t>EDUCATION 3-13</t>
  </si>
  <si>
    <t>[Alamsyah] Univ Pendidikan Indonesia, Dept English Language Educ, Kota Bandung, Indonesia; [Alfalah, Adib; Siregar, Sri Dewi Priwarti] Univ Pendidikan Indonesia, Dept Arabic Language Educ, Kota Bandung, Indonesia</t>
  </si>
  <si>
    <t>Universitas Pendidikan Indonesia; Universitas Pendidikan Indonesia</t>
  </si>
  <si>
    <t>Siregar, SDP (corresponding author), Univ Pendidikan Indonesia, Dept Arabic Language Educ, Kota Bandung, Indonesia.</t>
  </si>
  <si>
    <t>sridewipriwarti@upi.edu</t>
  </si>
  <si>
    <t>siregar, Sri dewi priwarti/0000-0002-3349-1729</t>
  </si>
  <si>
    <t>0300-4279</t>
  </si>
  <si>
    <t>1475-7575</t>
  </si>
  <si>
    <t>EDUC 3-13</t>
  </si>
  <si>
    <t>Educ. 3-13</t>
  </si>
  <si>
    <t>2023 JUL 20</t>
  </si>
  <si>
    <t>10.1080/03004279.2023.2237043</t>
  </si>
  <si>
    <t>N0DM2</t>
  </si>
  <si>
    <t>WOS:001033826300001</t>
  </si>
  <si>
    <t>Ali, AM</t>
  </si>
  <si>
    <t>Ali, Ali Mohamed</t>
  </si>
  <si>
    <t>Determination of a critical nitrogen dilution curve and nitrogen nutrition index for maize in Western Nile Delta of Egypt</t>
  </si>
  <si>
    <t>JOURNAL OF PLANT NUTRITION</t>
  </si>
  <si>
    <t>Dry matter accumulation; maize; N dilution curve; N nutrition index</t>
  </si>
  <si>
    <t>ZEA-MAYS L.; USE EFFICIENCY; GROWTH; CROPS; WHEAT; MODEL; CORN</t>
  </si>
  <si>
    <t>Critical nitrogen (N) dilution curves are valuable tools for diagnosing N deficiency and managing its levels in plants. The objectives of this study were to establish a critical N dilution curve for maize in Egypt's West Delta region, assess the potential of using it to compute the N nutrition index (NNI) and compare this curve with existing curves for maize in other regions. The experiment was carried out across four site years (2020-2021), with seven N fertilization rates (0-360 kg N ha(-1)) used to induce variability in plant growth. Aboveground shoot biomass (W; Mg DM [dry matter] ha(-1)) and N concentration (N-c; g kg(-1) DM) were determined on five sampling dates during the growing season. A critical N dilution curve (Nc=43.022 W-0.51) was developed, which differed moderately from those reported in France, Germany, and China. The NNI computed from this curve recognized both limited and non-limited N nutrition conditions. The findings of progressing NNI suggest that the period between V9 (9th leaf collar fully unfolded) and V12 is critical and that a sufficient supply of N fertilizer is essential. Furthermore, the NNI derived from an independent dataset, utilizing the N-c established in this study, exhibited a strong relationship with the relative grain yield. The relationship was characterized by a linear plateau function, which accounted for 74% of the observed variance. The results of this study will offer dependable guidance for detecting N levels in maize and customizing the application of precision N fertilizers to enhance yield and use efficiency.</t>
  </si>
  <si>
    <t>[Ali, Ali Mohamed] Desert Res Ctr, Dept Soil Fertil &amp; Microbiol, Cairo, Egypt; [Ali, Ali Mohamed] Desert Res Ctr, Dept Soil Fertil &amp; Microbiol, Cairo 11753, Egypt</t>
  </si>
  <si>
    <t>Egyptian Knowledge Bank (EKB); Desert Research Center (DRC); Egyptian Knowledge Bank (EKB); Desert Research Center (DRC)</t>
  </si>
  <si>
    <t>Ali, AM (corresponding author), Desert Res Ctr, Dept Soil Fertil &amp; Microbiol, Cairo 11753, Egypt.</t>
  </si>
  <si>
    <t>alimohamed1982@gmail.com</t>
  </si>
  <si>
    <t>Mohamed, Ali/J-6846-2019</t>
  </si>
  <si>
    <t>Mohamed, Ali/0000-0002-1588-7148</t>
  </si>
  <si>
    <t>0190-4167</t>
  </si>
  <si>
    <t>1532-4087</t>
  </si>
  <si>
    <t>J PLANT NUTR</t>
  </si>
  <si>
    <t>J. Plant Nutr.</t>
  </si>
  <si>
    <t>NOV 26</t>
  </si>
  <si>
    <t>10.1080/01904167.2023.2239296</t>
  </si>
  <si>
    <t>R7LV0</t>
  </si>
  <si>
    <t>WOS:001036439400001</t>
  </si>
  <si>
    <t>Ashton, J; Kent, C</t>
  </si>
  <si>
    <t>Ashton, Janet; Kent, Caroline</t>
  </si>
  <si>
    <t>FAST: A Journey Toward Sustainability in Subject Indexing at the British Library</t>
  </si>
  <si>
    <t>CATALOGING &amp; CLASSIFICATION QUARTERLY</t>
  </si>
  <si>
    <t>Metadata standards; authority control; subject cataloging; controlled vocabularies; FAST (Faceted Application of Subject Terminology)</t>
  </si>
  <si>
    <t>This article provides an update on progress since the partial roll-out of FAST in 2015 at the British Library. It discusses developments to the product and the provision of community interaction with FAST via a FAST funnel, ensuring the vocabulary is robust and flexible enough to meet the continued needs of Legal Deposit workflows. It describes the planning and implementation methods used in rolling out FAST to the majority of cataloging workflows at the British Library leading to extensive training over the autumn of 2022.</t>
  </si>
  <si>
    <t>[Ashton, Janet; Kent, Caroline] British Lib, Collect, Wetherby, W Yorks, England</t>
  </si>
  <si>
    <t>Ashton, J (corresponding author), British Lib, Collect, Wetherby, W Yorks, England.</t>
  </si>
  <si>
    <t>janet.ashton@bl.uk</t>
  </si>
  <si>
    <t>0163-9374</t>
  </si>
  <si>
    <t>1544-4554</t>
  </si>
  <si>
    <t>CAT CLASSIF Q</t>
  </si>
  <si>
    <t>Cat. Classif. Q.</t>
  </si>
  <si>
    <t>10.1080/01639374.2023.2238701</t>
  </si>
  <si>
    <t>N9UH0</t>
  </si>
  <si>
    <t>WOS:001040371600001</t>
  </si>
  <si>
    <t>Bevolo, M; Amati, F</t>
  </si>
  <si>
    <t>Bevolo, Marco; Amati, Filiberto</t>
  </si>
  <si>
    <t>The future of business events in the phygital age: development of a generative tool A qualitative research project combining Design Research and foresight principles to co-design and develop a futures matrix for potential implementation by business event designers and managers</t>
  </si>
  <si>
    <t>Business events; event design; design futures; foresight; constructivism; &gt;</t>
  </si>
  <si>
    <t>LEISURE</t>
  </si>
  <si>
    <t>The purpose of this paper is to investigate the future of business events in the phygital age from the viewpoint of purposes and formats, delivering a generative tool for adoption. The approach is based on constructivist epistemology. The topic was approached from the viewpoint of foresight and Design Research, firstly by designing and performing three cycles of qualitative interviews with (a) thought leaders and senior industry experts (setting the drivers for matrix tool development), for a total of 10 respondents within a gender-balanced panel (50% female, 50% male), covering Western, Asian, Arab, and North American regions. A Machine Learning-enabled scan was performed for triangulation purposes. Secondly, a generative matrix tool was designed and tested by (b) senior to midweight Design Thinkers and (c) junior to midweight emerging talents, for a total of 22 respondents. Key findings pertain to current trends and future developments in business event design and management from a phygital perspective, transferred into a generative matrix tool.</t>
  </si>
  <si>
    <t>[Bevolo, Marco] Breda Univ Appl Sci, Acad Leisure &amp; Events, Breda, Netherlands; [Amati, Filiberto] Amati &amp; Associates, Warsaw, Poland; [Bevolo, Marco] Breda Univ Appl Sci, Acad Leisure &amp; Events, Jan Eyckgracht 116, NL-5645 LG Eindhoven, Netherlands</t>
  </si>
  <si>
    <t>Breda University of Applied Sciences; Breda University of Applied Sciences</t>
  </si>
  <si>
    <t>Bevolo, M (corresponding author), Breda Univ Appl Sci, Acad Leisure &amp; Events, Jan Eyckgracht 116, NL-5645 LG Eindhoven, Netherlands.</t>
  </si>
  <si>
    <t>marco.bevolo@gmail.com</t>
  </si>
  <si>
    <t>10.1080/16078055.2023.2238275</t>
  </si>
  <si>
    <t>M8RJ0</t>
  </si>
  <si>
    <t>WOS:001032829700001</t>
  </si>
  <si>
    <t>Deb, P; Li, WY</t>
  </si>
  <si>
    <t>Deb, Prokash; Li, Wenying</t>
  </si>
  <si>
    <t>Asymmetric price volatility spillover between capture fisheries and aquaculture markets</t>
  </si>
  <si>
    <t>Asymmetry; Bangladesh; fisheries &amp; aquaculture; multivariate GARCH; price volatility spillover; value chain; &gt;</t>
  </si>
  <si>
    <t>TILAPIA; FISH; INTEGRATION; WILD; TRANSMISSION; COMPETITION; GROWTH; SHRIMP</t>
  </si>
  <si>
    <t>The recent growth and development of aquaculture industry in Bangladesh demand a thorough investigation of price volatility spillover pattern among capture fisheries and aquaculture products. Utilizing nationally representative monthly retail price data of the last seventeen years, we identify the evidence of volatility spillover effects among capture fisheries and aquaculture markets. We find three phases of fish price movements: (1) fish prices, in general, were increasing prior to 2013 with higher fluctuations and structural breaks; (2) prices were comparatively stable from 2013 to 2019 for almost all markets with sporadic shocks; (3) increasing trajectory of fish prices are observed during the COVID-19 period. We also find that all the aquaculture products have significant direct or indirect long-run volatility spillover effect to capture fish market. We identify only one aquaculture product with a significant positive own price asymmetric effect indicating negative news increases the price volatility behavior in its own market. Our findings may play a vital role in implementing suitable food security policies and reducing overexploitation of natural resources. Policies promoting fish price stability should prioritize tilapia and pangasius markets, and targeted investments in the aquaculture industry should be made to promote greater stability in the fisheries and aquaculture market.</t>
  </si>
  <si>
    <t>[Deb, Prokash; Li, Wenying] Auburn Univ, Dept Agr Econ &amp; Rural Sociol, Auburn, AL 36849 USA</t>
  </si>
  <si>
    <t>Deb, P (corresponding author), Auburn Univ, Dept Agr Econ &amp; Rural Sociol, Auburn, AL 36849 USA.</t>
  </si>
  <si>
    <t>pzd0035@auburn.edu</t>
  </si>
  <si>
    <t>Li, Wenying/0000-0002-6703-725X</t>
  </si>
  <si>
    <t>10.1080/13657305.2023.2236046</t>
  </si>
  <si>
    <t>N2SI1</t>
  </si>
  <si>
    <t>WOS:001035568200001</t>
  </si>
  <si>
    <t>Diaz-Peralta, M</t>
  </si>
  <si>
    <t>Diaz-Peralta, Marina</t>
  </si>
  <si>
    <t>Modality and effective position in the public discourse on irregular migration</t>
  </si>
  <si>
    <t>Spanish</t>
  </si>
  <si>
    <t>METAPHORS; MODEL</t>
  </si>
  <si>
    <t>Este articulo analiza un recurso utilizado por los autores del corpus seleccionado para representar cognitivamente su proposito de lograr algun ascendiente sobre una realidad que no es, segun opinan, la deseable: el auxiliar perifrastico con significado deontico deber. Con este elemento de anclaje modal, los autores, conscientes de que no gozan de una autoridad categorica, pretenden que sus argumentos tengan un impacto tal que persuadan a los agentes modales mencionados en sus textos de que piensen o actuen de acuerdo con lo que en ellos se califica de obligatorio, conveniente o aconsejable desde un punto de vista moral, social, practico.</t>
  </si>
  <si>
    <t>[Diaz-Peralta, Marina] Univ Las Palmas Gran Canaria, Las Palmas Gran Canaria, Las Palmas, Spain</t>
  </si>
  <si>
    <t>Universidad de Las Palmas de Gran Canaria</t>
  </si>
  <si>
    <t>Diaz-Peralta, M (corresponding author), Univ Las Palmas Gran Canaria, Las Palmas Gran Canaria, Las Palmas, Spain.</t>
  </si>
  <si>
    <t>10.1080/14753820.2023.2221589</t>
  </si>
  <si>
    <t>N0ZS6</t>
  </si>
  <si>
    <t>WOS:001034405100001</t>
  </si>
  <si>
    <t>Fakhfakh, R; Hamza, M</t>
  </si>
  <si>
    <t>Fakhfakh, Raouf; Hamza, Marwa</t>
  </si>
  <si>
    <t>Real natural exponential families and generalized orthogonality</t>
  </si>
  <si>
    <t>Variance function; exponential kernel; orthogonal polynomials; classical additive convolution</t>
  </si>
  <si>
    <t>VARIANCE FUNCTIONS; MODELS</t>
  </si>
  <si>
    <t>In this article, we use the notion of generalized orthogonality for a sequence of polynomials introduced by Bryc, Fakhfakh, and Mlotkowski (2019) to extend the characterizations of the Feinsilver, Meixner, and Shanbhag based on orthogonal polynomials. These new versions subsume the real natural exponential families (NEFs) having polynomial variance function in the mean of arbitrary degree. We also relate generalized orthogonality to Sheffer systems. We show that the generalized orthogonality of Sheffer systems occurs if and only if the associated classical additive convolution semigroup of probability measures generates NEFs with polynomial variance function. In addition, we use the raising and lowering operators for quasi-monomial polynomials associated with NEFs to give a characterization of NEFs with polynomial variance function of arbitrary degree.</t>
  </si>
  <si>
    <t>[Fakhfakh, Raouf] Jouf Univ, Coll Sci &amp; Arts Gurayat, Gurayat, Saudi Arabia; [Hamza, Marwa] Univ Sfax, Fac Sci Sfax, Lab Probabil &amp; Stat, Sfax, Tunisia</t>
  </si>
  <si>
    <t>Al Jouf University; Universite de Sfax; Faculty of Sciences Sfax</t>
  </si>
  <si>
    <t>Fakhfakh, R (corresponding author), Jouf Univ, Coll Sci &amp; Arts Gurayat, Gurayat, Saudi Arabia.</t>
  </si>
  <si>
    <t>rfakhfakh@ju.edu.sa</t>
  </si>
  <si>
    <t>Deanship of Scientific Research at Jouf University [DSR-2023-03-02015]</t>
  </si>
  <si>
    <t>Deanship of Scientific Research at Jouf University</t>
  </si>
  <si>
    <t>This work was funded by the Deanship of Scientific Research at Jouf University under grant No (DSR-2023-03-02015).</t>
  </si>
  <si>
    <t>10.1080/03610926.2023.2235447</t>
  </si>
  <si>
    <t>M9AV8</t>
  </si>
  <si>
    <t>WOS:001033077400001</t>
  </si>
  <si>
    <t>Gousis, C; Gill, AK</t>
  </si>
  <si>
    <t>Gousis, Costas; Gill, Aisha K. K.</t>
  </si>
  <si>
    <t>Understanding acts of citizenship: stories of black activism in Greece</t>
  </si>
  <si>
    <t>CITIZENSHIP STUDIES</t>
  </si>
  <si>
    <t>Black Lives Matter; feminist organizing; collective action; fanon; life history interviews; &gt;</t>
  </si>
  <si>
    <t>REFLECTIONS; POLITICS; FLUX</t>
  </si>
  <si>
    <t>The Greek citizenship regime in the first decade of the 21st century has been described as one of the most restrictive in Europe. The campaign 'No to racism from the baby's cot' was created in mid-2000s and called for legislative changes that would allow second-generation immigrants born and/or raised in Greece the right to acquire Greek citizenship. Building on critical studies of citizenship and using life-history interviews, the article explores the political formation of two leading activists who were involved in the campaign, charting the evolution of their experiences and struggles. This way, it shows that citizenship is more than a formal legal entitlement and citizenship struggles are part of the process of making and being a citizen. The story of Loretta Macauley, president of the United African Women's Organization, focuses on the African women's contribution to the campaign and situates this within a broader practice of sisterhood and struggle in line with Black feminist intersectionality. The story of Michael Afolayan, a young second-generation activist involved in the campaign, provides a view of black youth involvement in specific forms of political participation, drawing attention to the 'hybrid' identity behind the term 'second generation immigrant' and the serious implications this identity has for collective action.</t>
  </si>
  <si>
    <t>[Gousis, Costas] Pante Univ, Athens, Greece; [Gill, Aisha K. K.] Univ Bristol, Dept Criminol, Bristol, England</t>
  </si>
  <si>
    <t>Panteion University; University of Bristol</t>
  </si>
  <si>
    <t>Gill, AK (corresponding author), Univ Bristol, Dept Criminol, Bristol, England.</t>
  </si>
  <si>
    <t>ak.gill@bristol.ac.uk</t>
  </si>
  <si>
    <t>1362-1025</t>
  </si>
  <si>
    <t>1469-3593</t>
  </si>
  <si>
    <t>CITIZENSHIP STUD</t>
  </si>
  <si>
    <t>Citizensh. Stud.</t>
  </si>
  <si>
    <t>10.1080/13621025.2023.2237425</t>
  </si>
  <si>
    <t>P3VY9</t>
  </si>
  <si>
    <t>WOS:001032103500001</t>
  </si>
  <si>
    <t>King, JF; Mitch, WA</t>
  </si>
  <si>
    <t>King, Jacob F. F.; Mitch, William A. A.</t>
  </si>
  <si>
    <t>Electrochemical reduction of halogenated organic contaminants using carbon-based cathodes: A review</t>
  </si>
  <si>
    <t>CRITICAL REVIEWS IN ENVIRONMENTAL SCIENCE AND TECHNOLOGY</t>
  </si>
  <si>
    <t>Black carbon; electrochemical reduction; halogenated organic contaminant; &gt;; Albert Juhasz and Lena Q; Ma</t>
  </si>
  <si>
    <t>DISSOCIATIVE ELECTRON-TRANSFER; FREE-ENERGY RELATIONSHIPS; ELECTROCATALYTIC DECHLORINATION; GRANULAR-GRAPHITE; ACTIVATED CARBON; BLACK CARBON; WASTE-WATER; CHLORINATED HYDROCARBONS; PALLADIUM NANOPARTICLES; MOLECULAR-STRUCTURE</t>
  </si>
  <si>
    <t>Electrochemical treatment systems show promise for water treatment due to their ease of operation, modularity, and low chemical inputs. This review examines use of carbon-based cathodes within reductive electrochemical treatment systems for halogenated organic contaminants, which encompasses a vast array of contaminant classes. Due to the high electron affinity of halogen substituents, halogenated contaminants are amenable to electrochemical reduction, forming halides as harmless products, while avoiding formation of halogenated byproducts by halide oxidation. Black carbons feature a high sorption capacity for halogenated contaminants, high conductivity and low expense. Black carbon-based cathode materials enable sorption of contaminants within short hydraulic contact times and destruction of sorbed contaminants over longer timescales. This review first describes the sorptive and conductive properties of black carbons that facilitate electron transfer to halogenated contaminants. The applied voltages required to degrade halogenated contaminants, contaminant degradation rates, reaction mechanisms and final products are discussed for halogenated alkanes, alkenes, and aromatics. The effect of metal impregnation of carbon-based electrodes on dehalogenation is reviewed. Finally, this review discusses challenges with the design of black carbon-based electrodes and scaling electrochemical reactors, and future research needs.</t>
  </si>
  <si>
    <t>[King, Jacob F. F.; Mitch, William A. A.] Stanford Univ, Dept Civil &amp; Environm Engn, Stanford, CA 94305 USA</t>
  </si>
  <si>
    <t>Mitch, WA (corresponding author), Stanford Univ, Dept Civil &amp; Environm Engn, Stanford, CA 94305 USA.</t>
  </si>
  <si>
    <t>wamitch@stanford.edu</t>
  </si>
  <si>
    <t>National Science Foundation Graduate Research Fellowship [DGE - 1656518]; UPS Foundation</t>
  </si>
  <si>
    <t>National Science Foundation Graduate Research Fellowship(National Science Foundation (NSF)); UPS Foundation</t>
  </si>
  <si>
    <t>Jacob King was supported by the National Science Foundation Graduate Research Fellowship under Grant No. DGE - 1656518. Support was also provided by the UPS Foundation.</t>
  </si>
  <si>
    <t>1064-3389</t>
  </si>
  <si>
    <t>1547-6537</t>
  </si>
  <si>
    <t>CRIT REV ENV SCI TEC</t>
  </si>
  <si>
    <t>Crit. Rev. Environ. Sci. Technol.</t>
  </si>
  <si>
    <t>10.1080/10643389.2023.2239130</t>
  </si>
  <si>
    <t>N5IA3</t>
  </si>
  <si>
    <t>WOS:001037334600001</t>
  </si>
  <si>
    <t>Preto, MC; Kortas, GT; Blaas, IK; Lassi, DLS; Campos, MW; Torales, J; Ventriglio, A; Perico, CDM; de Andrade, AG; Castaldelli-Maia, JM</t>
  </si>
  <si>
    <t>Preto, Mayra Cruz; Kortas, Guilherme Trevizan; Blaas, Israel Kanaan; Lassi, Dangela Layne Silva; Campos, Marcela Waisman; Torales, Julio; Ventriglio, Antonio; Perico, Cintia de Azevedo-Marques; de Andrade, Arthur Guerra; Castaldelli-Maia, Joao Mauricio</t>
  </si>
  <si>
    <t>Unravelling the landscape of Cannabis craving pharmacological treatments: a PRISMA-guided review of evidence</t>
  </si>
  <si>
    <t>INTERNATIONAL REVIEW OF PSYCHIATRY</t>
  </si>
  <si>
    <t>Cannabis; craving; pharmagological; non-pharmacological; treatment</t>
  </si>
  <si>
    <t>MARIJUANA-DEPENDENT INDIVIDUALS; PLACEBO-CONTROLLED TRIAL; USE DISORDER; DOUBLE-BLIND; WITHDRAWAL; PHARMACOTHERAPY; DRONABINOL; LOFEXIDINE; ADDICTION; SYMPTOMS</t>
  </si>
  <si>
    <t>Currently, few treatments are available for craving in general, and none of them have received approval for cannabis craving. The objective of this review is to evaluate existing studies analysing treatments for cannabis craving and explore novel treatment possibilities for these patients. The study followed PRISMA guidelines and conducted an extensive database search. Inclusion criteria included human randomised controlled trials examining drug effects on craving symptoms. Exclusion criteria involved studies unrelated to craving, non-pharmacological treatments, duplicates, and non-English/Spanish/Portuguese articles. Our included 22 studies that investigated a wide range of compounds used for cravings related to other drugs, as well as interventions based on healthcare professionals' empirical knowledge. The current pharmacological treatments largely involve off-label drug use and the utilisation of cannabinoid-based medications, such as combinations of THC and lofexidine, oxytocin, progesterone, and N-acetylcysteine. These emerging treatments show promise and have the potential to revolutionise current clinical practices, but further investigation is needed to establish their efficacy. In this context, it is essential to consider non-pharmacological interventions, such as psychotherapy and behavioural treatments. These approaches play a crucial role in complementing pharmacological interventions and addressing the complex nature of the disorder.</t>
  </si>
  <si>
    <t>[Preto, Mayra Cruz] Univ Cidade Sao Paulo UNICID, Med Sch, Sao Paulo, Brazil; [Kortas, Guilherme Trevizan; Blaas, Israel Kanaan; Lassi, Dangela Layne Silva; de Andrade, Arthur Guerra] Univ Sao Paulo, Clin Hosp Med Sch HCFMUSP, Perdizes Intitute IPer, Sao Paulo, Brazil; [Kortas, Guilherme Trevizan; de Andrade, Arthur Guerra; Castaldelli-Maia, Joao Mauricio] Univ Sao Paulo, Med Sch, Dept Psychiat, Sao Paulo, Brazil; [Kortas, Guilherme Trevizan; de Andrade, Arthur Guerra] Sirio Libanes Hosp, Sao Paulo, Brazil; [Blaas, Israel Kanaan; Perico, Cintia de Azevedo-Marques; de Andrade, Arthur Guerra; Castaldelli-Maia, Joao Mauricio] FMABC Univ Ctr, Med Sch, Dept Neurosci, Santo Andre, Brazil; [Campos, Marcela Waisman] FLENI, Dept Cognit Neurol Neuropsychiat &amp; Neuropsychol, Buenos Aires, Argentina; [Torales, Julio] Univ Asuncion, Sch Med Sci, Dept Med Psychol, San Lorenzo, Paraguay; [Ventriglio, Antonio] Univ Foggia, Med Sch, Dept Expt Med, Foggia, Italy; [Kortas, Guilherme Trevizan] Univ Sao Paulo, Clin Hosp Med Sch HCFMUSP, Perdizes Intitute IPer, R Cotoxo 1142 Pompeia, BR-05021001 Sao Paulo, Brazil</t>
  </si>
  <si>
    <t>Universidade Cidade de Sao Paulo; Universidade de Sao Paulo; Universidade de Sao Paulo; Hospital Sirio Libanes; Universidad Nacional de Asuncion; University of Foggia; Universidade de Sao Paulo</t>
  </si>
  <si>
    <t>Kortas, GT (corresponding author), Univ Sao Paulo, Clin Hosp Med Sch HCFMUSP, Perdizes Intitute IPer, R Cotoxo 1142 Pompeia, BR-05021001 Sao Paulo, Brazil.</t>
  </si>
  <si>
    <t>gtkortas@gmail.com</t>
  </si>
  <si>
    <t>WAISMAN CAMPOS, MARCELA/AFQ-1546-2022; Torales, Julio/D-1254-2017; Castaldelli-Maia, Joao Mauricio/I-6309-2013</t>
  </si>
  <si>
    <t>WAISMAN CAMPOS, MARCELA/0000-0003-2728-7876; Torales, Julio/0000-0003-3277-7036; Kortas, Guilherme Trevizan/0000-0003-2447-5388; Kanaan Blaas, Israel/0009-0001-2912-7481; Castaldelli-Maia, Joao Mauricio/0000-0001-9621-2291</t>
  </si>
  <si>
    <t>0954-0261</t>
  </si>
  <si>
    <t>1369-1627</t>
  </si>
  <si>
    <t>INT REV PSYCHIATR</t>
  </si>
  <si>
    <t>Int. Rev. Psych.</t>
  </si>
  <si>
    <t>10.1080/09540261.2023.2231540</t>
  </si>
  <si>
    <t>Psychiatry</t>
  </si>
  <si>
    <t>N2VF1</t>
  </si>
  <si>
    <t>WOS:001035644600001</t>
  </si>
  <si>
    <t>Whang, SW; Flanagan, R</t>
  </si>
  <si>
    <t>Whang, Seoung-Wook; Flanagan, Roger</t>
  </si>
  <si>
    <t>Understanding the competitiveness factors of Korean contractors in the international construction market</t>
  </si>
  <si>
    <t>INTERNATIONAL JOURNAL OF CONSTRUCTION MANAGEMENT</t>
  </si>
  <si>
    <t>Competitiveness evaluation model; contractor competitiveness; international construction; system dynamics; &gt;</t>
  </si>
  <si>
    <t>MODEL</t>
  </si>
  <si>
    <t>The international construction markets (ICM) are constantly changing with new pressures creating opportunities and threats., Enterprises from advanced major advanced economies have been successful in venturing overseas and winning projects by exploiting their design, engineering, technological, and managerial competencies. Construction markets have changed with Chinese, Japanese, Korean, and Turkish construction enterprises securing more projects overseas. Understanding and exploiting the competitive advantage possessed by enterprises from major advanced economies is being challenged by enterprises from newly industrialised economies. This study investigates the competitiveness factors of the Korean construction (KOC) enterprises to understand how they have been successful in exploiting their competitive advantages. The competitiveness evaluation model (CEM) is developed using system dynamics which compares the project performances between the models generated by general and Korea-featured competitiveness factors in winning work in the ICM. The findings reveal that ownership of the enterprise, government strategy and support for the construction industry enterprises, strong leadership, technology-intensive, and special characteristics of large Korean enterprises (Chaebol system) could be critical factors for creating competitive advantage.</t>
  </si>
  <si>
    <t>[Whang, Seoung-Wook] Univ East London, Sch Architecture Comp &amp; Engn, London, England; [Flanagan, Roger] Univ Reading, Sch Construct Management &amp; Engn, Reading, England</t>
  </si>
  <si>
    <t>University of East London; University of Reading</t>
  </si>
  <si>
    <t>Whang, SW (corresponding author), Univ East London, Sch Architecture Comp &amp; Engn, London, England.</t>
  </si>
  <si>
    <t>s.w.whang@uel.ac.uk</t>
  </si>
  <si>
    <t>1562-3599</t>
  </si>
  <si>
    <t>2331-2327</t>
  </si>
  <si>
    <t>INT J CONSTR MANAG</t>
  </si>
  <si>
    <t>Int. J. Constr. Manag.</t>
  </si>
  <si>
    <t>10.1080/15623599.2023.2239483</t>
  </si>
  <si>
    <t>O6GI1</t>
  </si>
  <si>
    <t>WOS:001044765900001</t>
  </si>
  <si>
    <t>Coste, J</t>
  </si>
  <si>
    <t>Coste, Jill</t>
  </si>
  <si>
    <t>Telling New Stories: Disability and Determination in Contemporary Young Adult Fairy Tales</t>
  </si>
  <si>
    <t>WOMENS STUDIES-AN INTERDISCIPLINARY JOURNAL</t>
  </si>
  <si>
    <t>[Coste, Jill] Elizabethtown Coll, Elizabethtown, PA USA; [Coste, Jill] Elizabethtown Coll, Elizabethtown, PA 17022 USA</t>
  </si>
  <si>
    <t>Coste, J (corresponding author), Elizabethtown Coll, Elizabethtown, PA 17022 USA.</t>
  </si>
  <si>
    <t>jill.coste@gmail.com</t>
  </si>
  <si>
    <t>0049-7878</t>
  </si>
  <si>
    <t>1547-7045</t>
  </si>
  <si>
    <t>WOMEN STUD</t>
  </si>
  <si>
    <t>Women Stud-Interdisc. J.</t>
  </si>
  <si>
    <t>2023 JUL 19</t>
  </si>
  <si>
    <t>10.1080/00497878.2023.2235626</t>
  </si>
  <si>
    <t>M7UR5</t>
  </si>
  <si>
    <t>WOS:001032235900001</t>
  </si>
  <si>
    <t>Farias, C; Fernandez-Rio, J; Martins, J; Ribeiro, E; Teixeira, J; Bessa, C; Mesquita, I</t>
  </si>
  <si>
    <t>Farias, Claudio; Fernandez-Rio, Javier; Martins, Joao; Ribeiro, Eugenio; Teixeira, Joaquim; Bessa, Cristiana; Mesquita, Isabel</t>
  </si>
  <si>
    <t>Multi-System Influences on Physical Education Preservice Teachers' Teaching Practice in Pandemic Times</t>
  </si>
  <si>
    <t>QUEST</t>
  </si>
  <si>
    <t>COVID-19; teacher education; distance-learning; digital skills; school placement; &gt;</t>
  </si>
  <si>
    <t>Teacher training programmes and physical education activities were strikingly affected by the COVID-19 pandemic. Consequently, this study attempted to uncover (i) the systems factors that influenced the teaching practice of 28 preservice teachers during school placement, and how different multi-system interacting influences impacted on (ii) predominant, or (iii) differentiated teaching practices. Data included individual and focus group interviews, field notes, post-observation sessions, and digital portfolios. Eleven system-related factors were identified: macrosystem (lockdown regulations); exosystem (experiential learning); mesosystem (mentoring); microsystem (technology); and individual attributes. Teaching practices were influenced by interacting classroom conditions, prior learner-centred training, mentoring and personal attributes.</t>
  </si>
  <si>
    <t>[Farias, Claudio; Bessa, Cristiana; Mesquita, Isabel] Univ Porto, Fac Sport, Ctr Res Educ Intervent &amp; Innovat Sport CIFI2D, Porto, Portugal; [Fernandez-Rio, Javier] Univ Oviedo, EDAFIDES Educ Sci Dept, Oviedo, Spain; [Martins, Joao] Univ Lisbon, Fac Human Kinet, CIPER, Lisbon, Portugal; [Ribeiro, Eugenio; Teixeira, Joaquim] Univ Porto, Fac Sport, Porto, Portugal; [Farias, Claudio] Univ Porto, Fac Sport, Ctr Res Educ Intervent &amp; Innovat Sport CIFI2D, Rua Dr Placido Costa 91, P-4200450 Porto, Portugal</t>
  </si>
  <si>
    <t>Universidade do Porto; University of Oviedo; Universidade de Lisboa; Universidade do Porto; Universidade do Porto</t>
  </si>
  <si>
    <t>Farias, C (corresponding author), Univ Porto, Fac Sport, Ctr Res Educ Intervent &amp; Innovat Sport CIFI2D, Rua Dr Placido Costa 91, P-4200450 Porto, Portugal.</t>
  </si>
  <si>
    <t>claudiofariasef@gmail.com</t>
  </si>
  <si>
    <t>Martins, Joao/N-3067-2018; Fernandez-Rio, Javier/H-9529-2015</t>
  </si>
  <si>
    <t>Martins, Joao/0000-0002-2540-6678; Farias, Claudio/0000-0002-1364-0539; Teixeira, Joaquim/0000-0002-6050-2729; Fernandez-Rio, Javier/0000-0002-1368-3723</t>
  </si>
  <si>
    <t>Foundation For Science and Technology - Ministry of Education and Science [2022.08915]; PTDC</t>
  </si>
  <si>
    <t>Foundation For Science and Technology - Ministry of Education and Science; PTDC</t>
  </si>
  <si>
    <t>The authors received funding for the publication of this article from the Foundation For Science and Technology - Ministry of Education and Science, regarding the project: 2022.08915.PTDC</t>
  </si>
  <si>
    <t>0033-6297</t>
  </si>
  <si>
    <t>1543-2750</t>
  </si>
  <si>
    <t>Quest</t>
  </si>
  <si>
    <t>10.1080/00336297.2023.2189130</t>
  </si>
  <si>
    <t>Education &amp; Educational Research; Sport Sciences</t>
  </si>
  <si>
    <t>N7GW2</t>
  </si>
  <si>
    <t>WOS:001038661800001</t>
  </si>
  <si>
    <t>Flint, I; Wang, Y; Xia, AH</t>
  </si>
  <si>
    <t>Flint, Ian; Wang, Yan; Xia, Aihua</t>
  </si>
  <si>
    <t>On the Conway-Maxwell-Poisson point process</t>
  </si>
  <si>
    <t>Spatial point process; replicated point pattern; Conway-Maxwell-Poisson distribution; Papangelou conditional intensity; bootstrap; &gt;</t>
  </si>
  <si>
    <t>REGRESSION; MODELS; COUNTS; TIME</t>
  </si>
  <si>
    <t>The Poisson point process plays a pivotal role in modeling spatial point patterns. One of its key features is that the variance and the mean of the total number of points in a given region are equal, making it unsuitable for modeling point patterns that exhibit significantly different mean and variance. To tackle such point patterns, we introduce the class of Conway-Maxwell-Poisson point processes. Our model can easily be fitted with a logistic regression, its point counts in different regions are correlated and its log-likelihood in any subregion can be easily extracted. Both simulations and real data analyses have been carried out to demonstrate the performance of the proposed model.</t>
  </si>
  <si>
    <t>[Flint, Ian] Univ Melbourne, Sch Agr Food &amp; Ecosyst Sci, Parkville, Vic, Australia; [Wang, Yan] RMIT Univ, Sch Sci, Melbourne, Vic, Australia; [Xia, Aihua] Univ Melbourne, Sch Math &amp; Stat, Parkville, Vic, Australia</t>
  </si>
  <si>
    <t>University of Melbourne; Royal Melbourne Institute of Technology (RMIT); University of Melbourne</t>
  </si>
  <si>
    <t>Wang, Y (corresponding author), RMIT Univ, Sch Sci, Melbourne, Vic, Australia.</t>
  </si>
  <si>
    <t>yan.wang@rmit.edu.au</t>
  </si>
  <si>
    <t>ARC [DP150101459, DP150102472, DP190100613]</t>
  </si>
  <si>
    <t>ARC(Australian Research Council)</t>
  </si>
  <si>
    <t>Research supported by ARC Discovery Grant DP150101459 (AX), ARC Discovery Grant DP150102472 (YW) and ARC Grant DP190100613 (IF, AX and YW).</t>
  </si>
  <si>
    <t>10.1080/03610926.2023.2229028</t>
  </si>
  <si>
    <t>M8VA1</t>
  </si>
  <si>
    <t>WOS:001032924900001</t>
  </si>
  <si>
    <t>Gomez, AR</t>
  </si>
  <si>
    <t>Gomez, Abel R.</t>
  </si>
  <si>
    <t>We Survived This: California Missions, Colonialism, and Indigenous Belonging</t>
  </si>
  <si>
    <t>POLITICAL THEOLOGY</t>
  </si>
  <si>
    <t>California; Native Americans; settler colonialism; Catholicism; sacred space; Indigenous ‌; California missions</t>
  </si>
  <si>
    <t>The California mission system linked Spanish Catholic and political institutions. To secure land and convert Indigenous peoples, the Spanish built 21 missions from San Diego to Sonoma in the 18th and 19th centuries. These missions were sites of disease, violence, and mass death. They were also places built by Native people, on Native lands, where they lived, prayed, and were buried. As a result, missions are fundamentally Indigenous places and important touchstones for descendants today. This article examines such meanings in the lives of several Ohlone peoples, Indigenous peoples of the San Francisco-Monterey region. Drawing on ethnographic fieldwork with Ohlone tribes, I argue that we can understand relationships they sustain with California missions by considering such places as Indigenous cemeteries, Indigenous churches, and especially both. While dominant narratives restrict missionized Indigenous peoples to an irrecoverable past, this paper theorizes California mission as sites of violence, survival, and belonging to homeland.</t>
  </si>
  <si>
    <t>[Gomez, Abel R.] Texas Christian Univ, Relig Dept, Native Amer &amp; Indigenous Spiritual Tradit, Ft Worth, TX USA; [Gomez, Abel R.] Texas Christian Univ, Ft Worth, TX 76109 USA</t>
  </si>
  <si>
    <t>Texas Christian University; Texas Christian University</t>
  </si>
  <si>
    <t>Gomez, AR (corresponding author), Texas Christian Univ, Ft Worth, TX 76109 USA.</t>
  </si>
  <si>
    <t>a.r.gomez@tcu.edu</t>
  </si>
  <si>
    <t>Center for Religion and Cties (previously Center for the Study of Religion and the City) at Morgan State University</t>
  </si>
  <si>
    <t>This work was supported by a research grant from the Center for Religion and Cties (previously Center for the Study of Religion and the City) at Morgan State University.</t>
  </si>
  <si>
    <t>1462-317X</t>
  </si>
  <si>
    <t>1743-1719</t>
  </si>
  <si>
    <t>POLITICAL THEOL</t>
  </si>
  <si>
    <t>Political Theol.</t>
  </si>
  <si>
    <t>10.1080/1462317X.2023.2224541</t>
  </si>
  <si>
    <t>Religion</t>
  </si>
  <si>
    <t>N2VM8</t>
  </si>
  <si>
    <t>WOS:001035652400001</t>
  </si>
  <si>
    <t>Moore, NJ; Brooker, A; Cotton, SM; O'Gorman, K; Jackson-Simpson, J; McKechnie, B; Rice, SM</t>
  </si>
  <si>
    <t>Moore, Nicole J.; Brooker, Abi; Cotton, Susan M.; O'Gorman, Kieran; Jackson-Simpson, Jennifer; McKechnie, Ben; Rice, Simon M.</t>
  </si>
  <si>
    <t>Clinician perspectives of social connectedness in an adjunctive group program for youth with severe and complex depression: a qualitative analysis</t>
  </si>
  <si>
    <t>CLINICAL PSYCHOLOGIST</t>
  </si>
  <si>
    <t>Depression; early intervention; social connectedness; group therapy; &gt;</t>
  </si>
  <si>
    <t>INTERPERSONAL PSYCHOTHERAPY; MAJOR DEPRESSION; SELF-ESTEEM; SUPPORT; THERAPY; HEALTH</t>
  </si>
  <si>
    <t>ObjectiveYoung people with severe and complex depression experience substantial social connectedness difficulties. The aim of this qualitative study was to evaluate the role of social connectedness in a novel group therapy (Relate) for youth living with severe and complex depression from clinicians' perspectives.MethodSemi-structured interviews were conducted with 11 clinicians practicing at Orygen's Youth Mood Clinic in Melbourne. Eight of the 11 clinicians were female, with the sample aged 30-42 years (M = 34 years, SD = 3.6 years) and having an average 4.5 years clinical experience at Orygen.ResultsFour key themes were identified by codebook thematic analysis. The first theme pertained to clients' difficulties with social engagement, which impacted their attendance of Relate, but were addressed by the intervention. In the second theme, clinicians identified Relate as providing a safe space. In the third theme, clinicians identified opportunities for positive relational experiences. In the fourth theme, clinicians observed social and clinical improvements in Relate clients, but marked recovery did not always occur after attending.ConclusionFindings provide initial support for the continuation of Relate. Recommendations for future iterations of Relate include refining the intake criteria for referring clients to Relate and potentially lengthening the program's duration.</t>
  </si>
  <si>
    <t>[Moore, Nicole J.; Brooker, Abi] Univ Melbourne, Melbourne Sch Psychol Sci, Parkville, Australia; [Cotton, Susan M.; O'Gorman, Kieran; Jackson-Simpson, Jennifer; McKechnie, Ben; Rice, Simon M.] Orygen, Parkville, Australia; [Cotton, Susan M.; O'Gorman, Kieran; Jackson-Simpson, Jennifer; Rice, Simon M.] Univ Melbourne, Ctr Youth Mental Hlth, Melbourne, Australia</t>
  </si>
  <si>
    <t>University of Melbourne; Orygen, The National Centre of Excellence in Youth Mental Health; University of Melbourne</t>
  </si>
  <si>
    <t>Rice, SM (corresponding author), Orygen, Parkville, Australia.;Rice, SM (corresponding author), Univ Melbourne, Ctr Youth Mental Hlth, Melbourne, Australia.</t>
  </si>
  <si>
    <t>simon.rice@orygen.org.au</t>
  </si>
  <si>
    <t>Rice, Simon/J-5656-2014</t>
  </si>
  <si>
    <t>Rice, Simon/0000-0003-4045-8553; O'Gorman, Kieran/0000-0003-2087-0532</t>
  </si>
  <si>
    <t>1328-4207</t>
  </si>
  <si>
    <t>1742-9552</t>
  </si>
  <si>
    <t>CLIN PSYCHOL-UK</t>
  </si>
  <si>
    <t>Clin. Psychol.</t>
  </si>
  <si>
    <t>10.1080/13284207.2023.2231603</t>
  </si>
  <si>
    <t>Psychology, Clinical; Psychology</t>
  </si>
  <si>
    <t>M2RY6</t>
  </si>
  <si>
    <t>WOS:001028716200001</t>
  </si>
  <si>
    <t>Noveiri, SG; Dougherty, C</t>
  </si>
  <si>
    <t>Noveiri, Sarah Gonzalez; Dougherty, Cristy</t>
  </si>
  <si>
    <t>Classroom as refuge: performative possibilities for safety, collective healing, and resistance in the classroom and beyond</t>
  </si>
  <si>
    <t>TEXT AND PERFORMANCE QUARTERLY</t>
  </si>
  <si>
    <t>Critical pedagogy; performance; intersectionality; &gt;</t>
  </si>
  <si>
    <t>In the project, we analyze our 2020 NCA performance of our written script, Classroom as Refuge: Performative Possibilities for Safety, Collective Healing, and Resistance in the Classroom and Beyond. The purpose of this performance and script was to make sense of our identities and experiences as students and academics. Our script and performance outlined the relationship between experiential difference and connection. Due to this fact, in this project, we turn to Crenshaw's conceptualization of intersectionality and Lorde's conceptualization of difference to analyze how our script and performance. In doing so, we concluded that performance-based methodologies are a key site of collective resistance and empowerment.</t>
  </si>
  <si>
    <t>[Noveiri, Sarah Gonzalez; Dougherty, Cristy] Univ Denver, Denver, CO 80210 USA; [Noveiri, Sarah Gonzalez] AHRC Nassau, Glen Head, NY 11545 USA; [Dougherty, Cristy] Bethel Coll, Commun arts, North Newton, KS USA</t>
  </si>
  <si>
    <t>University of Denver</t>
  </si>
  <si>
    <t>Noveiri, SG (corresponding author), Univ Denver, Denver, CO 80210 USA.;Noveiri, SG (corresponding author), AHRC Nassau, Glen Head, NY 11545 USA.</t>
  </si>
  <si>
    <t>sarah.gonzaleznoveiri@gmail.com</t>
  </si>
  <si>
    <t>1046-2937</t>
  </si>
  <si>
    <t>1479-5760</t>
  </si>
  <si>
    <t>TEXT PERFORM Q</t>
  </si>
  <si>
    <t>Text Perform. Q.</t>
  </si>
  <si>
    <t>10.1080/10462937.2023.2234975</t>
  </si>
  <si>
    <t>P2WP4</t>
  </si>
  <si>
    <t>WOS:001032219700001</t>
  </si>
  <si>
    <t>O'Grady, E; Mooney-Simmie, G</t>
  </si>
  <si>
    <t>O'Grady, Emmanuel; Mooney-Simmie, Geraldine</t>
  </si>
  <si>
    <t>Respect as a critical reflexive practice during induction: exploring mentor teachers' conceptions of respect</t>
  </si>
  <si>
    <t>Respect; Habermas; teacher induction; mentor teacher; &gt;</t>
  </si>
  <si>
    <t>COMMITMENT; RESILIENCE</t>
  </si>
  <si>
    <t>Newly Qualified Teachers (NQTs) are often required to place a high priority on the value of respect within their first year as a beginning teacher. The practice of respect is a central issue within the educational discourse (Mills 2020) and mentor teachers of NQTs have a vital role in cultivating and problematising their understanding of respect. This study focuses on how experienced mentor teachers (n = 54) conceive the practice of respect within the complex, assumed, and often subtle dynamics of differential power relations in school settings. Mentor teachers' responses were analysed through a critical Habermasian perspective and further developed within this article as a productive taxonomy. The critical reflexive stance adopted offers teacher educators and mentor teachers an explanatory and sensitised framework to highlight for NQTs the recondite nature of power relations and the centrality of discourses for co-inquiry, care, and critique within the practice of respect.</t>
  </si>
  <si>
    <t>[O'Grady, Emmanuel] Mary Immaculate Coll, Dept Reflect Pedag &amp; Early Childhood Studies, Limerick R112, Ireland; [Mooney-Simmie, Geraldine] Univ Limerick, Sch Educ, Limerick, Ireland</t>
  </si>
  <si>
    <t>O'Grady, E (corresponding author), Mary Immaculate Coll, Dept Reflect Pedag &amp; Early Childhood Studies, Limerick R112, Ireland.</t>
  </si>
  <si>
    <t>emmanuel.ogrady@mic.ul.ie</t>
  </si>
  <si>
    <t>O'Grady, Emmanuel/0000-0002-0476-9883</t>
  </si>
  <si>
    <t>10.1080/13540602.2023.2236986</t>
  </si>
  <si>
    <t>M7WQ1</t>
  </si>
  <si>
    <t>WOS:001032286700001</t>
  </si>
  <si>
    <t>Roy, H; Maddiboyina, B; Rahaman, SA; Singh, PK; Tripathi, AK; Srivastava, SK; Chaubey, R; Theendra, VK; Sankula, KR</t>
  </si>
  <si>
    <t>Roy, Harekrishna; Maddiboyina, Balaji; Rahaman, Shaik Abdul; Singh, Pravind Kumar; Tripathi, Amit Kumar; Srivastava, Shani Kumar; Chaubey, Raghvendra; Theendra, Vinay Kumar; Sankula, Kameswara Rao</t>
  </si>
  <si>
    <t>Implementation and effect estimation by Taguchi orthogonal array design for Metoprolol Sustained Release Tablets</t>
  </si>
  <si>
    <t>SMART SCIENCE</t>
  </si>
  <si>
    <t>Taguchi orthogonal array; Metoprolol tartrate; Half normal plots; interaction plots; statistical modeling; &gt;</t>
  </si>
  <si>
    <t>The purpose of this study was to evaluate the influence of variables on dosage form development using a Taguchi orthogonal array design. By implementing the design, a total of nine sustained-release Metoprolol tartrate tablet formulations were created. In addition to four responses, four independent variables, including METHOCEL K15M, HPMC K100, Guar gum, and Pectic polysaccharide, were analyzed. In addition to evaluating formulations for hardness, swelling index, drug release percentage, and friability, a release kinetics study is conducted. Half normal plots and interaction plots were drawn to identify significant factors and study their interactions. The data were analyzed using statistical modeling, with the process order being design model and the model type being factorial with main effect determination. Formulation 'F1' was determined to be the best and most optimized formulation, and it was further characterized by attenuated total reflectance, differential scanning calorimetry, and X-ray diffraction studies. Additionally, the formulation was evaluated for stability in accordance with ICH guidelines, which revealed that it was sufficiently stable.</t>
  </si>
  <si>
    <t>[Roy, Harekrishna; Rahaman, Shaik Abdul; Theendra, Vinay Kumar; Sankula, Kameswara Rao] Nirmala Coll Pharm, Dept Pharmaceut, Mangalagiri, Guntur, India; [Maddiboyina, Balaji] Freyr Global Regulatory Solut &amp; Serv, Dept Med Prod Med Writing, Sci Writing Serv, Hyderabad, India; [Singh, Pravind Kumar; Tripathi, Amit Kumar; Srivastava, Shani Kumar; Chaubey, Raghvendra] Rajiv Gandhi Coll Pharm, Dept Pharmaceut, Maharajganj, India; [Roy, Harekrishna] Nirmala Coll Pharm, Guntur 522503, Andhra Pradesh, India; [Maddiboyina, Balaji] Freyr Global Regulatory Solut &amp; Serv Inst, Dept Med Prod Med Writing, Sci Writing Serv, HITEC City 2, Hyderabad 500081, Telangana, India</t>
  </si>
  <si>
    <t>Roy, H (corresponding author), Nirmala Coll Pharm, Guntur 522503, Andhra Pradesh, India.;Maddiboyina, B (corresponding author), Freyr Global Regulatory Solut &amp; Serv Inst, Dept Med Prod Med Writing, Sci Writing Serv, HITEC City 2, Hyderabad 500081, Telangana, India.</t>
  </si>
  <si>
    <t>hareroy@gmail.com; mbalaji113@gmail.com</t>
  </si>
  <si>
    <t>SK, Abdul Rahaman/C-3257-2017; Kumar, Vinay/AAB-9899-2021; Roy, Harekrishna/AAO-5104-2020</t>
  </si>
  <si>
    <t>SK, Abdul Rahaman/0000-0001-5519-9043; Kumar, Vinay/0000-0002-6279-9191; Roy, Harekrishna/0000-0001-7211-2528; Maddiboyina, Balaji/0000-0001-7322-306X</t>
  </si>
  <si>
    <t>2308-0477</t>
  </si>
  <si>
    <t>SMART SCI</t>
  </si>
  <si>
    <t>Smart Sci.</t>
  </si>
  <si>
    <t>10.1080/23080477.2023.2236778</t>
  </si>
  <si>
    <t>M0NT8</t>
  </si>
  <si>
    <t>WOS:001027180500001</t>
  </si>
  <si>
    <t>Sageengrana, S; Selvakumar, S; Srinivasan, S</t>
  </si>
  <si>
    <t>Sageengrana, S.; Selvakumar, S.; Srinivasan, S.</t>
  </si>
  <si>
    <t>Performance analysis of study material recommendation system to reduce dropout in online learning using optimal behavior prediction cluster and online poll bot</t>
  </si>
  <si>
    <t>Students behaviors; online learning; optimal behavior prediction cluster; online poll bot; dropout; live behavior analysis; &gt;</t>
  </si>
  <si>
    <t>STUDENT PERFORMANCE; CHATBOT; ENVIRONMENT; FEEDBACK; COURSES</t>
  </si>
  <si>
    <t>Students are termed multitaskers, and it is likely that they easily fall prey to other subjects or topics that most interest them. They occasionally took heed or gave close and thoughtful attention to the lectures they were on. In the current educational system, our young generations receive materials from their leftovers, and their constant behavioral classification has decided the material to learn. The rate at which many students gave up on their studies was predominantly higher in online classroom than in offline classroom due to the lack of direct interaction between the students and teachers. To eradicate this and to make online classroom an effective one, the proposed model can be put forth in each class to predict the student's behavior based on their keen interests. The model predicts and recommends their live session-wise apt course materials to learn. This model uses machine learning generic algorithms and the chi-square test to analyze their manners. The intelligent Online Poll Bot (OPB) acts as a teacher in this virtual learning environment by engaging in live interactions during class time. It is developed using GAN and the IBM Watson Framework. This paper analyzes the time complexity and accuracy of the developed poll bot, and 96.82% accuracy was achieved with the proposed GAN-based poll bot. Students can be categorized according to their learning behavior by using the Optimal Behavior Prediction Cluster (OBPC). These OBPCs will let know the number of clusters at the beginning of the process itself. According to the model, the study materials are preferred based on the students' performance in each class. In online learning environments, the Live Behavior Analysis (LBA) method using the proposed OBPC and OPB can create interactive learning environments and deliver behavior-based study materials to learners, thus reducing dropout rates. The proposed experiments show that the accuracy of the OBPC-based system is 97.43%, and LBA produces 96.52% accuracy, 95.13% F-Score, 97.13% recall, and 96.14% precision compared to existing approaches. This technology will reduce the number of dropouts and can effectively predict the behavior of all students in the virtual environment where they are placed.</t>
  </si>
  <si>
    <t>[Sageengrana, S.] Sathyabama Inst Sci &amp; Technol, Informat Technol, Chennai, India; [Selvakumar, S.] Visvesvaraya Coll Engn Technol, Comp Sci &amp; Engn, Hyderabad, India; [Srinivasan, S.] RMD Engn Coll, Comp Sci &amp; Engn, Gummidipoondi, India</t>
  </si>
  <si>
    <t>Sathyabama Institute of Science &amp; Technology</t>
  </si>
  <si>
    <t>Sageengrana, S (corresponding author), Sathyabama Inst Sci &amp; Technol, Informat Technol, Chennai, India.</t>
  </si>
  <si>
    <t>sageengranadhas@gmail.com</t>
  </si>
  <si>
    <t>10.1080/10494820.2023.2232823</t>
  </si>
  <si>
    <t>M8TE4</t>
  </si>
  <si>
    <t>WOS:001032877200001</t>
  </si>
  <si>
    <t>Schepman, P; Rice, JB; Beck, CG; White, A; Robinson, RL; Thakkar, S; Fernan, C; Emir, B; Silverman, S</t>
  </si>
  <si>
    <t>Schepman, Patricia; Rice, J. Bradford; Beck, Craig G.; White, Alan; Robinson, Rebecca L.; Thakkar, Sheena; Fernan, Catherine; Emir, Birol; Silverman, Stuart</t>
  </si>
  <si>
    <t>Prescription opioid utilization patterns, and associated outcomes, among privately insured patients prescribed opioids to manage pain associated with osteoarthritis</t>
  </si>
  <si>
    <t>CURRENT MEDICAL RESEARCH AND OPINION</t>
  </si>
  <si>
    <t>Opioids; osteoarthritis; outcomes; treatment progression; &gt;</t>
  </si>
  <si>
    <t>TRAMADOL; ABUSE; SCORE; RISK</t>
  </si>
  <si>
    <t>ObjectiveTo describe utilization patterns, negative clinical outcomes and economic burden of patients diagnosed with osteoarthritis (OA) of the hip and/or knee who received a prescription for tramadol or non-tramadol opioids vs. non-opioid drugs.MethodsOptum Healthcare Solutions, Inc. commercial claims data were used (1/2012--3/2017). Adults with &amp; GE;2 diagnoses of OA of the hip and/or knee, and &amp; GE;30 days supply of pain medications were identified during the three-year period from the date of first prescription (index date) after the first OA diagnosis. Drug utilization statistics in the follow-up period were summarized by initial treatment (i.e. tramadol, non-tramadol opioids, non-opioid drugs). Opioid initiators were matched to those initiated on non-opioid treatments using a propensity score model accounting for baseline characteristics. Matched pairs analysis compared outcomes for these cohorts.ResultsOf 62,715 total patients, 15,270 (24.3%) initiated treatment with opioids, including 3,513 (5.6%) on tramadol and 11,757 (18.7%) on non-tramadol opioids. Opioid initiators had more comorbidities, higher baseline healthcare costs, and were more likely to have OA of the hip. Among non-opioid initiators, 27.5% switched to tramadol and 63% switched to non-tramadol opioids. Among tramadol initiators, 71% switched to non-tramadol opioids. Patients initiated on opioids had 20.4% (p &lt; .01) higher all-cause healthcare costs and higher percentages experiencing multiple negative clinical outcomes (all p &lt; .01) compared to matched controls.ConclusionsMost patients with OA of the hip and/or knee either initiate on or switch to opioids for long-term management of OA-related pain despite known risks. This highlights the need for new treatments that delay or prevent use of opioids.</t>
  </si>
  <si>
    <t>[Schepman, Patricia; Beck, Craig G.; Thakkar, Sheena; Emir, Birol] Pfizer Inc, New York, NY USA; [Rice, J. Bradford; White, Alan; Fernan, Catherine] Anal Grp Inc, Boston, MA USA; [Robinson, Rebecca L.] Eli Lilly Inc, Indianapolis, IN USA; [Silverman, Stuart] Univ Calif Los Angeles, David Geffen Sch Med, Los Angeles, CA USA; [Silverman, Stuart] Cedars Sinai Med Ctr, Los Angeles, CA USA; [Rice, J. Bradford] Anal Grp Inc, 111 Huntington Ave,14th Floor, Boston, MA 02199 USA</t>
  </si>
  <si>
    <t>Pfizer; Analysis Group Inc.; Eli Lilly; University of California System; University of California Los Angeles; University of California Los Angeles Medical Center; David Geffen School of Medicine at UCLA; Cedars Sinai Medical Center; Analysis Group Inc.</t>
  </si>
  <si>
    <t>Rice, JB (corresponding author), Anal Grp Inc, 111 Huntington Ave,14th Floor, Boston, MA 02199 USA.</t>
  </si>
  <si>
    <t>Brad.Rice@AnalysisGroup.com</t>
  </si>
  <si>
    <t>Pfizer; Eli Lilly and Company</t>
  </si>
  <si>
    <t>Pfizer(Pfizer); Eli Lilly and Company(Eli Lilly)</t>
  </si>
  <si>
    <t>This study was funded by Pfizer and Eli Lilly and Company.</t>
  </si>
  <si>
    <t>0300-7995</t>
  </si>
  <si>
    <t>1473-4877</t>
  </si>
  <si>
    <t>CURR MED RES OPIN</t>
  </si>
  <si>
    <t>Curr. Med. Res. Opin.</t>
  </si>
  <si>
    <t>10.1080/03007995.2023.2234727</t>
  </si>
  <si>
    <t>Medicine, General &amp; Internal; Medicine, Research &amp; Experimental</t>
  </si>
  <si>
    <t>General &amp; Internal Medicine; Research &amp; Experimental Medicine</t>
  </si>
  <si>
    <t>M8TK1</t>
  </si>
  <si>
    <t>WOS:001032882900001</t>
  </si>
  <si>
    <t>Singh, P</t>
  </si>
  <si>
    <t>Singh, Pashaura</t>
  </si>
  <si>
    <t>Growing pains in the field of Sikh Studies in the Western Academy</t>
  </si>
  <si>
    <t>SIKH FORMATIONS-RELIGION CULTURE THEORY</t>
  </si>
  <si>
    <t>Endowed Chairs; ethno-nationalism; fundamentalism; Punjab crisis; Sikh diaspora; Sikh studies; Western academy; &gt;</t>
  </si>
  <si>
    <t>The field of Sikh Studies has arrived in the Western Academy along with a rich experience of growing pains during the last three decades. The vocal opposition of ultra-conservative fringe groups in the Sikh diaspora frequently managed to gain a dominant voice in community media effectively trolling, harassing, and marginalizing progressive scholarly voices. There is an urgent need to understand this phenomenon in the context of the Punjab crisis.</t>
  </si>
  <si>
    <t>[Singh, Pashaura] Univ Calif Riverside, Dept Study Relig, Riverside, CA 92521 USA</t>
  </si>
  <si>
    <t>University of California System; University of California Riverside</t>
  </si>
  <si>
    <t>Singh, P (corresponding author), Univ Calif Riverside, Dept Study Relig, Riverside, CA 92521 USA.</t>
  </si>
  <si>
    <t>psingh@ucr.edu</t>
  </si>
  <si>
    <t>1744-8727</t>
  </si>
  <si>
    <t>1744-8735</t>
  </si>
  <si>
    <t>SIKH FORM</t>
  </si>
  <si>
    <t>Sikh Form.</t>
  </si>
  <si>
    <t>10.1080/17448727.2023.2236832</t>
  </si>
  <si>
    <t>Asian Studies</t>
  </si>
  <si>
    <t>M7PQ5</t>
  </si>
  <si>
    <t>WOS:001032104600001</t>
  </si>
  <si>
    <t>Tappe, O</t>
  </si>
  <si>
    <t>Tappe, Oliver</t>
  </si>
  <si>
    <t>Frontier friction: colonial infrastructures, Chinese (im-)mobility, and the attack on Sam Neua (NE Laos) in 1914</t>
  </si>
  <si>
    <t>Laos; colonialism; mobility; historical anthropology; mimesis; &gt;</t>
  </si>
  <si>
    <t>THAILAND</t>
  </si>
  <si>
    <t>The 1914 uprising of Sam Neua (Houaphan Province, NE Laos) laid bare complex processes of social and economic mobilization in the mountainous hinterlands of French Indochina. As a first prelude to the upcoming anticolonial struggles in the Lao-Vietnamese borderlands, this heterogeneous movement is only little understood in its sociopolitical and cultural dimensions. Though initiated by armed Chinese bands, the participation of different upland ethnic groups suggests that the uprising was also the result of socioeconomic discontent and disquiet among the local population. At the beginning of the twentieth century, colonial interventions in upland Laos unsettled economic and political configurations, and confronted local powerbrokers with both restrictions and new opportunities. Colonial infrastructure development negatively affected Chinese trade and mobility in northern Indochina - a key factor for the escalation in Sam Neua. By means of combining microhistory and historical anthropology, this paper aims to investigate forms of mobility, mimetic encounters, and shifting conceptions of sociopolitical hierarchies in colonial Indochina that have so far received only scant attention.</t>
  </si>
  <si>
    <t>[Tappe, Oliver] Heidelberg Univ, Inst Anthropol, Vossstr 2, D-69115 Heidelberg, Germany</t>
  </si>
  <si>
    <t>Ruprecht Karls University Heidelberg</t>
  </si>
  <si>
    <t>Tappe, O (corresponding author), Heidelberg Univ, Inst Anthropol, Vossstr 2, D-69115 Heidelberg, Germany.</t>
  </si>
  <si>
    <t>tappe@uni-heidelberg.de</t>
  </si>
  <si>
    <t>10.1080/02757206.2023.2237059</t>
  </si>
  <si>
    <t>M8QI2</t>
  </si>
  <si>
    <t>WOS:001032802300001</t>
  </si>
  <si>
    <t>Wilkinson, SD; Penney, D</t>
  </si>
  <si>
    <t>Wilkinson, Shaun D.; Penney, Dawn</t>
  </si>
  <si>
    <t>A national survey of gendered grouping practices in secondary school physical education in England</t>
  </si>
  <si>
    <t>Single-sex grouping; mixed-sex grouping; co-education; gender; physical education; &gt;</t>
  </si>
  <si>
    <t>PERCEPTIONS</t>
  </si>
  <si>
    <t>BackgroundGendered grouping practices and curriculum provision are matters of long-standing contention and debate in physical education (PE) policy, research, and practice internationally. In England, there is a long tradition of single-sex grouping in PE in secondary schools, with accompanying gendered patterns of staffing and many boys and girls taught different activities in the curriculum. Research on the incidence of single- and mixed-sex grouping in PE is however scarce, dated, and limited in scale. At a time when education, sport, and society are challenged to move beyond binary discourses and critically review structures and practices that uphold stereotypical and established gendered power relations, this study sought to provide an evidence base and stimulus for researchers, policy-makers, and PE professionals to (re-) engage with grouping practices in PE. Specifically, the study was designed to provide a national picture of current single- and mixed-sex grouping arrangements in PE in secondary schools in England.MethodData were collected by a web-based survey of all 2873 mainstream state-funded co-educational secondary schools in England. The survey was addressed to Subject Leaders of PE and was open between September and October 2021. A total of 818 surveys were completed giving an overall response rate of 28.5%.ResultsThe responses indicated that single-sex grouping is the most common arrangement in core (compulsory, non-examination) PE in Key Stage 3 (Years 7-9) and Key Stage 4 (Years 10-11), whilst mixed-sex grouping is dominant in General Certificate of Secondary Education (GCSE) and/or Business and Technology Education Council (BTEC) PE in Key Stage 4. It was noticeable, however, that very few schools were using the same arrangement for all PE lessons in Key Stages 3 and 4, and some were using single-sex grouping within mixed-sex PE lessons, particularly in physical contact activities such as rugby and football. The responses highlighted that single- and mixed-sex grouping decisions in PE are complex and contingent on several interrelated factors, including curriculum content and structures, school timetabling, staffing arrangements and preferences, the nature of the student cohort, and specific considerations relating to safety in some sport contexts. Data indicated that in many instances grouping arrangements in secondary school PE in England serve to reproduce and legitimate restrictive binary gender discourses. There was some but limited evidence of grouping approaches positively supporting gender diversity within PE, with a small number of schools organising PE in mixed-sex classes to be more inclusive of transgender and non-binary students.Discussion and conclusionThis study highlights the role that grouping approaches play in either impeding or advancing work to strengthen gender equity and inclusion in PE and identifies teachers' knowledge, skills, and understandings relating to grouping approaches and gender diversity as an important focus for initial teacher education and professional learning. The paper also calls for engagement from research and professional communities internationally to inform future policies and practices regarding the use of grouping approaches in PE.</t>
  </si>
  <si>
    <t>[Wilkinson, Shaun D.] Northumbria Univ, Dept Sport Exercise &amp; Rehabil, Newcastle Upon Tyne, England; [Penney, Dawn] Edith Cowan Univ, Sch Educ, Perth, Australia</t>
  </si>
  <si>
    <t>Northumbria University; Edith Cowan University</t>
  </si>
  <si>
    <t>Wilkinson, SD (corresponding author), Northumbria Univ, Dept Sport Exercise &amp; Rehabil, Newcastle Upon Tyne, England.</t>
  </si>
  <si>
    <t>s.d.wilkinson@northumbria.ac.uk</t>
  </si>
  <si>
    <t>Penney, Dawn/G-1335-2013</t>
  </si>
  <si>
    <t>Penney, Dawn/0000-0002-2000-8953; Wilkinson, Shaun/0000-0002-4405-7549</t>
  </si>
  <si>
    <t>10.1080/17408989.2023.2236642</t>
  </si>
  <si>
    <t>M8OR3</t>
  </si>
  <si>
    <t>WOS:001032759100001</t>
  </si>
  <si>
    <t>De, S; Mukherjee, SS</t>
  </si>
  <si>
    <t>De, S. K.; Mukherjee, S. S.</t>
  </si>
  <si>
    <t>Exact tests for offline changepoint detection inmultichannel binary and count data with application to networks (vol 92, pg 3659, 2022)</t>
  </si>
  <si>
    <t>JOURNAL OF STATISTICAL COMPUTATION AND SIMULATION</t>
  </si>
  <si>
    <t>0094-9655</t>
  </si>
  <si>
    <t>1563-5163</t>
  </si>
  <si>
    <t>J STAT COMPUT SIM</t>
  </si>
  <si>
    <t>J. Stat. Comput. Simul.</t>
  </si>
  <si>
    <t>2023 JUL 18</t>
  </si>
  <si>
    <t>10.1080/00949655.2023.2235788</t>
  </si>
  <si>
    <t>Computer Science, Interdisciplinary Applications; Statistics &amp; Probability</t>
  </si>
  <si>
    <t>Computer Science; Mathematics</t>
  </si>
  <si>
    <t>M6OZ2</t>
  </si>
  <si>
    <t>WOS:001031402900001</t>
  </si>
  <si>
    <t>Heffernan, C</t>
  </si>
  <si>
    <t>Heffernan, Conor</t>
  </si>
  <si>
    <t>Physical education in Irish schools, 1900-2000: a history</t>
  </si>
  <si>
    <t>SPORT IN HISTORY</t>
  </si>
  <si>
    <t>[Heffernan, Conor] Ulster Univ, Coleraine, North Ireland</t>
  </si>
  <si>
    <t>Ulster University</t>
  </si>
  <si>
    <t>Heffernan, C (corresponding author), Ulster Univ, Coleraine, North Ireland.</t>
  </si>
  <si>
    <t>c.heffernan@ulster.ac.uk</t>
  </si>
  <si>
    <t>1746-0263</t>
  </si>
  <si>
    <t>1746-0271</t>
  </si>
  <si>
    <t>SPORT HIST</t>
  </si>
  <si>
    <t>Sport Hist.</t>
  </si>
  <si>
    <t>10.1080/17460263.2023.2233284</t>
  </si>
  <si>
    <t>M9PU6</t>
  </si>
  <si>
    <t>WOS:001033469100001</t>
  </si>
  <si>
    <t>Huili, Z; Li, KF; Nguyen, KV</t>
  </si>
  <si>
    <t>Huili, Zhang; Li, Kefeng; Nguyen, Khue Vu</t>
  </si>
  <si>
    <t>Climate change: approach to intervention using expression vector for carbonic anhydrase via glycosylphosphatidylinositol</t>
  </si>
  <si>
    <t>NUCLEOSIDES NUCLEOTIDES &amp; NUCLEIC ACIDS</t>
  </si>
  <si>
    <t>Climate change; carbon dioxide; gene-environment interactions; expression vectors; glycosylphosphatidylinositol; GPI; carbonic anhydrase; CA; CA-based CO2-capture; &gt;</t>
  </si>
  <si>
    <t>Climate change is a change in the usual weather found in a place. The climate change has a major impact not only on natural disasters of the Earth but also on human health. The climate crisis is then no longer a future concern. It includes both the global warming driven by human emissions of greenhouse gases (GHG), and the resulting large-scale shifts in weather patterns. Global warming can occur from a variety of causes, both natural and human induced. The primary GHG in Earth's atmosphere, listed in decreasing order of average global mole fraction, are: water vapor (H2O), carbon dioxide (CO2), methane (CH4), nitrous oxide (N2O), and ozone (O-3). Today, scientists around the world continue to try and solve the puzzle of climate change. It is clear that to address climate change, the amount of CO2 released into the atmosphere by industrial process has to be reduced because once it is added to the atmosphere, it can continue to affect climate for thousands of years. For such a purpose, an approach to intervention using expression vectors for any protein targeting to the cell plasma membrane via the glycosylphosphatidylinositol, GPI, anchor is suggested. The resulting GPI-anchored proteins would be useful for studying intermolecular interactions, especially gene-environment interactions, in investigating the potential impact of any chemical compounds on any genes of interest and could be used for carbonic anhydrase (CA)-based CO2-capture (environmental application). This approach would be crucial not only for capturing CO2 via GPI and CA but also for the production of CA enzyme as well as its stabilization and therefore useful for combating the global warming of climate change.</t>
  </si>
  <si>
    <t>[Huili, Zhang; Nguyen, Khue Vu] Jiangsu Vocat Coll Med, Sch Med Imaging, Yancheng 224005, Jiangsu, Peoples R China; [Li, Kefeng] Univ Calif San Diego, Sch Med, San Diego, CA USA</t>
  </si>
  <si>
    <t>Jiangsu Vocational College of Medicine; University of California System; University of California San Diego</t>
  </si>
  <si>
    <t>Nguyen, KV (corresponding author), Jiangsu Vocat Coll Med, Sch Med Imaging, Yancheng 224005, Jiangsu, Peoples R China.</t>
  </si>
  <si>
    <t>khuenguyen52@yahoo.com</t>
  </si>
  <si>
    <t>Ministry of Science and Technology of the People's Republic of China [G2021014081L]</t>
  </si>
  <si>
    <t>Ministry of Science and Technology of the People's Republic of China(Ministry of Science and Technology, China)</t>
  </si>
  <si>
    <t>This study was supported by the program No. G2021014081L under the Ministry of Science and Technology of the People's Republic of China.</t>
  </si>
  <si>
    <t>1525-7770</t>
  </si>
  <si>
    <t>1532-2335</t>
  </si>
  <si>
    <t>NUCLEOS NUCLEOT NUCL</t>
  </si>
  <si>
    <t>Nucleosides Nucleotides Nucleic Acids</t>
  </si>
  <si>
    <t>10.1080/15257770.2023.2238781</t>
  </si>
  <si>
    <t>N1GV0</t>
  </si>
  <si>
    <t>WOS:001034590200001</t>
  </si>
  <si>
    <t>Sheerin, C; Linehan, M</t>
  </si>
  <si>
    <t>Sheerin, Corina; Linehan, Margaret</t>
  </si>
  <si>
    <t>'Everyone should have a wife' - extreme work, eldercare, and the gendered academy in the context of the COVID-19 pandemic</t>
  </si>
  <si>
    <t>INTERNATIONAL JOURNAL OF HUMAN RESOURCE MANAGEMENT</t>
  </si>
  <si>
    <t>Extreme work; academia; eldercare; COVID-19 pandemic; &gt;</t>
  </si>
  <si>
    <t>LIFE BALANCE; IMPACT; WOMEN; CARE; JOBS</t>
  </si>
  <si>
    <t>This research explores the micro-level experiences of women with eldercare responsibilities in academia. We present academia as a site of extreme work and a gendered space. The 'ideal academic' is predicated on neoliberal logic, where long hours, uninterrupted career paths, and being care-less in terms of responsibilities are rewarded. Our study is set within the Irish Higher Education (HEI) sector where we undertook in-depth interviews with female academics who have eldercare responsibilities. Our findings reveal eldercare as an 'invisible' form of care, while research, arguably a substantive performance metric in academia was also experienced as an invisible pursuit taking place outside normal working hours. The interplay between these two invisible forces had disastrous consequences for women during the pandemic, as they attempted to respond to the intensification of elder care needs while extreme work in academia became normalised and research metrics continued to be a key measure of excellence, regardless of context. Our findings highlight the need to reshape the identity of the 'ideal academic' and dismantle the link between intense work patterns and success. Equally, the recalibration of HR policies, and performance metrics, to support staff with care responsibility emerged as vital in ensuring a sustainable academic workforce.</t>
  </si>
  <si>
    <t>[Sheerin, Corina] Natl Coll Ireland NCI, Sch Business, Dublin, Ireland; [Linehan, Margaret] Munster Technol Univ MTU, Sch Humanities, Cork, Ireland</t>
  </si>
  <si>
    <t>Sheerin, C (corresponding author), Natl Coll Ireland NCI, Sch Business, Dublin, Ireland.</t>
  </si>
  <si>
    <t>corina.sheerin@ncirl.ie</t>
  </si>
  <si>
    <t>0958-5192</t>
  </si>
  <si>
    <t>1466-4399</t>
  </si>
  <si>
    <t>INT J HUM RESOUR MAN</t>
  </si>
  <si>
    <t>Int. J. Hum. Resour. Manag.</t>
  </si>
  <si>
    <t>10.1080/09585192.2023.2237865</t>
  </si>
  <si>
    <t>N0WI7</t>
  </si>
  <si>
    <t>WOS:001034317200001</t>
  </si>
  <si>
    <t>Abuelazm, H; Elsayed, OH; El-Mallakh, RS</t>
  </si>
  <si>
    <t>Abuelazm, Hagar; Elsayed, Omar H. H.; El-Mallakh, Rif S. S.</t>
  </si>
  <si>
    <t>Evaluating lumateperone for its use in treating depressive episodes associated with bipolar I or II disorder in adults</t>
  </si>
  <si>
    <t>EXPERT REVIEW OF NEUROTHERAPEUTICS</t>
  </si>
  <si>
    <t>Bipolar disorder; depression; lumateperone; mood stabilizers; pharmacotherapy; treatment; type I bipolar; type II bipolar; &gt;</t>
  </si>
  <si>
    <t>2ND-GENERATION ANTIPSYCHOTICS; DOPAMINE; 1ST; MEDICATIONS; DYSPHORIA; RECEPTORS; ITI-007; IMPACT</t>
  </si>
  <si>
    <t>IntroductionLumateperone is a novel antipsychotic medication that has recently received approval by the United States Food and Drug Administration for treatment of major depressive episodes of type I and II bipolar disorder. It is approved for use as monotherapy or as an adjunctive treatment to lithium or valproic acid.Areas coveredClinical trials performed with lumateperone for bipolar disorder were reviewed. Additionally, pharmacodynamic actions of lumateperone are reviewed. Lumateperone is superior to placebo whether used alone or in combination with a mood stabilizer in patients with type I or type II bipolar disorder. It achieves this effect with minimal dopamine blockade-related side effects due to less than 50% dopamine D2 receptor occupancy. While the pharmacodynamic profile of lumateperone is unique, the mechanism of action in bipolar depression remains obscure.Expert opinionLumateperone is an antipsychotic with full antagonist effects at the post-synaptic D2, and partial agonist effects at the presynaptic D2. This unique profile allows for both antipsychotic and antidepressant effects at the same dose, which does not produce dopamine-related side effects. Consequently, lumateperone is exceptionally well tolerated compared to other antidepressant-acting antipsychotic agents. It is now the only agent approved as an adjunct to the mood stabilizer for bipolar II depression.</t>
  </si>
  <si>
    <t>[Abuelazm, Hagar; Elsayed, Omar H. H.; El-Mallakh, Rif S. S.] Univ Louisville, Depress Ctr, Dept Psychiat &amp; Behav Sci, Mood Disorders Res Program,Sch Med, 401 East Chestnut St,Suite 610, Louisville, KY 40202 USA</t>
  </si>
  <si>
    <t>University of Louisville</t>
  </si>
  <si>
    <t>El-Mallakh, RS (corresponding author), Univ Louisville, Depress Ctr, Dept Psychiat &amp; Behav Sci, Mood Disorders Res Program,Sch Med, 401 East Chestnut St,Suite 610, Louisville, KY 40202 USA.</t>
  </si>
  <si>
    <t>rselma01@louisville.edu</t>
  </si>
  <si>
    <t>1473-7175</t>
  </si>
  <si>
    <t>1744-8360</t>
  </si>
  <si>
    <t>EXPERT REV NEUROTHER</t>
  </si>
  <si>
    <t>Expert Rev. Neurother.</t>
  </si>
  <si>
    <t>10.1080/14737175.2023.2236795</t>
  </si>
  <si>
    <t>Clinical Neurology; Pharmacology &amp; Pharmacy</t>
  </si>
  <si>
    <t>Neurosciences &amp; Neurology; Pharmacology &amp; Pharmacy</t>
  </si>
  <si>
    <t>P2WQ6</t>
  </si>
  <si>
    <t>WOS:001027150000001</t>
  </si>
  <si>
    <t>Karamat, A; Tehrani, R; Foster, GD; Van Aken, B</t>
  </si>
  <si>
    <t>Karamat, Ayesha; Tehrani, Rouzbeh; Foster, Gregory D.; Van Aken, Benoit</t>
  </si>
  <si>
    <t>Plant responses to per- and polyfluoroalkyl substances (PFAS): a molecular perspective</t>
  </si>
  <si>
    <t>Metabolomics; molecular mechanisms; per- and polyfluoroalkyl substances (PFAS); plants; proteomics; transcriptomics; &gt;</t>
  </si>
  <si>
    <t>PERFLUOROOCTANOIC ACID; FLUOROTELOMER ALCOHOL; OXIDATIVE STRESS; TRANSLOCATION; METABOLISM; BIOTRANSFORMATION; PHYTOTOXICITY; ACCUMULATION; SULFONATE; GROWTH</t>
  </si>
  <si>
    <t>Per- and polyfluoroalkyl substances (PFAS) constitute a large class of toxic manmade compounds that have been used in many industrial and household products. Dispersion of PFAS in the environment has raised concerns because of their persistence and toxicity for living organisms. Both terrestrial and aquatic plants have been shown to take up PFAS from contaminated soil and groundwater, and to accumulate these compounds inside their tissues. Although PFAS generally exert a low toxicity on plants at environmentally relevant concentrations, they frequently impact biomass growth and photosynthetic activity at higher levels. Uptake, translocation, and toxicity of PFAS in plants have been well covered in literature. Although less attention has been given to the molecular mechanisms underlying the plant response to PFAS, recent studies based on -omics approaches indicate that PFAS affects the plant metabolism even a low concentration. The objective of this review is to summarize the current knowledge about the effects of PFAS on plants at the molecular level. Results from recent transcriptomics, proteomics, and metabolomics studies show that low levels of PFAS induce oxidative stress and affect multiple plant functions and processes, including photosynthesis and energy metabolism. These potentially harmful effects trigger activation of defense mechanisms. NOVELTY STATEMENTAlthough the uptake, translocation, and toxicity of per- and polyfluoroalkyl substances (PFAS) in plants have been well covered in literature, less attention has been given to the molecular mechanisms underlying the plant response to PFAS. Using results from recent transcriptomics, proteomics, and metabolomics studies, this review article aims to summarize the current knowledge about the effects of PFAS on plants at the molecular level. Several reviews have been published on the effects of PFAS on plants, however, none have focused specifically on the molecular mechanisms of PFAS phytotoxicity.</t>
  </si>
  <si>
    <t>[Karamat, Ayesha] George Mason Univ, Environm Sci &amp; Pol, Fairfax, VA USA; [Tehrani, Rouzbeh] Temple Univ, Civil &amp; Environm Engn, Philadelphia, PA USA; [Foster, Gregory D.; Van Aken, Benoit] George Mason Univ, Chem &amp; Biochem, Fairfax, VA USA; [Van Aken, Benoit] George Mason Univ, Chem &amp; Biochem, 4400 Univ Dr, Fairfax, VA 22030 USA</t>
  </si>
  <si>
    <t>George Mason University; Pennsylvania Commonwealth System of Higher Education (PCSHE); Temple University; George Mason University; George Mason University</t>
  </si>
  <si>
    <t>Van Aken, B (corresponding author), George Mason Univ, Chem &amp; Biochem, 4400 Univ Dr, Fairfax, VA 22030 USA.</t>
  </si>
  <si>
    <t>bvanaken@gmu.edu</t>
  </si>
  <si>
    <t>tahiri, mohamed/AFQ-5277-2022</t>
  </si>
  <si>
    <t>Karami, Adnane/0009-0004-2017-2536</t>
  </si>
  <si>
    <t>2023 JUL 17</t>
  </si>
  <si>
    <t>10.1080/15226514.2023.2232874</t>
  </si>
  <si>
    <t>M7VG9</t>
  </si>
  <si>
    <t>WOS:001032251300001</t>
  </si>
  <si>
    <t>Mahanta, T; Das, S; Pattanaik, A; Satpathy, MP</t>
  </si>
  <si>
    <t>Mahanta, Tapapriya; Das, Soumyajit; Pattanaik, Ashutosh; Satpathy, Mantra Prasad</t>
  </si>
  <si>
    <t>Ultrasonic spot welding of dissimilar Al/SS sheets with various surface conditions: an experimental investigation</t>
  </si>
  <si>
    <t>MATERIALS AND MANUFACTURING PROCESSES</t>
  </si>
  <si>
    <t>USMW; aluminum; steel; surface conditions; weld energy; mechanical performance; microstructure; &gt;</t>
  </si>
  <si>
    <t>MICROSTRUCTURE EVOLUTION; STRENGTH</t>
  </si>
  <si>
    <t>In this experimental study, ultrasonic metal welding (USMW) is introduced to join Al and SS thin sheets by varying surface conditions and weld energies. This research aims to enhance joint performance by properly controlling process parameters. Al/SS joints made at weld energy of 2550 J have the highest tensile shear and T-peel loads for the lubricated surface condition. The peak failure energy and critical stress intensity of the joints are also achieved under the aforementioned welding condition. With rising weld energy, the bond density increases and effective thickness decreases, revealing the increment in plastic deformation under the sonotrode knurls at the Al side. The upsurge in the microhardness values at the welding interface demonstrates the influence of natural aging and softening at the weld zone. Distinct mutual diffusion, wavy-like interface, dimple islands and swirl pattern flow appear at the Al/SS weld cross-section and fracture surfaces.</t>
  </si>
  <si>
    <t>[Mahanta, Tapapriya; Das, Soumyajit; Satpathy, Mantra Prasad] KIIT Univ, Sch Mech Engn, Bhubaneswar, Odisha, India; [Pattanaik, Ashutosh] JAIN Univ, Dept Mech Engn, Bengaluru, Karnataka, India; [Satpathy, Mantra Prasad] KIIT Univ, Sch Mech Engn, Bhubaneswar 751024, Odisha, India</t>
  </si>
  <si>
    <t>Kalinga Institute of Industrial Technology (KIIT); Jain University; Kalinga Institute of Industrial Technology (KIIT)</t>
  </si>
  <si>
    <t>Satpathy, MP (corresponding author), KIIT Univ, Sch Mech Engn, Bhubaneswar 751024, Odisha, India.</t>
  </si>
  <si>
    <t>mantraofficial@gmail.com</t>
  </si>
  <si>
    <t>Das, Soumyajit/AAW-5497-2020</t>
  </si>
  <si>
    <t>Das, Soumyajit/0000-0003-4405-7407</t>
  </si>
  <si>
    <t>1042-6914</t>
  </si>
  <si>
    <t>1532-2475</t>
  </si>
  <si>
    <t>MATER MANUF PROCESS</t>
  </si>
  <si>
    <t>Mater. Manuf. Process.</t>
  </si>
  <si>
    <t>10.1080/10426914.2023.2236186</t>
  </si>
  <si>
    <t>M5HO7</t>
  </si>
  <si>
    <t>WOS:001030528200001</t>
  </si>
  <si>
    <t>Van Nguyen, D; Rios-Aguilar, C; Gaddis, SM</t>
  </si>
  <si>
    <t>Van Nguyen, David; Rios-Aguilar, Cecilia; Gaddis, S. Michael</t>
  </si>
  <si>
    <t>Community College to PhD Scholars Program: Short-Term Outcome Evaluation of an Undergraduate Research and PhD Preparation Program</t>
  </si>
  <si>
    <t>COMMUNITY COLLEGE JOURNAL OF RESEARCH AND PRACTICE</t>
  </si>
  <si>
    <t>ADMISSION; COURSES; 2-YEAR</t>
  </si>
  <si>
    <t>Research suggests that community college alumni may be underrepresented within PhD programs. As such, we implemented and evaluated the Community College to PhD (CC2PhD) Scholars Program at the University of California, Los Angeles. CC2PhD was a 7-month undergraduate research and PhD preparation program for community college sophomores in the social sciences. Like other undergraduate research programs, CC2PhD participants received research training and conducted research. What is novel about CC2PhD is that it purposefully equipped community college students with the skillsets to navigate forthcoming institutional barriers that transfer students will face when trying to apply for upper-division undergraduate research opportunities and engage in PhD preparation. During the program, CC2PhD participants conducted a qualitative interview research project, applied for external summer undergraduate research programs, wrote an upper-division research grant proposal, and developed a PhD preparation plan. To evaluate short-term program outcomes, we used a pre- and post-survey design and analyzed the survey data using t-tests. Out of 25 students who initially started the program, 19 students completed the 7-month program and completed the pre- and post-survey. We found statistically significant gains in four survey scales: Technical Research Skills, Research Proposal Writing, Research Program Application Components, and PhD Preparation Knowledge (all with p &lt; .001). These gains all had large effect sizes, with Cohen's d values above 0.8. However, there were non-statistically significant declines in two survey scales: Interest in Academia and Soft Research Skills.</t>
  </si>
  <si>
    <t>[Van Nguyen, David] Univ Calif Los Angeles, Social Sci, Los Angeles, CA 90095 USA; [Rios-Aguilar, Cecilia] Univ Calif Los Angeles, Educ, Los Angeles, CA USA; [Gaddis, S. Michael] Univ Calif Los Angeles, Sociol, Los Angeles, CA USA; [Gaddis, S. Michael] NWEA Res, Portland, OR USA</t>
  </si>
  <si>
    <t>Van Nguyen, D (corresponding author), Univ Calif Los Angeles, Social Sci, Los Angeles, CA 90095 USA.</t>
  </si>
  <si>
    <t>david.nguyen@ucla.edu</t>
  </si>
  <si>
    <t>Gaddis, S. Michael/0000-0002-3467-878X; Nguyen, David/0000-0002-9405-9120</t>
  </si>
  <si>
    <t>1066-8926</t>
  </si>
  <si>
    <t>1521-0413</t>
  </si>
  <si>
    <t>COMMUNITY COLL J RES</t>
  </si>
  <si>
    <t>Community Coll. J. Res. Pract.</t>
  </si>
  <si>
    <t>10.1080/10668926.2023.2228260</t>
  </si>
  <si>
    <t>M5AO8</t>
  </si>
  <si>
    <t>WOS:001030341700001</t>
  </si>
  <si>
    <t>Zhou, Y; Luo, ZJ; Tian, X</t>
  </si>
  <si>
    <t>Zhou, Ying; Luo, Zijun; Tian, Xu</t>
  </si>
  <si>
    <t>The Impact of Animal Disease Outbreaks on China's Meat Imports</t>
  </si>
  <si>
    <t>EMERGING MARKETS FINANCE AND TRADE</t>
  </si>
  <si>
    <t>Meat imports; animal diseases; diversion effect; substitution effect; &gt;</t>
  </si>
  <si>
    <t>DEMAND ELASTICITIES; GRAVITY MODEL; CULTURED MEAT; CONSUMPTION; TRANSITION; TRADE; BSE</t>
  </si>
  <si>
    <t>We assess the effect of three animal disease outbreaks on China's meat imports from 1992 to 2017, namely foot-and-mouth disease (FMD) for swine, bovine spongiform encephalopathy (BSE) for cattle, and highly pathogenic avian influenza (HPAI) for poultry. Using system-GMM and FGLS estimators, we find that outbreaks of animal diseases in exporting countries reduce China's import of the meat products. Additionally, we find positive trade diversion and substitution effects in both FMD and HPAI but negative effects in BSE. Although these results indicate that China can accommodate its meat consumption needs through international trade now, we are skeptical that it can continue to do so if animal husbandry practices do not improve in China. This calls for major meat exporters to improve production efficiency and reduce the prevalence of animal diseases. With increasing environmental pressure and high dependency on imported feed caused by the expanding livestock sector, we recommend a sustainable diet by encouraging less consumption of meat.</t>
  </si>
  <si>
    <t>[Zhou, Ying; Tian, Xu] Nanjing Agr Univ, Coll Econ &amp; Management, 17 Tsinghua East Rd, Nanjing, Peoples R China; [Luo, Zijun] Univ Nebraska, Coll Business Adm, Dept Econ, Omaha, NE USA; [Tian, Xu] China Agr Univ, Coll Econ &amp; Management, 17 Tsinghua East Rd, Beijing, Peoples R China</t>
  </si>
  <si>
    <t>Nanjing Agricultural University; University of Nebraska System; China Agricultural University</t>
  </si>
  <si>
    <t>Tian, X (corresponding author), Nanjing Agr Univ, Coll Econ &amp; Management, 17 Tsinghua East Rd, Nanjing, Peoples R China.;Tian, X (corresponding author), China Agr Univ, Coll Econ &amp; Management, 17 Tsinghua East Rd, Beijing, Peoples R China.</t>
  </si>
  <si>
    <t>tianxu@cau.edu.cn</t>
  </si>
  <si>
    <t>Chinese Universities Scientific Fund [2023TC105]</t>
  </si>
  <si>
    <t>Chinese Universities Scientific Fund</t>
  </si>
  <si>
    <t>This study was supported by Chinese Universities Scientific Fund (2023TC105).</t>
  </si>
  <si>
    <t>1540-496X</t>
  </si>
  <si>
    <t>1558-0938</t>
  </si>
  <si>
    <t>EMERG MARK FINANC TR</t>
  </si>
  <si>
    <t>Emerg. Mark. Financ. Trade</t>
  </si>
  <si>
    <t>10.1080/1540496X.2023.2223929</t>
  </si>
  <si>
    <t>Business; Economics; International Relations</t>
  </si>
  <si>
    <t>Business &amp; Economics; International Relations</t>
  </si>
  <si>
    <t>Q0RG7</t>
  </si>
  <si>
    <t>WOS:001026287800001</t>
  </si>
  <si>
    <t>Cao, XN; Martindale, R; Cho, HT; Li, CX</t>
  </si>
  <si>
    <t>Cao, Xingni; Martindale, Russell; Cho, Heetae; Li, Chunxiao</t>
  </si>
  <si>
    <t>Elite youth athletes' mental health and its relationship with the talent development environment: A variable- and person-centred approach</t>
  </si>
  <si>
    <t>talent development; environmental factor; psychological health; sport; &gt;</t>
  </si>
  <si>
    <t>ANXIETY; BURNOUT; QUESTIONNAIRE; DEPRESSION; PREVALENCE; PROFILES; PLAYERS</t>
  </si>
  <si>
    <t>The present research sought to examine the prevalence of elite youth athletes' mental health and its relationship with talent development environments (TDEs). A sample of 248 Chinese elite youth athletes completed a self-report survey measuring demographic variables, TDE factors, and mental health outcomes including generalised anxiety disorder (GAD), depression, and athlete burnout. The results revealed moderate levels of burnout, with 19% of the participants meeting the diagnostic cut-off of GAD, and similar numbers for depression. The multiple regression analysis revealed alignment of expectations was the only TDE factor to significantly predict GAD and depression. Holistic quality preparation was the only significant TDE predictor of burnout. The results of cluster analysis suggested a three-cluster solution: cluster 1-slightly below average TDE, cluster 2-high TDE, and cluster 3-very low TDE. Among the three clusters, cluster 2 had the lowest levels of GAD, depression, and burnout. Cluster 3 reported a higher burnout level than cluster 1, and the two clusters showed no differences in other two mental health outcomes. These findings suggest a need to manage mental health symptoms of elite youth athletes, and the roles of TDE could be considered in the management of mental health.</t>
  </si>
  <si>
    <t>[Cao, Xingni; Li, Chunxiao] South China Normal Univ, Sch Phys Educ &amp; Sports Sci, Guangzhou 51006, Peoples R China; [Martindale, Russell] Edinburgh Napier Univ, Sch Appl Sci, Edinburgh, Scotland; [Cho, Heetae] Sungkyunkwan Univ, Dept Sport Sci, Suwon, South Korea; [Cao, Xingni; Li, Chunxiao] South China Normal Univ, Guangzhou, Peoples R China; [Cho, Heetae] Sungkyunkwan Univ, Suwon, South Korea; [Martindale, Russell] Edinburgh Napier Univ, Edinburgh, Scotland</t>
  </si>
  <si>
    <t>South China Normal University; Edinburgh Napier University; Sungkyunkwan University (SKKU); South China Normal University; Sungkyunkwan University (SKKU); Edinburgh Napier University</t>
  </si>
  <si>
    <t>Li, CX (corresponding author), South China Normal Univ, Sch Phys Educ &amp; Sports Sci, Guangzhou 51006, Peoples R China.;Li, CX (corresponding author), South China Normal Univ, Guangzhou, Peoples R China.</t>
  </si>
  <si>
    <t>cxlilee@gmail.com</t>
  </si>
  <si>
    <t>Li, Chunxiao/J-3858-2016</t>
  </si>
  <si>
    <t>Li, Chunxiao/0000-0002-9959-5029</t>
  </si>
  <si>
    <t>10.1080/02640414.2023.2235162</t>
  </si>
  <si>
    <t>M7YX6</t>
  </si>
  <si>
    <t>WOS:001026284600001</t>
  </si>
  <si>
    <t>Gasparetto, T; Dietl, H; Nesseler, C; Muñiz, C</t>
  </si>
  <si>
    <t>Gasparetto, Thadeu; Dietl, Helmut; Nesseler, Cornel; Muniz, Cristina</t>
  </si>
  <si>
    <t>When a woman replaces a man: evaluating coach dismissal in professional tennis</t>
  </si>
  <si>
    <t>MANAGING SPORT AND LEISURE</t>
  </si>
  <si>
    <t>Coach; dismissal; performance; gender; turnover; &gt;</t>
  </si>
  <si>
    <t>ROLE CONGRUITY; GLASS CLIFF; ORGANIZATIONAL PERFORMANCE; UNDER-REPRESENTATION; SERVANT LEADERSHIP; GENDER STEREOTYPES; FOOTBALL COACHES; WOMEN COACHES; SPORT; SUCCESSION</t>
  </si>
  <si>
    <t>PurposePrevious research indicates gender discrimination in leadership positions. However, performance and not gender should be the key indicator when evaluating a leader. We examine the performance effect of changing from a female to a male coach and vice versa.MethodologyWe analyze 1,093 Billie Jean King Cup singles matches from 2006 to 2016, with the match result as the dependent variable. First, we examine the very short-term effects arising from the change of a coach with a regression discontinuity design. Second, we evaluate the short-, medium-, and long-term performances.FindingsThe results show that the gender of the new coach has no significant effect on performance. However, when a female coach succeeds another female coach, performance improves. This provides an argument in favor of female leadership.Practical ImplicationsTeam managers should primarily focus on the quality of the coach instead of gender. The results also suggest that a continuum of female leadership is likely advantageous.Research ContributionThis paper contributes to the debate regarding the misrepresentation of women as head coaches and offers an avenue for further research.</t>
  </si>
  <si>
    <t>[Gasparetto, Thadeu] Leeds Beckett Univ, Carnegie Sch Sport, Leeds, England; [Dietl, Helmut] Univ Zurich, Zurich, Switzerland; [Nesseler, Cornel] Univ Stavanger, Dept Social Sci, Stavanger, Norway; [Muniz, Cristina] Univ Oviedo, Oviedo, Spain; [Muniz, Cristina] Norwegian Univ Sci &amp; Technol, Trondheim, Norway; [Gasparetto, Thadeu] Leeds Beckett Univ, Carnegie Sch Sport, Headingley Campus, Leeds LS6 3QQ, England</t>
  </si>
  <si>
    <t>Leeds Beckett University; University of Zurich; Universitetet i Stavanger; University of Oviedo; Norwegian University of Science &amp; Technology (NTNU); Leeds Beckett University</t>
  </si>
  <si>
    <t>Gasparetto, T (corresponding author), Leeds Beckett Univ, Carnegie Sch Sport, Headingley Campus, Leeds LS6 3QQ, England.</t>
  </si>
  <si>
    <t>t.miranda-gasparetto@leedsbeckett.ac.uk</t>
  </si>
  <si>
    <t>Artime, Cristina Muniz/K-9622-2017; Gasparetto, Thadeu/A-1985-2014</t>
  </si>
  <si>
    <t>Artime, Cristina Muniz/0000-0001-9935-8149; Gasparetto, Thadeu/0000-0002-4675-302X</t>
  </si>
  <si>
    <t>2375-0472</t>
  </si>
  <si>
    <t>2375-0480</t>
  </si>
  <si>
    <t>MANAG SPORT LEIS</t>
  </si>
  <si>
    <t>Manag. Sport Leis.</t>
  </si>
  <si>
    <t>2023 JUL 15</t>
  </si>
  <si>
    <t>10.1080/23750472.2023.2235363</t>
  </si>
  <si>
    <t>M5AM0</t>
  </si>
  <si>
    <t>WOS:001030338800001</t>
  </si>
  <si>
    <t>Lu, YL; Jia, QH; Jin, Z; Ou, M; Li, GZ</t>
  </si>
  <si>
    <t>Lu, Yaling; Jia, Qinghua; Jin, Zhu; Ou, Ming; Li, Guozhu</t>
  </si>
  <si>
    <t>Determination of Organic Acids in Cucumber Leaves by Solid Phase Extraction-Electrospray Ionization-Ion Mobility Spectrometry (SPE-ESI-IMS)</t>
  </si>
  <si>
    <t>ANALYTICAL LETTERS</t>
  </si>
  <si>
    <t>Cucumber leaves; organic acids; resolution; solid phase extraction-electrospray ionization-ion mobility spectrometry (SPE-ESI-IMS); &gt;</t>
  </si>
  <si>
    <t>CHROMATOGRAPHY; SUGARS; FOOD</t>
  </si>
  <si>
    <t>A solid phase extraction-electrospray ionization-ion mobility spectrometry (SPE-ESI-IMS) method was developed to determine six organic acids in cucumber leaves. The multiplexing IMS using correlation technique was adopted to optimize the signal-to-noise ratio (SNR) and resolution. 90% methanol/water was selected to be the solvent, the flow rate was 120 &amp; mu;L &amp; BULL;h(-1), the stop frequency of ion gate was 5000 Hz, the ion gate opening period was 0.1 ms, the air flow velocity was 2.0 L &amp; BULL;min(-1), the electrospray voltage was 3.5 kV, and the drift tube temperature was 90 &amp; DEG;C. The cucumber leaves were treated with ultrasound in 50% methanol/water. The analytes were subsequently eluted from an SPE cartridge with 0.1 mol &amp; BULL;L-1 HCl, and the extract was neutralized to pH 2-3 with ammonia before freeze-drying. SPE-ESI-IMS enabled the effective determination of citric acid, fumaric acid, lactic acid, malic acid, pyruvic acid, and succinic acid based upon the drift time. The limits of detection were from 0.008 &amp; mu;g &amp; BULL;mL(-1) to 0.2 &amp; mu;g &amp; BULL;mL(-1), and the recoveries of spiked samples were from 87.00% to 107.20%. The convenient, sensitive, and efficient developed SPE-ESI-IMS method may be applicable for the determination of organic acids in leaves.</t>
  </si>
  <si>
    <t>[Lu, Yaling; Jia, Qinghua; Jin, Zhu; Ou, Ming; Li, Guozhu] Tarim Univ, Engn Lab Chem Resources Utilizat South Xinjiang Xi, Alar, Peoples R China; [Lu, Yaling] Beijing Univ Chem Technol, State Key Lab Organ Inorgan Composites, Beijing, Peoples R China; [Jia, Qinghua] Tarim Univ, Anal &amp; Testing Ctr, Alar, Peoples R China; [Lu, Yaling; Jia, Qinghua] Tarim Univ, Engn Lab Chem Resources Utilizat South Xinjiang Xi, Alar 843300, Peoples R China</t>
  </si>
  <si>
    <t>Tarim University; Beijing University of Chemical Technology; Tarim University; Tarim University</t>
  </si>
  <si>
    <t>Lu, YL; Jia, QH (corresponding author), Tarim Univ, Engn Lab Chem Resources Utilizat South Xinjiang Xi, Alar 843300, Peoples R China.</t>
  </si>
  <si>
    <t>skyling019@163.com; qing_hua13@163.com</t>
  </si>
  <si>
    <t>Open Funds of the State Key Laboratory of Organic Inorganic Composites [oic-202201012]</t>
  </si>
  <si>
    <t>Open Funds of the State Key Laboratory of Organic Inorganic Composites</t>
  </si>
  <si>
    <t>This work was financially supported by the Open Funds of the State Key Laboratory of Organic Inorganic Composites (oic-202201012).</t>
  </si>
  <si>
    <t>0003-2719</t>
  </si>
  <si>
    <t>1532-236X</t>
  </si>
  <si>
    <t>ANAL LETT</t>
  </si>
  <si>
    <t>Anal. Lett.</t>
  </si>
  <si>
    <t>10.1080/00032719.2023.2237145</t>
  </si>
  <si>
    <t>Chemistry, Analytical</t>
  </si>
  <si>
    <t>M7UG0</t>
  </si>
  <si>
    <t>WOS:001032224400001</t>
  </si>
  <si>
    <t>Mariani, F; Juarez, GE; Barberis, C; Veiga, F; Vay, C; Galvan, EM</t>
  </si>
  <si>
    <t>Mariani, Florencia; Juarez, Guillermo E. E.; Barberis, Claudia; Veiga, Florencia; Vay, Carlos; Galvan, Estela M. M.</t>
  </si>
  <si>
    <t>Interspecies interactions in mixed-species biofilms formed by Enterococcus faecalis and gram-negative bacteria isolated from polymicrobial diabetic foot ulcers</t>
  </si>
  <si>
    <t>BIOFOULING</t>
  </si>
  <si>
    <t>Diabetic foot ulcer; polymicrobial infection; mixed-species biofilm; Enterococcus faecalis; Escherichia coli; Pseudomonas aeruginosa; &gt;</t>
  </si>
  <si>
    <t>INFECTIONS</t>
  </si>
  <si>
    <t>Diabetic foot ulcers (DFU) are exacerbated by bacterial colonisation. Here, a high prevalence of Enterococcus faecalis was observed in DFU patients from an Argentinean hospital. E. faecalis was frequently co-isolated with Escherichia coli, Morganella morganii, and Pseudomonas aeruginosa. The effect of interspecies interactions on bacterial growth was investigated in mixed-species macrocolony biofilms developed in Lubbock-Glc-agar. Similar cell counts were found for E. faecalis and M. morganii growing in mixed and single-species biofilms. An E. faecalis strain showed 1 Log higher cell counts in mixed biofilms with E. coli. Remarkably, E. faecalis strains showed 2 to 4 Log higher cell counts in mixed biofilms with P. aeruginosa. This effect was not observed in planktonic growth or biofilms developed in tryptic soy agar. The present findings reveal bacterial interactions that benefit E. faecalis in mixed-species biofilms, mainly with P. aeruginosa, in a medium that partially mimics the nutrients found in DFU.</t>
  </si>
  <si>
    <t>[Mariani, Florencia; Juarez, Guillermo E. E.; Galvan, Estela M. M.] Univ Maimonides, Ctr Estudios Biomed Biotecnol Ambientales &amp; Diagno, Dept Invest Bioquim &amp; Farmaceut, Lab Patogenesis Bacteriana, Buenos Aires, DF, Argentina; [Mariani, Florencia; Juarez, Guillermo E. E.; Galvan, Estela M. M.] Consejo Nacl Invest Cient &amp; Tecn CONICET, Buenos Aires, DF, Argentina; [Barberis, Claudia; Veiga, Florencia; Vay, Carlos] Univ Buenos Aires, Fac Farm &amp; Bioquim, Catedra Microbiol Clin, Buenos Aires, DF, Argentina; [Barberis, Claudia; Veiga, Florencia; Vay, Carlos] Univ Buenos Aires, Fac Farm &amp; Bioquim, Inst Fisiopatol &amp; Bioquim Clin, Buenos Aires, DF, Argentina</t>
  </si>
  <si>
    <t>Consejo Nacional de Investigaciones Cientificas y Tecnicas (CONICET); University of Buenos Aires; University of Buenos Aires</t>
  </si>
  <si>
    <t>Galvan, EM (corresponding author), Univ Maimonides, Ctr Estudios Biomed Biotecnol Ambientales &amp; Diagno, Dept Invest Bioquim &amp; Farmaceut, Lab Patogenesis Bacteriana, Buenos Aires, DF, Argentina.;Galvan, EM (corresponding author), Consejo Nacl Invest Cient &amp; Tecn CONICET, Buenos Aires, DF, Argentina.</t>
  </si>
  <si>
    <t>galvan.estela@maimonides.edu</t>
  </si>
  <si>
    <t>PICT from Agencia Nacional de Promocion Cientifica y Tecnologica, Argentina [2017-0183]</t>
  </si>
  <si>
    <t>PICT from Agencia Nacional de Promocion Cientifica y Tecnologica, Argentina</t>
  </si>
  <si>
    <t>This work was supported by PICT grant number 2017-0183 from Agencia Nacional de Promocion Cientifica y Tecnologica, Argentina, to EMG; and intramural funding from Fundacion Cientifica Felipe Fiorellino, Universidad Maimonides, Argentina, to EMG. FM is a doctoral fellow and EMG is a researcher member of CONICET. The authors would like to thank Dr. Carol Davies-Salas for a thorough language revision of the manuscript.</t>
  </si>
  <si>
    <t>0892-7014</t>
  </si>
  <si>
    <t>1029-2454</t>
  </si>
  <si>
    <t>Biofouling</t>
  </si>
  <si>
    <t>MAY 28</t>
  </si>
  <si>
    <t>10.1080/08927014.2023.2236949</t>
  </si>
  <si>
    <t>Biotechnology &amp; Applied Microbiology; Marine &amp; Freshwater Biology</t>
  </si>
  <si>
    <t>N3DU1</t>
  </si>
  <si>
    <t>WOS:001034359700001</t>
  </si>
  <si>
    <t>Pavan, TS; James, JP; Dwivedi, PSR; Priya, S; Fathima, ZC; Sindhu, TJ</t>
  </si>
  <si>
    <t>Pavan, T. S.; James, Jainey P.; Dwivedi, Prarambh S. R.; Priya, Sneh; Fathima, Zakiya C.; Sindhu, T. J.</t>
  </si>
  <si>
    <t>Synthesis, Molecular Docking and Molecular Dynamic Studies of Thiazolidineones as Acetylcholinesterase and Butyrylcholinesterase Inhibitors</t>
  </si>
  <si>
    <t>POLYCYCLIC AROMATIC COMPOUNDS</t>
  </si>
  <si>
    <t>Thiazolidineone; acetylcholinesterase; butyrylcholinesterase; molecular docking; molecular dynamics; &gt;</t>
  </si>
  <si>
    <t>IN-VITRO ACETYLCHOLINESTERASE; OXIDATIVE STRESS; CRYSTAL-STRUCTURE; PREDICTION; IDENTIFICATION; DISEASE; DESIGN; MODELS</t>
  </si>
  <si>
    <t>Neurodegenerative diseases are chronic, progressive, age-related, and characterized by the loss of function of neurons caused by the accumulation of free radicals and oxidative stress. Although the prevalence of neuro disorders is rising, therapeutic efficacy is still limited due to various variables, including the blood-brain barrier. Hence, to identify molecules targeting different enzymes like acetylcholinesterase, butyrylcholinesterase and peroxiredoxins, a series of thiazolidineone derivatives were designed and synthesized. Schiff base was synthesized and cyclised with thioglycolic acid to yield thiazolidineones (T1-T10). Structural characterization was performed by IR, Mass and H-1 NMR spectral studies and then subjected to in silico analysis against acetylcholinesterase (6O4W) and butyrylcholinesterase (1P0P). Compound T-9 (-10.10 kcal/mol) and T-8 (-7.65 kcal/mol) have shown excellent binding with 6O4W and 1P0P, respectively, compared with other derivatives. In addition, the compounds were checked for antioxidant activity by analyzing the interactions with peroxiredoxins (1URM), and compound T-4 was active. According to the physicochemical and ADME properties of Qikprop, synthesized compounds can be considered druglike molecules. In vitro, acetylcholinesterase inhibitory activity reveals compound T-8 as the most potent AChE inhibitor. In vitro, antioxidant activity found that compound T-4 has significant antioxidant activity. The compound T-8, with better docking scores and decisive acetylcholinesterase inhibitory action, was further explored to validate the molecular interactions through molecular dynamics studies. It was observed that compounds with the benzyl sulfonyl group (T-6 to T-10) showed higher AChE inhibitory potency than derivatives with phenyl substituents in place of the benzyl sulfonyl group (T-1 to T-5). Therefore, it is inferred that the sulfonyl group and substituents at the para position are essential for the higher inhibitory activity of compounds. Thus, there is plenty of scope for further study in developing these as promising lead compounds.</t>
  </si>
  <si>
    <t>[Pavan, T. S.; James, Jainey P.; Fathima, Zakiya C.; Sindhu, T. J.] Nitte Deemed Univ, NGSM Inst Pharmaceut Sci NGSMIPS, Dept Pharmaceut Chem, Mangaluru 575018, Karnataka, India; [Dwivedi, Prarambh S. R.] Nitte Deemed Univ, NGSM Inst Pharmaceut Sci NGSMIPS, Dept Pharmacol, Mangaluru, Karnataka, India; [Priya, Sneh] Nitte Deemed Univ, NGSM Inst Pharmaceut Sci NGSMIPS, Dept Pharmaceut, Mangaluru, Karnataka, India</t>
  </si>
  <si>
    <t>NITTE (Deemed to be University); N.G.S.M Institute of Pharmaceutical Sciences (NGSMIPS); NITTE (Deemed to be University); N.G.S.M Institute of Pharmaceutical Sciences (NGSMIPS); NITTE (Deemed to be University); N.G.S.M Institute of Pharmaceutical Sciences (NGSMIPS)</t>
  </si>
  <si>
    <t>James, JP (corresponding author), Nitte Deemed Univ, NGSM Inst Pharmaceut Sci NGSMIPS, Dept Pharmaceut Chem, Mangaluru 575018, Karnataka, India.</t>
  </si>
  <si>
    <t>jaineyjames@gmail.com</t>
  </si>
  <si>
    <t>Priya, Sneh/AAQ-8632-2020; james, jainey/AAQ-8622-2020</t>
  </si>
  <si>
    <t>Priya, Sneh/0000-0002-4110-8726; james, jainey/0000-0002-0564-8506</t>
  </si>
  <si>
    <t>1040-6638</t>
  </si>
  <si>
    <t>1563-5333</t>
  </si>
  <si>
    <t>POLYCYCL AROMAT COMP</t>
  </si>
  <si>
    <t>Polycycl. Aromat. Compd.</t>
  </si>
  <si>
    <t>10.1080/10406638.2023.2233666</t>
  </si>
  <si>
    <t>M0MY3</t>
  </si>
  <si>
    <t>WOS:001027155000001</t>
  </si>
  <si>
    <t>Phipps, J</t>
  </si>
  <si>
    <t>Phipps, Jonathan</t>
  </si>
  <si>
    <t>A mixed-method analysis of self-efficacy for speaking with university EFL learners</t>
  </si>
  <si>
    <t>LANGUAGE LEARNING JOURNAL</t>
  </si>
  <si>
    <t>Self-efficacy; causal attribution; speaking test; foreign language motivation</t>
  </si>
  <si>
    <t>CAUSAL ATTRIBUTIONS; STUDENTS; MOTIVATION</t>
  </si>
  <si>
    <t>This study explores speaking self-efficacy for university EFL students in Japan. The primary objectives of the study were to analyse the growth of self-efficacy over time, potential differences between male and female students, and the relationship between self-efficacy, casual attribution, and outcome satisfaction. While several studies have shown a correlation between self-efficacy and achievement in language learning (Raoofi et al. 2012), there are few studies that have focused specifically on the domain of speaking. 58 first- and second-year Japanese students filled out a series of three questionnaires in conjunction with a standardised speaking test given at two points during a 15-week semester. ANOVA results indicated a significant growth in self-efficacy for the speaking test, and that male students reported significantly higher self-efficacy than the female students. Furthermore, correlational analysis showed a moderate relationship between self-efficacy and stability attributions on the final speaking test, as well as a weak but significant negative relationship between self-efficacy and outcome satisfaction. These results highlight the need for more fine-grained analysis of self-efficacy in language learning to gain clearer insight into how it develops over time, the psychological constructs that interact with it, and the potential impact on task valuation and outcome expectancy.</t>
  </si>
  <si>
    <t>[Phipps, Jonathan] Yokohama City Univ, Pract English Dept, Yokohama, Japan</t>
  </si>
  <si>
    <t>Yokohama City University</t>
  </si>
  <si>
    <t>Phipps, J (corresponding author), Yokohama City Univ, Pract English Dept, Yokohama, Japan.</t>
  </si>
  <si>
    <t>jphipps@yokohama-cu.ac.jp</t>
  </si>
  <si>
    <t>Phipps, Jonathan/0000-0002-9673-9648</t>
  </si>
  <si>
    <t>0957-1736</t>
  </si>
  <si>
    <t>1753-2167</t>
  </si>
  <si>
    <t>LANG LEARN J</t>
  </si>
  <si>
    <t>Lang. Learn. J.</t>
  </si>
  <si>
    <t>10.1080/09571736.2023.2227866</t>
  </si>
  <si>
    <t>M9NK4</t>
  </si>
  <si>
    <t>WOS:001033405900001</t>
  </si>
  <si>
    <t>Rhoden-Neita, MA; Strickland, J; Riffer, A; Moreno, D</t>
  </si>
  <si>
    <t>Rhoden-Neita, Michelle-Ann; Strickland, Joseph; Riffer, Andie; Moreno, Dennise</t>
  </si>
  <si>
    <t>Community Violence Intervention in African American Communities: Resilience and Coping among Outreach Workers</t>
  </si>
  <si>
    <t>Resilience; coping; street outreach; community violence; structural violence; African Americans; outreach workers</t>
  </si>
  <si>
    <t>CONNOR-DAVIDSON RESILIENCE; SCALE CD-RISC; PSYCHOMETRIC PROPERTIES; GUN VIOLENCE; CRIME; YOUTH</t>
  </si>
  <si>
    <t>African American communities are at risk of negative psychological and physical health problems associated with structural and community violence. Street outreach, a community-based social service violence intervention, can build resilience and coping to buffer against these negative effects. Using qualitative case study, the authors explored the effects of street outreach on the resilience and coping of ten outreach workers in two Southside communities in Chicago. Findings from the thematic analysis indicated individual level factors (such as internal state, perceptions, experiences, and future goals) and system level factors (such as family, work, community, culture, and the broader society) related to the workers' experiences of community violence, street outreach utilization, and resilience. The authors presented these factors using Bronfenbrenner's ecological systems framework. Additionally, the workers' scores on the Connor-Davidson Resilience Scale-10 corroborated the individual level factors but lacked the system factors. The authors concluded that outreach programs could help to build the resilience and coping capacity of workers by implementing workplace policies and procedures that promote mental health, trauma healing, and career advancement. Future studies should include quantitative outcome data to analyze the effects of street outreach programming on workers' resilience.</t>
  </si>
  <si>
    <t>[Rhoden-Neita, Michelle-Ann; Riffer, Andie; Moreno, Dennise] Univ Illinois, Jane Addams Coll Social Work, Chicago, IL 60607 USA; [Strickland, Joseph] Univ Illinois, Jane Addams Ctr Social Policy &amp; Res, Chicago, IL USA</t>
  </si>
  <si>
    <t>University of Illinois System; University of Illinois Chicago; University of Illinois Chicago Hospital; University of Illinois System; University of Illinois Chicago; University of Illinois Chicago Hospital</t>
  </si>
  <si>
    <t>Rhoden-Neita, MA (corresponding author), Univ Illinois, Jane Addams Coll Social Work, Chicago, IL 60607 USA.</t>
  </si>
  <si>
    <t>marn@uic.edu</t>
  </si>
  <si>
    <t>10.1080/01488376.2023.2237542</t>
  </si>
  <si>
    <t>WOS:001040774500001</t>
  </si>
  <si>
    <t>Zulkifle, NAN; Idris, NH; Ahmad, SSF</t>
  </si>
  <si>
    <t>Zulkifle, Nurul Ain Najwa; Idris, Nurul Hazrina; Ahmad, Siti Sarah Farhana</t>
  </si>
  <si>
    <t>The assessment of shoreline changes along the Johor Strait using Sentinel-1 synthetic aperture radar imagery and GIS</t>
  </si>
  <si>
    <t>Shoreline changes; Johor Strait; Coastal Erosion; Digital Shoreline Analysis System; National Coastal Erosion Study; Sentinel-1 SAR; &gt;</t>
  </si>
  <si>
    <t>EVOLUTION; EROSION; COAST; EXTRACTION; TERENGGANU; ISLANDS; SERIES; BEACH</t>
  </si>
  <si>
    <t>This paper presents a robust approach for shoreline detection using the K-Means clustering and the Digital Shoreline Analysis System developed by the United States Geological Survey. The shoreline changes along the Johor Straits of Malaysia are assessed by using the multi-temporal Sentinel-1 Synthetic Aperture Radar images from 2018 to 2022. This area is known to be important for both socioeconomic activities. The retrieved shorelines are found reliable with a good accuracy of 1.4 m when validating against the Global Positioning System rapid static survey. This merits finding a robust approach that goes beyond the normal practice in Malaysia where manual digitization is usually exercised. The rate of change is calculated by using the end point rate (EPR) for providing a short-term (annual) rate of change while using the linear regression rate (LRR) for providing a long-term (5 year) rate of change. Based on the EPR, the mean annual changes are approximately 10 m/yr for erosion and up to 9.83 m/yr for accretion; meanwhile, the mean of 5-year changes based on the LRR is 62% and 37% for erosion and accretion, respectively. This study reveals that 10 out of 12 sites along Johor Strait are categorized as 'high' erosion, two locations are categorized as 'medium' erosion and none are as 'low' erosion.</t>
  </si>
  <si>
    <t>[Zulkifle, Nurul Ain Najwa; Ahmad, Siti Sarah Farhana] Univ Teknol Malaysia, Fac Built Environm &amp; Surveying, Skudai, Johor Bahru, Malaysia; [Idris, Nurul Hazrina] Univ Teknol Malaysia, Fac Built Environm &amp; Surveying, Trop Resource Mapping Res Grp, Skudai, Johor Bahru, Malaysia; [Idris, Nurul Hazrina] Univ Teknol Malaysia, Res Inst Sustainabil &amp; Environm, Geosci &amp; Digital Earth Ctr, Skuda, Johor Bahru, Malaysia; [Idris, Nurul Hazrina] Univ Teknol Malaysia, Fac Built Environm &amp; Surveying, Trop Resource Mapping Res Grp, Skudai 81310, Johor Bahru, Malaysia</t>
  </si>
  <si>
    <t>Universiti Teknologi Malaysia; Universiti Teknologi Malaysia; Universiti Teknologi Malaysia; Universiti Teknologi Malaysia</t>
  </si>
  <si>
    <t>Idris, NH (corresponding author), Univ Teknol Malaysia, Fac Built Environm &amp; Surveying, Trop Resource Mapping Res Grp, Skudai 81310, Johor Bahru, Malaysia.</t>
  </si>
  <si>
    <t>nurulhazrina@utm.my</t>
  </si>
  <si>
    <t>Ministry of Higher Education Malaysia Fundamental Research Grant Scheme [FRGS/1/2019/WAB05/UTM/02/1]; Universiti Teknologi Malaysia UTMNEXUS Scholarship</t>
  </si>
  <si>
    <t>Ministry of Higher Education Malaysia Fundamental Research Grant Scheme; Universiti Teknologi Malaysia UTMNEXUS Scholarship</t>
  </si>
  <si>
    <t>The work was supported by the~Ministry of Higher Education Malaysia Fundamental Research Grant Scheme [FRGS/1/2019/WAB05/UTM/02/1]; Universiti Teknologi Malaysia UTMNEXUS Scholarship.</t>
  </si>
  <si>
    <t>10.1080/01431161.2023.2232551</t>
  </si>
  <si>
    <t>M3MP7</t>
  </si>
  <si>
    <t>WOS:001029256700001</t>
  </si>
  <si>
    <t>Kusairi, S; Trapsila, AP; Muhamad, S; Razak, NA</t>
  </si>
  <si>
    <t>Kusairi, Suhal; Trapsila, Aji Purba; Muhamad, Suriyani; Razak, Norizan Abdul</t>
  </si>
  <si>
    <t>Conceptual framework of information communication technology and local value (Ugahari) in work-life balance</t>
  </si>
  <si>
    <t>COMMUNITY WORK &amp; FAMILY</t>
  </si>
  <si>
    <t>Information and communication technology; work-life balance; digital technology; behavioural economics ‌; local value; Ugahari</t>
  </si>
  <si>
    <t>BOUNDARY FLEXIBILITY; JOB-SATISFACTION; FAMILY CONFLICT; HOME; LEISURE; CONSEQUENCES</t>
  </si>
  <si>
    <t>There has been an increase in information communication technology (ICT) and work-life balance studies in the last decade. Technology has mixed impacts on work-life balance, both positive and negative. The positive side of information technology for studying work-life balance is its ability to manage domain boundaries flexibly and simultaneously. It is possible to integrate roles to meet demand between domains quickly without space and time constraints, which leads to work-life balance. The negative side is that the connectivity and constant availability cause high intrusion between domains (work-life). The consequence is an imbalance or paradox between domains. The study employs the meta-narrative reviews method and offers a new variable, 'Ugahari', a local value from Nusantara culture, characterised by a moderate working and living attitude. Based on our review, Ugahari can be a boundary control that minimises the negative impact of information technology and improves work-life balance. Thus, this study offers a conceptual framework related to the interaction of these two variables on the concept of work-life balance in terms of dimensions, typology, and consequences.</t>
  </si>
  <si>
    <t>[Kusairi, Suhal; Trapsila, Aji Purba; Muhamad, Suriyani] Univ Malaysia Terengganu, Fac Business Econ &amp; Social Dev, Kuala Terengganu, Malaysia; [Kusairi, Suhal] Univ Telkom, Sch Econ &amp; Business, Bandung, Indonesia; [Razak, Norizan Abdul] Univ Kebangsaan Malaysia, Fac Social Sci &amp; Humanity, Bangi, Malaysia; [Kusairi, Suhal] Univ Malaysia Terengganu, Fac Business Econ &amp; Social Dev, Kuala Terengganu 21300, Malaysia; [Kusairi, Suhal] Univ Telkom, Sch Econ &amp; Business, Jl Telekomunikasi 1, Bandung 40257, Indonesia</t>
  </si>
  <si>
    <t>Universiti Malaysia Terengganu; Telkom University; Universiti Kebangsaan Malaysia; Universiti Malaysia Terengganu; Telkom University</t>
  </si>
  <si>
    <t>Kusairi, S (corresponding author), Univ Malaysia Terengganu, Fac Business Econ &amp; Social Dev, Kuala Terengganu 21300, Malaysia.;Kusairi, S (corresponding author), Univ Telkom, Sch Econ &amp; Business, Jl Telekomunikasi 1, Bandung 40257, Indonesia.</t>
  </si>
  <si>
    <t>suhalkusairi@telkomuniversity.ac.id</t>
  </si>
  <si>
    <t>Ministry of Higher Education, Malaysia [FRGS/1/2019/SS08/UMT/02/3]</t>
  </si>
  <si>
    <t>This work was supported by Ministry of Higher Education, Malaysia [grant number FRGS/1/2019/SS08/UMT/02/3.].</t>
  </si>
  <si>
    <t>1366-8803</t>
  </si>
  <si>
    <t>1469-3615</t>
  </si>
  <si>
    <t>COMMUNITY WORK FAM</t>
  </si>
  <si>
    <t>Community Work Fam.</t>
  </si>
  <si>
    <t>2023 JUL 14</t>
  </si>
  <si>
    <t>10.1080/13668803.2023.2235071</t>
  </si>
  <si>
    <t>Sociology</t>
  </si>
  <si>
    <t>M0VE8</t>
  </si>
  <si>
    <t>WOS:001027394000001</t>
  </si>
  <si>
    <t>Meng, LQ; Qiu, C; Liu, XL; Kong, MH</t>
  </si>
  <si>
    <t>Meng, Lingqi; Qiu, Chen; Liu, Xinling; Kong, Minghui</t>
  </si>
  <si>
    <t>The structural relations among learning environment, achievement goals and reading achievement in China: Evidence from PISA 2018</t>
  </si>
  <si>
    <t>ASIA PACIFIC JOURNAL OF EDUCATION</t>
  </si>
  <si>
    <t>Competition; achievement goals; school climate; learning environment; PISA 2018; &gt;</t>
  </si>
  <si>
    <t>SCHOOL CLIMATE; CONTEXTUAL FACTORS; MEDIATING ROLE; CLASSROOM; MOTIVATION; PERFORMANCE; STRATEGIES; MIDDLE</t>
  </si>
  <si>
    <t>This study explores structural relations among learning environment, achievement goals and reading achievement in China. The sample contains 12,058 Chinese students from the Programme for International Student Assessment (PISA) 2018 study. Multilevel Structural Equation Modeling (Multilevel SEM) is used for data analysis. The results indicate that competitive learning environment positively predicts reading achievement. Student-centred learning environment positively predicts reading achievement both directly and indirectly. Teacher-directed learning environment negatively predicts reading achievement. Performance goals positively predict reading achievement. To improve student reading achievement in China, school leaders are recommended to create opportunities for teachers to learn how to cultivate student-centred learning environment. Reading teachers in China are recommended to adopt student-centred pedagogy rather than teacher-directed pedagogy in their teaching.</t>
  </si>
  <si>
    <t>[Meng, Lingqi; Liu, Xinling; Kong, Minghui] Qufu Normal Univ, Coll Educ, Qufu, Shandong, Peoples R China; [Qiu, Chen] East China Normal Univ, Fac Educ, Shanghai, Peoples R China; [Qiu, Chen] East China Normal Univ, Fac Educ, North Zhongshan Rd Campus,3663 N Zhongshan Rd, Shanghai 200062, Peoples R China</t>
  </si>
  <si>
    <t>Qufu Normal University; East China Normal University; East China Normal University</t>
  </si>
  <si>
    <t>Qiu, C (corresponding author), East China Normal Univ, Fac Educ, North Zhongshan Rd Campus,3663 N Zhongshan Rd, Shanghai 200062, Peoples R China.</t>
  </si>
  <si>
    <t>17853728383@163.com</t>
  </si>
  <si>
    <t>Qiu, Chen/HPH-6309-2023</t>
  </si>
  <si>
    <t>Qiu, Chen/0000-0003-0750-292X</t>
  </si>
  <si>
    <t>0218-8791</t>
  </si>
  <si>
    <t>1742-6855</t>
  </si>
  <si>
    <t>ASIA PAC J EDUC</t>
  </si>
  <si>
    <t>Asia Pac. J. Educ.</t>
  </si>
  <si>
    <t>10.1080/02188791.2023.2233704</t>
  </si>
  <si>
    <t>M1BJ7</t>
  </si>
  <si>
    <t>WOS:001027567300001</t>
  </si>
  <si>
    <t>Pu, C; Weng, SX</t>
  </si>
  <si>
    <t>Pu, Chang; Weng, Suxian</t>
  </si>
  <si>
    <t>Developing teacher candidates' global teaching competence through virtual exchange</t>
  </si>
  <si>
    <t>virtual exchange; globally competent teaching; communities of practice; teacher education; &gt;</t>
  </si>
  <si>
    <t>This study explored how a learning community was formed and evolved among Chinese and American teacher candidates through a virtual exchange (VE) project embedded in teacher education courses, and how the VE project could support candidates to develop globally competent teaching. Data were collected through pre- and post-surveys, Zoom recordings, peer feedback on lesson plans and recorded teaching segments, and final interviews. Findings indicated that the VE project helped form an authentic platform for in-depth discussions around the topics of language teaching and lesson planning. Abundant evidence related to globally competent teaching and limitations are also detailed in the study.</t>
  </si>
  <si>
    <t>[Pu, Chang] Berry Coll, Dept Teacher Educ, Mt Berry, GA USA; [Weng, Suxian] Guangzhou Univ, Sch Foreign Studies, Guangzhou, Guangdong, Peoples R China; [Pu, Chang] Berry Coll, Dept Teacher Educ, 2277 Martha Berry Hwy, Mt Berry, GA 30149 USA</t>
  </si>
  <si>
    <t>Guangzhou University</t>
  </si>
  <si>
    <t>Pu, C (corresponding author), Berry Coll, Dept Teacher Educ, 2277 Martha Berry Hwy, Mt Berry, GA 30149 USA.</t>
  </si>
  <si>
    <t>cpu@berry.edu</t>
  </si>
  <si>
    <t>Guangdong Philosophy and Social Science Foundation [GD21WZX02-07]; Guangdong Educational Science Foundation [2019GXJK177]; Guangzhou Philosophy and Social Science Foundation [2020GZGJ193]</t>
  </si>
  <si>
    <t>Guangdong Philosophy and Social Science Foundation; Guangdong Educational Science Foundation; Guangzhou Philosophy and Social Science Foundation</t>
  </si>
  <si>
    <t>AcknowledgementThis study partially contributed to the foreign languages and technology projects funded by Guangdong Philosophy and Social Science Foundation (GD21WZX02-07); Guangdong Educational Science Foundation (2019GXJK177), and Guangzhou Philosophy and Social Science Foundation (2020GZGJ193).</t>
  </si>
  <si>
    <t>10.1080/1359866X.2023.2235304</t>
  </si>
  <si>
    <t>M3KB0</t>
  </si>
  <si>
    <t>WOS:001029190000001</t>
  </si>
  <si>
    <t>Wang, ZH; Lloret-Batlle, R; Zheng, JF; Liu, HX</t>
  </si>
  <si>
    <t>Wang, Zihao; Lloret-Batlle, Roger; Zheng, Jianfeng; Liu, Henry X.</t>
  </si>
  <si>
    <t>Adaptive green split optimization for traffic control with low penetration rate trajectory data</t>
  </si>
  <si>
    <t>JOURNAL OF INTELLIGENT TRANSPORTATION SYSTEMS</t>
  </si>
  <si>
    <t>Adaptive signal control; oversaturation control; reliability; SCATS; trajectory data; &gt;</t>
  </si>
  <si>
    <t>SIGNAL CONTROL; CONTROL-SYSTEM; ARCHITECTURE</t>
  </si>
  <si>
    <t>Adaptive traffic signal control systems often rely on expensive physical detection infrastructure. However, with the advent of widespread trajectory data, it is now possible to implement adaptive control entirely avoiding such costs. We present two simple adaptive control policies which only require sample delay and number of stops, with the goal to mitigate the presence of oversaturation. The simplicity stems from the necessity of controlling under any trajectory penetration rate. The two policies differ on the possibilities of the control infrastructure to be implemented. The first one minimizes oversaturation by deviating from a reference pre-timed signal plan. This signal plan can be an existing one or an estimated one from aggregating trajectory data. The second policy creates first a set of green split plans to be then selected by a control logic. This second policy is intended to be used in SCATS-like systems where signal plans are limited to a pre-defined discrete set. We propose a plan selection logics or alternatively, the original plan selection policy can be used as well. Both policies are tested in the field, achieving a significant reduction in delay, oversaturation and spillover ratios. Lastly, we test an application of this policy as an enhancement of SCATS systems in the presence of malfunctioning physical detectors.</t>
  </si>
  <si>
    <t>[Wang, Zihao; Liu, Henry X.] Univ MI, Civil &amp; Environm Engn, Ann Arbor, MI USA; [Lloret-Batlle, Roger] MIT Global SCALE Network, Ningbo China Inst Supply Chain Innovat, Ningbo, Zhejiang, Peoples R China; [Zheng, Jianfeng] Xiongan Digital Transportat Lab, Baoding, Peoples R China; [Liu, Henry X.] Univ Michigan, Transportat Res Inst, Ann Arbor, MI USA; [Liu, Henry X.] Univ Michigan, Mcity, Ann Arbor, MI USA; [Zheng, Jianfeng] Xiongan Digital Transportat Lab, Baoding, Peoples R China</t>
  </si>
  <si>
    <t>University of Michigan System; University of Michigan; University of Michigan System; University of Michigan</t>
  </si>
  <si>
    <t>Zheng, JF (corresponding author), Xiongan Digital Transportat Lab, Baoding, Peoples R China.</t>
  </si>
  <si>
    <t>zhengjf@umich.edu</t>
  </si>
  <si>
    <t>Lloret-Batlle, Roger/U-9753-2017</t>
  </si>
  <si>
    <t>Lloret-Batlle, Roger/0000-0001-9336-3668</t>
  </si>
  <si>
    <t>1547-2450</t>
  </si>
  <si>
    <t>1547-2442</t>
  </si>
  <si>
    <t>J INTELL TRANSPORT S</t>
  </si>
  <si>
    <t>J. Intell. Transport. Syst.</t>
  </si>
  <si>
    <t>10.1080/15472450.2023.2227959</t>
  </si>
  <si>
    <t>O4MQ3</t>
  </si>
  <si>
    <t>WOS:001043576300001</t>
  </si>
  <si>
    <t>Zeng, X; Gu, YJ; Zhang, J; Liu, H; Yang, D; Ni, X; Li, A</t>
  </si>
  <si>
    <t>Zeng, Xing; Gu, Yajing; Zhang, Jing; Liu, Hui; Yang, Dong; Ni, Xuan; Li, Ai</t>
  </si>
  <si>
    <t>Development of a Perioperative Enteral Nutrition Program for Gastric Cancer Surgery</t>
  </si>
  <si>
    <t>GUIDELINE CLINICAL NUTRITION; DELPHI METHOD; DIAGNOSIS; MALNUTRITION</t>
  </si>
  <si>
    <t>Objective: This study aimed to summarize the current evidence-based approach to perioperative enteral nutritional (EN) program for gastric cancer (GC) surgery and to develop a staged and operable EN management scheme based on the evidence to provide clinical guidance for improving perioperative EN management in patients with GC.Methods: First, we synthesized expert consensuses, systematic reviews, and guidelines related to GC patients who had undergone surgery, based on a review of the literature and expert meetings. Subsequently, after carefully evaluating and selecting relevant EN management data, we created a preliminary draft of a perioperative EN program. Following Delphi expert consultations, the final version of the perioperative EN program was constructed after revision.Results: After two rounds of consultation, the expert opinions tended to be consistent. The expert positive coefficient was 1.00, and the expert authority coefficient was 0.90. After the second round of consultation, the coefficient of variation of the importance score ranged from 0.05 to 0.20, and the coefficient of variation of the feasibility score ranged from 0.09 to 0.23. The Kendall harmony coefficients were 0.338 and 0.392, and the difference between them was statistically significant (p &lt; 0.001). The final practice plan includes 4 first-level, 16 s-level, and 64 third-level items.Conclusions: The perioperative EN program constructed in this study is comprehensive in content, feasible, and evidence-based, and can provide insights for clinical improvement.</t>
  </si>
  <si>
    <t>[Zeng, Xing; Zhang, Jing; Liu, Hui; Yang, Dong] Nanjing Med Univ, Dept Gastrointestinal Oncol Surg, Affiliated Jiangning Hosp, Nanjing, Jiangsu, Peoples R China; [Gu, Yajing] Nanjing Med Univ, Affiliated Jiangning Hosp, Dept Urol, Nanjing, Jiangsu, Peoples R China; [Ni, Xuan] Nanjing Med Univ, Dept Orthoped, Affiliated Jiangning Hosp, Nanjing, Jiangsu, Peoples R China; [Li, Ai] Nanjing Med Univ, Nursing Dept, Affiliated Jiangning Hosp, Nanjing, Jiangsu, Peoples R China; [Zeng, Xing] Nanjing Med Univ, Dept Gastrointestinal Oncol Surg, Affiliated Jiangning Hosp, Hu Shan Rd 169, Nanjing 211100, Peoples R China; [Li, Ai] Nanjing Med Univ, Nursing Dept, Affiliated Jiangning Hosp, Nanjing, Jiangsu, Peoples R China</t>
  </si>
  <si>
    <t>Nanjing Medical University; Nanjing Medical University; Nanjing Medical University; Nanjing Medical University; Nanjing Medical University; Nanjing Medical University</t>
  </si>
  <si>
    <t>Zeng, X (corresponding author), Nanjing Med Univ, Dept Gastrointestinal Oncol Surg, Affiliated Jiangning Hosp, Hu Shan Rd 169, Nanjing 211100, Peoples R China.;Li, A (corresponding author), Nanjing Med Univ, Nursing Dept, Affiliated Jiangning Hosp, Nanjing, Jiangsu, Peoples R China.</t>
  </si>
  <si>
    <t>429413632@qq.com; 55072054@qq.com</t>
  </si>
  <si>
    <t>Nanjing Health Science and Technology Development Special Fund Project [YKK21230]</t>
  </si>
  <si>
    <t>Nanjing Health Science and Technology Development Special Fund Project</t>
  </si>
  <si>
    <t>This study was funded by Nanjing Health Science and Technology Development Special Fund Project [YKK21230].</t>
  </si>
  <si>
    <t>OCT 21</t>
  </si>
  <si>
    <t>10.1080/01635581.2023.2237217</t>
  </si>
  <si>
    <t>Q5ES7</t>
  </si>
  <si>
    <t>WOS:001029914900001</t>
  </si>
  <si>
    <t>Adley, M; Alderson, H; Jackson, K; McGovern, W; Spencer, L; Addison, M; O'Donnell, A</t>
  </si>
  <si>
    <t>Adley, Mark; Alderson, Hayley; Jackson, Katherine; McGovern, William; Spencer, Liam; Addison, Michelle; O'Donnell, Amy</t>
  </si>
  <si>
    <t>Ethical and practical considerations for including marginalised groups in quantitative survey research</t>
  </si>
  <si>
    <t>INTERNATIONAL JOURNAL OF SOCIAL RESEARCH METHODOLOGY</t>
  </si>
  <si>
    <t>Study design; reflection; ethics; socially excluded; multiple disadvantage</t>
  </si>
  <si>
    <t>HEALTH RESEARCH; POPULATIONS; TRAUMA; ISSUES; USERS; RISK; LIFE</t>
  </si>
  <si>
    <t>This paper considers the ethical and practical issues of recruiting for, and administering a quantitative survey with marginalised populations. These issues were identified through a focus group discussion, which consolidated and expanded upon informal conversations held previously by five researchers about their experiences of conducting a face-to-face survey (using predominantly quantitative questions) with people who used amphetamine type substances in North East England, UK. Inductive and deductive thematic analysis of the focus group discussion led to the generation of three key themes: researcher positionality, emotions, and role dilemmas; study design; and ethics in practice. This paper therefore aims to extend literature which explores ethical and practical issues involved in studies with marginalised populations. It makes methodological suggestions for how work across a range of disciplines could make face-to-face survey research, and future studies with marginalised populations, more inclusive for both participants and researchers.</t>
  </si>
  <si>
    <t>[Adley, Mark; Alderson, Hayley; Jackson, Katherine; Spencer, Liam; O'Donnell, Amy] Newcastle Univ, Populat Hlth Sci Inst, Fac Med Sci, Baddiley Clark Bldg, Richardson Rd, Newcastle Upon Tyne NE2 4AX, England; [McGovern, William] Univ Northumbria, Dept Social Work Educ &amp; Community Well Being, Newcastle Upon Tyne, England; [Addison, Michelle] Univ Durham, Dept Sociol, Durham, England</t>
  </si>
  <si>
    <t>Newcastle University - UK; Northumbria University; Durham University</t>
  </si>
  <si>
    <t>Adley, M (corresponding author), Newcastle Univ, Populat Hlth Sci Inst, Fac Med Sci, Baddiley Clark Bldg, Richardson Rd, Newcastle Upon Tyne NE2 4AX, England.</t>
  </si>
  <si>
    <t>m.adley2@newcastle.ac.uk</t>
  </si>
  <si>
    <t>Addison, Michelle/JFS-2087-2023</t>
  </si>
  <si>
    <t>Spencer, Liam/0000-0002-6223-6081; Alderson, hayley/0000-0002-4674-561X</t>
  </si>
  <si>
    <t>European Research Area Network on Illicit Drugs (ERANID); National Institute for Health and Care Research (NIHR) Policy Research Programme [PR-ST-0416-10001]; National Institutes of Health Research (NIHR) [PR-ST-0416-10001] Funding Source: National Institutes of Health Research (NIHR)</t>
  </si>
  <si>
    <t>European Research Area Network on Illicit Drugs (ERANID); National Institute for Health and Care Research (NIHR) Policy Research Programme; National Institutes of Health Research (NIHR)(National Institutes of Health Research (NIHR))</t>
  </si>
  <si>
    <t>The wider study (ATTUNE) was a collaborative project supported by the European Research Area Network on Illicit Drugs (ERANID). Published papers from the project referenced in this article were based on independent research commissioned and funded in England by the National Institute for Health and Care Research (NIHR) Policy Research Programme (project ref. PR-ST-0416-10001). The views expressed in this paper are those of the authors and not necessarily those of the NIHR, Department of Health and Social Care, ERANID, or any of the other funding or organisational bodies. For the purpose of Open Access, the authors have applied a Creative Commons Attribution (CC BY) licence to any Author Accepted Manuscript version arising from this submission.</t>
  </si>
  <si>
    <t>1364-5579</t>
  </si>
  <si>
    <t>1464-5300</t>
  </si>
  <si>
    <t>INT J SOC RES METHOD</t>
  </si>
  <si>
    <t>Int. J. Soc. Res. Methodol.</t>
  </si>
  <si>
    <t>2023 JUL 13</t>
  </si>
  <si>
    <t>10.1080/13645579.2023.2228600</t>
  </si>
  <si>
    <t>L5TV2</t>
  </si>
  <si>
    <t>WOS:001023897400001</t>
  </si>
  <si>
    <t>Almutairi, M; Hunter, E</t>
  </si>
  <si>
    <t>Almutairi, Maram; Hunter, Erin</t>
  </si>
  <si>
    <t>Dominant ideologies in sexual health education discourse in Saudi Arabia: a critical discourse analysis of school curricula</t>
  </si>
  <si>
    <t>SEX EDUCATION-SEXUALITY SOCIETY AND LEARNING</t>
  </si>
  <si>
    <t>sex education; Saudi Arabia; sexuality discourse; ideologies; sexual health; &gt;</t>
  </si>
  <si>
    <t>Lack of sexual health knowledge among Saudi Arabian adolescents suggests the need for investigation into the sexual health education curriculum provided in schools. This study explored the dominant ideologies that shape sexual health education discourse in Saudi Arabia. To date, there have been few analyses of the ideologies underpinning Saudi Arabia's school curriculum and the approach that is taken to teaching about sexual health. Examining the ideologies informing sexual health education in Saudi schools can assist in a shift towards more comprehensive approaches. In this study, critical discourse analysis was used to identify the underlying ideologies present within Saudi school curricula as they relate to sexual health education. Our findings suggest that conservative ideology dominates sexual health education discourse. Significantly, it is more strongly present in the curricula available to girls and young women. Sexual health education's discourse currently reflects social/cultural perspectives and avoids the inclusion of more comprehensive health-related information that would better enable young people to protect their health.</t>
  </si>
  <si>
    <t>[Almutairi, Maram] Minist Hlth, Baljurashi Primary Hlth Care Ctr 2, Directorate Hlth Affairs Al Baha Reg, Al Baha, Saudi Arabia; [Hunter, Erin] Univ Sydney, Sch Publ Hlth, Sydney, Australia</t>
  </si>
  <si>
    <t>Ministry of Health - Saudi Arabia; University of Sydney</t>
  </si>
  <si>
    <t>Almutairi, M (corresponding author), Minist Hlth, Baljurashi Primary Hlth Care Ctr 2, Directorate Hlth Affairs Al Baha Reg, Al Baha, Saudi Arabia.</t>
  </si>
  <si>
    <t>maowalmutairi@moh.gov.sa</t>
  </si>
  <si>
    <t>Hunter, Erin Christina/ABC-7525-2020</t>
  </si>
  <si>
    <t>Hunter, Erin Christina/0000-0001-6073-8646</t>
  </si>
  <si>
    <t>Saudi Arabian Cultural Mission in Australia (SACM)</t>
  </si>
  <si>
    <t>The study was funded through the Saudi Arabian Cultural Mission in Australia (SACM) as part of the first author's Master's degree at The University of Sydney.</t>
  </si>
  <si>
    <t>1468-1811</t>
  </si>
  <si>
    <t>1472-0825</t>
  </si>
  <si>
    <t>SEX EDUC-SEX SOC LEA</t>
  </si>
  <si>
    <t>Sex Educ.-Sex. Soc. Learn.</t>
  </si>
  <si>
    <t>10.1080/14681811.2023.2230445</t>
  </si>
  <si>
    <t>Education &amp; Educational Research; Public, Environmental &amp; Occupational Health</t>
  </si>
  <si>
    <t>L9KH6</t>
  </si>
  <si>
    <t>WOS:001026376000001</t>
  </si>
  <si>
    <t>Chen, L; Li, J; Qin, ZJ</t>
  </si>
  <si>
    <t>Chen, Lin; Li, Jun; Qin, Zijie</t>
  </si>
  <si>
    <t>A characterization of derivations of JSL algebras</t>
  </si>
  <si>
    <t>QUAESTIONES MATHEMATICAE</t>
  </si>
  <si>
    <t>Jordan derivable mapping; derivation; JSL algebra</t>
  </si>
  <si>
    <t>DERIVABLE MAPPINGS; JORDAN DERIVATIONS; MAPS; OPERATOR; POINTS</t>
  </si>
  <si>
    <t>Let Alg L be a J-subspace lattice algebra on a Banach space X and Inv(Alg L) be the set of all invertible elements of Alg L. Suppose that d : Alg L? Alg L is a linear mapping satisfying d(A) o A(-1) + A o d (A(-1)) = 2d(I) with A ? Inv(Alg L), where I is the identity element of Alg L and o denotes the Jordan product A o B = AB + BA for all A, B ? Alg L. We show that d is a derivation. This result can apply to atomic Boolean subspace lattice algebras and pentagon subspace lattice algebras. Moreover, we give a characterization of Jordan derivation on Banach algebra with unity by the consideration of a continuous bilinear map.</t>
  </si>
  <si>
    <t>[Chen, Lin; Li, Jun; Qin, Zijie] Changshu Inst Technol, Dept Math &amp; Stat, Changshu 215500, Peoples R China</t>
  </si>
  <si>
    <t>Changshu Institute of Technology</t>
  </si>
  <si>
    <t>Chen, L (corresponding author), Changshu Inst Technol, Dept Math &amp; Stat, Changshu 215500, Peoples R China.</t>
  </si>
  <si>
    <t>linchen198112@163.com; LijunLijun2005@163.com; zijieqin92@163.com</t>
  </si>
  <si>
    <t>National Natural Science Foundation of China [12061018]</t>
  </si>
  <si>
    <t>This work is supported by the National Natural Science Foundation of China (No. 12061018).</t>
  </si>
  <si>
    <t>1607-3606</t>
  </si>
  <si>
    <t>1727-933X</t>
  </si>
  <si>
    <t>QUAEST MATH</t>
  </si>
  <si>
    <t>Quaest. Math.</t>
  </si>
  <si>
    <t>10.2989/16073606.2023.2169205</t>
  </si>
  <si>
    <t>M5HE2</t>
  </si>
  <si>
    <t>WOS:001030517700001</t>
  </si>
  <si>
    <t>Frazer, L; Kote, V; Hostetler, Z; Davis, M; Nicolella, DP</t>
  </si>
  <si>
    <t>Frazer, Lance; Kote, Vivek; Hostetler, Zachary; Davis, Matthew; Nicolella, Daniel P.</t>
  </si>
  <si>
    <t>A comparative analysis of dimensionality reduction surrogate modeling techniques for full human body finite element impact simulations</t>
  </si>
  <si>
    <t>Surrogate model; dimensionality reduction; full human body finite element model; response surface; metamodeling; behind armor blunt trauma; &gt;</t>
  </si>
  <si>
    <t>INJURY</t>
  </si>
  <si>
    <t>Fast-running surrogate computational models (simpler computational models) have been successfully used to replace time-intensive finite element models. However, it is unclear how well they perform in accurately and efficiently replicating complex, full human body finite element models. Here we survey several surrogate modeling techniques and assess their accuracy in predicting full strain fields of tissues of interest during a highly dynamic behind armor blunt trauma impact to the liver. We found that coupling dimensionality reduction on the high-dimensional output space (principal component analysis or autoencoders) with machine learning techniques (Gaussian Process Regression or multi-output neural networks) provides a framework capable of accurately and efficiently replacing complex full human body models. It was found that these surrogate models can successfully predict the strain fields (&lt;10% average strain error) of select tissues during a nonlinear impact event but careful consideration should be given to element parsing and modeling technique.</t>
  </si>
  <si>
    <t>[Frazer, Lance; Kote, Vivek; Nicolella, Daniel P.] Southwest Res Inst, Mat Engn Dept, Musculoskeletal Biomech Sect, San Antonio, TX 78238 USA; [Hostetler, Zachary; Davis, Matthew] Elemance LLC, Winston Salem, NC USA</t>
  </si>
  <si>
    <t>Southwest Research Institute</t>
  </si>
  <si>
    <t>Frazer, L (corresponding author), Southwest Res Inst, Mat Engn Dept, Musculoskeletal Biomech Sect, San Antonio, TX 78238 USA.</t>
  </si>
  <si>
    <t>lance.frazer@swri.org</t>
  </si>
  <si>
    <t>Office of Naval Research [W81XWH1590001]</t>
  </si>
  <si>
    <t>Office of Naval Research(Office of Naval Research)</t>
  </si>
  <si>
    <t>The authors would like to thank the Office of Naval Research for providing financial support to this project (contract number W81XWH1590001).</t>
  </si>
  <si>
    <t>10.1080/10255842.2023.2236747</t>
  </si>
  <si>
    <t>M3IJ7</t>
  </si>
  <si>
    <t>WOS:001029146200001</t>
  </si>
  <si>
    <t>Ghiglieri, A; Messina, M; Cenacchi, V; Piutti, C; Cinato, F; Brogin, G; Puccini, P</t>
  </si>
  <si>
    <t>Ghiglieri, Alberto; Messina, Monica; Cenacchi, Valentina; Piutti, Claudia; Cinato, Flavio; Brogin, Giandomenico; Puccini, Paola</t>
  </si>
  <si>
    <t>ADME properties of CHF6366, a novel bi-functional M3 muscarinic receptor antagonist and ss2 adrenoceptor agonist (MABA) radiolabelled at both functional moieties</t>
  </si>
  <si>
    <t>XENOBIOTICA</t>
  </si>
  <si>
    <t>ADME; 14C-labelled; in vitro metabolism; in vivo metabolism; COPD; MABA; &gt;</t>
  </si>
  <si>
    <t>LABORATORY-ANIMALS; TRIPLE THERAPY; MASS-BALANCE; COPD; AUTORADIOGRAPHY; PHARMACOLOGY; METABOLISM; ADHERENCE; EXCRETION; MULTIPLE</t>
  </si>
  <si>
    <t>CHF6366, a dual action &amp; beta;(2)-receptor agonist and M3-muscarinic receptor antagonist developed for chronic obstructive pulmonary disease (COPD) was [C-14]-radiolabelled on the two different functional moieties of the molecule (either aminobutanolic or carbamate) to characterise its ADME profile following intravenous (IV), intratracheal (IT) and oral (PO) administration.A very low oral bioavailability and a good balance between absorption and lung retention after IT administration were observed, together with a rapid distribution throughout the body and a complete metabolic transformation of the parent drug without relevant gender difference.CHF6366 was observed fully hydrolysed to alcohol (CHF6387) and carboxylic acid (CHF6361) in plasma and urine after IV and IT administration, and mainly unchanged in faeces only after oral administration. An important number of metabolites containing aminobutanolic moiety was excreted via urine, whereas carbamate-containing derivatives were excreted mainly by bile.The major metabolic routes of the alcoholic moiety (CHF6387) included isomerisation (Ma7), conjugation with glucuronic acid and dehydrogenation, while the carboxylic acid moiety (CHF6361) was mainly metabolised through oxidation, glucuronide conjugation and, in both pathways, combinations of those metabolic reactions.No major differences arose also from in vitro metabolism profiles investigated using liver microsomes and hepatocytes of different species.</t>
  </si>
  <si>
    <t>[Ghiglieri, Alberto; Messina, Monica; Piutti, Claudia; Cinato, Flavio] Accelera Srl, Nerviano, Milano, Italy; [Cenacchi, Valentina; Brogin, Giandomenico; Puccini, Paola] Chiesi Farmaceut SpA, Parma, Italy</t>
  </si>
  <si>
    <t>Chiesi Pharmaceuticals Inc</t>
  </si>
  <si>
    <t>Messina, M (corresponding author), Accelera Srl, Nerviano, Milano, Italy.</t>
  </si>
  <si>
    <t>monica.messina@accelera.org</t>
  </si>
  <si>
    <t>0049-8254</t>
  </si>
  <si>
    <t>1366-5928</t>
  </si>
  <si>
    <t>Xenobiotica</t>
  </si>
  <si>
    <t>10.1080/00498254.2023.2230490</t>
  </si>
  <si>
    <t>Pharmacology &amp; Pharmacy; Toxicology</t>
  </si>
  <si>
    <t>N6MP2</t>
  </si>
  <si>
    <t>WOS:001025253400001</t>
  </si>
  <si>
    <t>Hassan, K; Mahr, MS; Iqbal, J; Javed, HMA; Raza, ZA; Rasheed, F</t>
  </si>
  <si>
    <t>Hassan, Kinza; Mahr, Muhammad Shabir; Iqbal, Javed; Javed, Hafiz Muhammad Asif; Ali Raza, Zulfiqar; Rasheed, Fahad</t>
  </si>
  <si>
    <t>Directional variability of wood properties in Pinus wallichiana and Dalbergia sissoo of South Asian origin</t>
  </si>
  <si>
    <t>INTERNATIONAL WOOD PRODUCTS JOURNAL</t>
  </si>
  <si>
    <t>Water absorption; contact angle; compression strength; thermal conductivity; thermal diffusivity; specific heat capacity; shisham; pine</t>
  </si>
  <si>
    <t>THERMAL-CONDUCTIVITY; PHYSICOMECHANICAL PROPERTIES; HEARTWOOD; SAPWOOD; WETTABILITY</t>
  </si>
  <si>
    <t>Pinus wallichiana and Dalbergia sissoo wood is widely used in the construction and furniture industry in Pakistan. However, directional variability of physical properties, which can be important for wood-based industry, remains poorly documented. In both wood types, water and moisture uptake, water contact angle, and compressional strength varied significantly along the three directions. Water and moisture uptake was found significantly higher in tangential direction while water contact angle, and compressional strength was found the highest along the longitudinal direction in both wood types. Furthermore, thermal conductivity and diffusivity were found the highest along longitudinal direction however, specific heat capacity was found the highest in radial direction. Based on the results it can be concluded that although, dimensional variability was more pronounced in Dalbergia sissoo wood however, studies on site-specific variations in physical properties need further investigations for better recommendations.</t>
  </si>
  <si>
    <t>[Hassan, Kinza; Mahr, Muhammad Shabir; Javed, Hafiz Muhammad Asif] Univ Agr Faisalabad, Dept Phys, Faisalabad 38000, Pakistan; [Iqbal, Javed] Univ Agr Faisalabad, Dept Chem, Faisalabad, Pakistan; [Ali Raza, Zulfiqar] Natl Text Univ, Chem Res Lab, Faisalabad, Pakistan; [Rasheed, Fahad] Univ Agr Faisalabad, Dept Forestry &amp; Range Management, Faisalabad 38000, Pakistan</t>
  </si>
  <si>
    <t>University of Agriculture Faisalabad; University of Agriculture Faisalabad; National Textile University - Pakistan; University of Agriculture Faisalabad</t>
  </si>
  <si>
    <t>Mahr, MS (corresponding author), Univ Agr Faisalabad, Dept Phys, Faisalabad 38000, Pakistan.;Rasheed, F (corresponding author), Univ Agr Faisalabad, Dept Forestry &amp; Range Management, Faisalabad 38000, Pakistan.</t>
  </si>
  <si>
    <t>fahad.rasheed@uaf.edu.pk; shabir.mahr@uaf.edu.pk</t>
  </si>
  <si>
    <t>Rasheed, Fahad/0000-0001-8807-5370</t>
  </si>
  <si>
    <t>Pakistan Agricultural Research Council (PARC) [ALP-062]</t>
  </si>
  <si>
    <t>Pakistan Agricultural Research Council (PARC)</t>
  </si>
  <si>
    <t>This work was supported by Pakistan Agricultural Research Council [grant number ALP-062].</t>
  </si>
  <si>
    <t>2042-6445</t>
  </si>
  <si>
    <t>2042-6453</t>
  </si>
  <si>
    <t>INT WOOD PROD J</t>
  </si>
  <si>
    <t>Int. Wood Prod. J.</t>
  </si>
  <si>
    <t>10.1080/20426445.2023.2232653</t>
  </si>
  <si>
    <t>Materials Science, Paper &amp; Wood</t>
  </si>
  <si>
    <t>L6VB2</t>
  </si>
  <si>
    <t>WOS:001024607000001</t>
  </si>
  <si>
    <t>Liu, S; Yang, J; Cao, FH</t>
  </si>
  <si>
    <t>Liu, Shen; Yang, Jie; Cao, Fenghua</t>
  </si>
  <si>
    <t>Analysis of dynamic anti-plane characteristics of a bi-material structure with an interfacial V-notch</t>
  </si>
  <si>
    <t>SH waves; bi-material structure; interfacial V-notch; virtual region decomposition; fractional Bessel function; &gt;</t>
  </si>
  <si>
    <t>WAVE-PROPAGATION; SH-WAVES; SCATTERING; CRACK; FOUNDATION</t>
  </si>
  <si>
    <t>To arrive at the dynamic anti-plane characteristics of bi-material structures with an interfacial V-notch, a virtual domain decomposition technique in conjunction with Graf's addition theorem is employed. External force systems are then appropriately solved using the Green's function technique and the conjunction method. Thereafter, the displacement amplitude of the interfacial V-notch is analytically derived. In continuing, some parametric studies are conducted and the plotted results are methodically explained and discussed. The obtained results reveal that the dynamic response in the interfacial V-notch structure could become significant for small levels of the shear modulus ratio and the wavenumber ratio.</t>
  </si>
  <si>
    <t>[Liu, Shen; Yang, Jie; Cao, Fenghua] Shanghai Dianji Univ, Sch Mech Engn, Shanghai, Peoples R China</t>
  </si>
  <si>
    <t>Shanghai Dianji University</t>
  </si>
  <si>
    <t>Yang, J (corresponding author), Shanghai Dianji Univ, Sch Mech Engn, Shanghai, Peoples R China.</t>
  </si>
  <si>
    <t>yangj@sdju.edu.cn</t>
  </si>
  <si>
    <t>National Natural Science Foundation of China [12002198]</t>
  </si>
  <si>
    <t>This work was supported by the National Natural Science Foundation of China [No. 12002198].</t>
  </si>
  <si>
    <t>10.1080/15376494.2023.2236610</t>
  </si>
  <si>
    <t>N5FY3</t>
  </si>
  <si>
    <t>WOS:001037280100001</t>
  </si>
  <si>
    <t>Mahmud, L</t>
  </si>
  <si>
    <t>Mahmud, Lilith</t>
  </si>
  <si>
    <t>The brothers and the laymen. Freemasonry in the public space</t>
  </si>
  <si>
    <t>JOURNAL OF MODERN ITALIAN STUDIES</t>
  </si>
  <si>
    <t>[Mahmud, Lilith] Univ Calif Irvine, Irvine, CA 92697 USA</t>
  </si>
  <si>
    <t>University of California System; University of California Irvine</t>
  </si>
  <si>
    <t>Mahmud, L (corresponding author), Univ Calif Irvine, Irvine, CA 92697 USA.</t>
  </si>
  <si>
    <t>1354-571X</t>
  </si>
  <si>
    <t>1469-9583</t>
  </si>
  <si>
    <t>J MOD ITAL STUD</t>
  </si>
  <si>
    <t>J. Mod. Ital. Stud.</t>
  </si>
  <si>
    <t>10.1080/1354571X.2023.2228108</t>
  </si>
  <si>
    <t>O2PS9</t>
  </si>
  <si>
    <t>WOS:001029410300001</t>
  </si>
  <si>
    <t>Morfopos, N; Kopsidas, A; Kepaptsoglou, K</t>
  </si>
  <si>
    <t>Morfopos, Nikolaos; Kopsidas, Athanasios; Kepaptsoglou, Konstantinos</t>
  </si>
  <si>
    <t>How does tourism affect permanent residents' travel preferences? The case of Rhodes, Greece</t>
  </si>
  <si>
    <t>TRANSPORTATION LETTERS-THE INTERNATIONAL JOURNAL OF TRANSPORTATION RESEARCH</t>
  </si>
  <si>
    <t>Tourism; tourism impacts; residents' mobility; travel behavior; mode choice; stated preference; multinomial logistic regression</t>
  </si>
  <si>
    <t>MODE CHOICE BEHAVIOR; PUBLIC TRANSPORT; LOGISTIC-REGRESSION</t>
  </si>
  <si>
    <t>Tourism is a major source of income for many regions; however, its impacts on residents' daily lives are significant, especially regarding their travel behavior. Local transportation infrastructure is challenged by large tourist flows, and thus residents need to adapt to the new environment by changing their usual habits, such as travel mode, frequency, destination etc. In this study, a multinomial logistic regression mode choice model is developed to capture tourism impacts on residents' travel behavior, using data from the island of Rhodes, Greece. According to study findings, tourism has in fact an impact on residents' travel mode preferences, as they tend to opt for more agile modes such as motorcycles, instead of cars, and adopt defensive driving during tourist seasons. This study can facilitate public transport operators, planners, and municipalities in tourist regions, to apply effective policies to mitigate negative impacts of tourism in local traffic conditions.</t>
  </si>
  <si>
    <t>[Morfopos, Nikolaos] Natl Tech Univ Athens, Sch Civil Engn, Athens, Greece; [Kopsidas, Athanasios; Kepaptsoglou, Konstantinos] Natl Tech Univ Athens, Sch Rural Surveying &amp; Geoinformat Engn, Iroon Polytech Str, Athens 15773, Greece</t>
  </si>
  <si>
    <t>National Technical University of Athens; National Technical University of Athens</t>
  </si>
  <si>
    <t>Kopsidas, A (corresponding author), Natl Tech Univ Athens, Sch Rural Surveying &amp; Geoinformat Engn, Iroon Polytech Str, Athens 15773, Greece.</t>
  </si>
  <si>
    <t>akopsidas@mail.ntua.gr</t>
  </si>
  <si>
    <t>Kopsidas, Athanasios/0000-0002-2163-6193; Kepaptsoglou, Konstantinos/0000-0002-5505-6998</t>
  </si>
  <si>
    <t>1942-7867</t>
  </si>
  <si>
    <t>1942-7875</t>
  </si>
  <si>
    <t>TRANSP LETT</t>
  </si>
  <si>
    <t>Transp. Lett.</t>
  </si>
  <si>
    <t>10.1080/19427867.2023.2234709</t>
  </si>
  <si>
    <t>L9XF6</t>
  </si>
  <si>
    <t>WOS:001026723100001</t>
  </si>
  <si>
    <t>Patel, J; Mawandiya, BK; Patel, K; Makhesana, MA; Gupta, M; Salem, KH; Sehgal, SS</t>
  </si>
  <si>
    <t>Patel, Jignesh; Mawandiya, Bimal Kumar; Patel, Kaushik; Makhesana, Mayur A.; Gupta, Manish; Salem, Karrar Hazim; Sehgal, Satbir S.</t>
  </si>
  <si>
    <t>Experimental investigations and effect of parameters on friction welded AISI 304 and Invar alloys</t>
  </si>
  <si>
    <t>ADVANCES IN MATERIALS AND PROCESSING TECHNOLOGIES</t>
  </si>
  <si>
    <t>Design of experiment; statistical analysis; Friction welding; ultimate tensile strength; microstructure</t>
  </si>
  <si>
    <t>MECHANICAL-PROPERTIES; MICROSTRUCTURE; JOINTS; INTERLAYER; STRENGTH; COPPER</t>
  </si>
  <si>
    <t>It is challenging to achieve sound weld quality between dissimilar materials such as AISI 304 and Invar alloys with the help of the fusion welding process due to various weld defects like slag inclusion and misalignment. In current work, Invar alloys and AISI 304 material is welded with 12 mm diameter and 70 mm length on a commercial friction welding machine. Taguchi L-9 orthogonal design is utilised for experiments, and an optimised parameter combination is identified. Machining parameters such as friction rotation RPM - 1100,1300,1500 rpm, frictional pressure 33,43,53 MPa, and burn-off length 4,5,6 mm are selected for the experiments. Forge pressure is not applied in experimental tests, and the tensile strength of the weld joint is evaluated for comparison. The findings revealed that the lower friction pressure up to 43 MPa resulted in higher tensile strength up to 517 MPa and refined grains in the microstructure. The higher friction pressure resulted in lower tensile strength due to non-homogeneous temperature distribution at the weld interface. The burn-off length shows significant effects on tensile strength results beyond 5 mm. The findings demonstratedthat the process could join dissimilar materials with enhanced mechanical properties.</t>
  </si>
  <si>
    <t>[Patel, Jignesh; Mawandiya, Bimal Kumar; Patel, Kaushik; Makhesana, Mayur A.] Nirma Univ, Inst Technol, Mech Engn Dept, Ahmadabad 382481, Gujarat, India; [Gupta, Manish] Lovely Profess Univ, Div Res &amp; Dev, Phagwara, Punjab, India; [Salem, Karrar Hazim] Al Mustaqbal Univ Coll, Pharm Dept, Hillah, Babil, Iraq; [Sehgal, Satbir S.] Uttaranchal Univ, Div Res Innovat, Dehra Dun, India</t>
  </si>
  <si>
    <t>Nirma University; Lovely Professional University; Al-Mustaqbal University College; Uttaranchal University</t>
  </si>
  <si>
    <t>Makhesana, MA (corresponding author), Nirma Univ, Inst Technol, Mech Engn Dept, Ahmadabad 382481, Gujarat, India.</t>
  </si>
  <si>
    <t>mayur.makhesana@nirmauni.ac.in</t>
  </si>
  <si>
    <t>Makhesana, Mayurkumar/ABA-6858-2020</t>
  </si>
  <si>
    <t>Makhesana, Mayurkumar/0000-0002-2042-0921</t>
  </si>
  <si>
    <t>2374-068X</t>
  </si>
  <si>
    <t>2374-0698</t>
  </si>
  <si>
    <t>ADV MATER PROCESS TE</t>
  </si>
  <si>
    <t>Adv. Mater. Process. Technol.</t>
  </si>
  <si>
    <t>10.1080/2374068X.2023.2233855</t>
  </si>
  <si>
    <t>L9LA8</t>
  </si>
  <si>
    <t>WOS:001026396100001</t>
  </si>
  <si>
    <t>Pozos, RK</t>
  </si>
  <si>
    <t>Pozos, Rose K.</t>
  </si>
  <si>
    <t>Consulting the CDC and TikTok: asynchronous modes of joint media engagement for COVID-19 learning in families</t>
  </si>
  <si>
    <t>LEARNING MEDIA AND TECHNOLOGY</t>
  </si>
  <si>
    <t>Joint media engagement; COVID-19; families; learning ecologies; digital media</t>
  </si>
  <si>
    <t>Media resources are a central component of families' learning ecologies in the U.S. At the start of the Covid-19 pandemic, the information ecosystem was flooded with content about the SARS-CoV-2 virus and personal protection measures. However, much of the coverage came through channels for adult audiences, and the 'infodemic' added to the difficulty of interpreting information from media sources. This article presents an analysis of the media learning ecologies of 109 families of 5-11-year-old children in the United States and describes how asynchronous modes of joint media engagement facilitated learning about Covid-19 during the early months of the pandemic. Findings call for a broader conceptualization of joint media engagement for learning in technologically saturated families.</t>
  </si>
  <si>
    <t>[Pozos, Rose K.] Stanford Univ, Stanford, CA USA; [Pozos, Rose K.] Stanford Univ, Grad Sch Educ, 485 Lasuen Mall, Stanford, CA 94305 USA</t>
  </si>
  <si>
    <t>Stanford University; Stanford University</t>
  </si>
  <si>
    <t>Pozos, RK (corresponding author), Stanford Univ, Grad Sch Educ, 485 Lasuen Mall, Stanford, CA 94305 USA.</t>
  </si>
  <si>
    <t>rkpozos@alumni.stanford.edu</t>
  </si>
  <si>
    <t>National Science Foundation under RAPID</t>
  </si>
  <si>
    <t>This material is based upon work supported by the National Science Foundation under RAPID [grant number: REC-2028082].</t>
  </si>
  <si>
    <t>1743-9884</t>
  </si>
  <si>
    <t>1743-9892</t>
  </si>
  <si>
    <t>LEARN MEDIA TECHNOL</t>
  </si>
  <si>
    <t>Learn. Media Technol.</t>
  </si>
  <si>
    <t>10.1080/17439884.2023.2235279</t>
  </si>
  <si>
    <t>L6WO4</t>
  </si>
  <si>
    <t>WOS:001024646300001</t>
  </si>
  <si>
    <t>Ruankool, N</t>
  </si>
  <si>
    <t>Ruankool, Nopparat</t>
  </si>
  <si>
    <t>COVID-19 and religious education reimagined: discovering a reflective space through Hannah Arendt's concept of thinking</t>
  </si>
  <si>
    <t>COVID-19; thinking; reflective space; religious education; &gt;</t>
  </si>
  <si>
    <t>Following the outbreak of the COVID-19 pandemic and its rapid spread around the world, the normality of people's lives was disrupted. Education was not immune from this. In many countries, to limit the spread of the infection, students were required by the government to study remotely. This social isolation in a limited space generated concerns among educators about the quality of learning, notably through virtual platforms. However, this crisis also brought with it an opportunity for change for the better. Social distancing could allow for a 'reflective space' that extended students' learning beyond the physical space. This research paper explores how the disruption of the normality of our lives and the provision of reflective space might enrich religious education, both in terms of curriculum and pedagogy. I will analyse this issue philosophically in light of Hannah Arendt's concept of 'thinking'. This thinking refers to the quest for meaning which occurs when we withdraw ourselves from inter homines esse (being among humans) into a solitary realm. Drawing on Arendt's ideas, I argue that the reflective space enables us to reimagine religious education such that it better prepares students from across the cultural and religious spectrum for a democratic society.</t>
  </si>
  <si>
    <t>[Ruankool, Nopparat] UCL, Inst Educ, Dept Educ Practice &amp; Soc, London, England; [Ruankool, Nopparat] UCL, Inst Educ, Dept Educ Practice &amp; Soc, London WC1H 0AL, England</t>
  </si>
  <si>
    <t>University of London; University College London; UCL Institute of Education; University of London; University College London; UCL Institute of Education</t>
  </si>
  <si>
    <t>Ruankool, N (corresponding author), UCL, Inst Educ, Dept Educ Practice &amp; Soc, London WC1H 0AL, England.</t>
  </si>
  <si>
    <t>nopparat.ruankool.20@ucl.ac.uk</t>
  </si>
  <si>
    <t>10.1080/01416200.2023.2233055</t>
  </si>
  <si>
    <t>M1LV8</t>
  </si>
  <si>
    <t>WOS:001027853800001</t>
  </si>
  <si>
    <t>Saraniero, P</t>
  </si>
  <si>
    <t>Saraniero, Patricia</t>
  </si>
  <si>
    <t>The Beginner's Guide to Opera Stage Management: Gathering the Tools You Need to Work in Opera</t>
  </si>
  <si>
    <t>JOURNAL OF ARTS MANAGEMENT LAW AND SOCIETY</t>
  </si>
  <si>
    <t>[Saraniero, Patricia] Moxie Res, San Diego, CA 92115 USA</t>
  </si>
  <si>
    <t>Saraniero, P (corresponding author), Moxie Res, San Diego, CA 92115 USA.</t>
  </si>
  <si>
    <t>patti@moxieresearch.com</t>
  </si>
  <si>
    <t>Saraniero, Patti/JAO-4643-2023</t>
  </si>
  <si>
    <t>1063-2921</t>
  </si>
  <si>
    <t>1930-7799</t>
  </si>
  <si>
    <t>J ART MANAG LAW SOC</t>
  </si>
  <si>
    <t>J. Arts Manage. Law Soc.</t>
  </si>
  <si>
    <t>10.1080/10632921.2023.2237010</t>
  </si>
  <si>
    <t>N2UX5</t>
  </si>
  <si>
    <t>WOS:001035637000001</t>
  </si>
  <si>
    <t>Soler, L</t>
  </si>
  <si>
    <t>Soler, Lena</t>
  </si>
  <si>
    <t>What Would It be Like to be Bohmians? Experiencing a Gestalt Switch in Physics as an Effect of Path Dependence</t>
  </si>
  <si>
    <t>Gestalt switch; quantum mechanics; Bohm; path dependence; self-reinforcement; lock-in</t>
  </si>
  <si>
    <t>The philosophical goal is to characterize 'path dependence' (PAD) in science by comparison to PAD in technology where the concept was initially introduced. I rely on quantum mechanics to substantiate the analyses, exploiting the contrast between standard versus Bohmian quantum physics (NQP/BQP). To achieve the goal, counterfactual history is mobilized as a means to generate instructive virtual alternatives to the actual scientific path: I design a 'permuted-situations counterfactual scenario' in which it is BQP, instead of NQP, that first acquires a monopoly on physics and is exclusively practiced in science education, before NQP is introduced. Then, I endeavor to 'reenact' - as forensic investigators carry out the re-enactment of a crime scene - how virtual mainstream Bohmians would assess NQP. Contrasting the two 'views from inside' - 'what it is like to be' a standard quantum physicist in our world (a physicist trained in NQP) and what it would be like to be a physicist exclusively trained in BQP - I attempt to come as close as possible to an 'experience' of the gestalt switch involved when shuttling back and forth between one scientific worldview to the other. The effects of PAD in physics are discussed on this basis.</t>
  </si>
  <si>
    <t>[Soler, Lena] Univ Lorraine, Arch Henri Poincare Philosophie &amp; Rech Sci &amp; Techn, Nancy, France; [Soler, Lena] Arch Henri Poincare Philosophie &amp; Rech Sci &amp; Techn, 91 Ave Lib, F-54000 Nancy, France</t>
  </si>
  <si>
    <t>Universite de Lorraine</t>
  </si>
  <si>
    <t>Soler, L (corresponding author), Arch Henri Poincare Philosophie &amp; Rech Sci &amp; Techn, 91 Ave Lib, F-54000 Nancy, France.</t>
  </si>
  <si>
    <t>Lena.soler@univ-lorraine.fr</t>
  </si>
  <si>
    <t>Archives Henri-Poincare - Philosophie et Recherches sur les Sciences et les Technologies (UMR7117 CNRS); Universite de Lorraine and its scientific pole Connaissance, Langage, Communication, Societes; Centre National de la Recherche Scientifique</t>
  </si>
  <si>
    <t>Archives Henri-Poincare - Philosophie et Recherches sur les Sciences et les Technologies (UMR7117 CNRS); Universite de Lorraine and its scientific pole Connaissance, Langage, Communication, Societes; Centre National de la Recherche Scientifique(Centre National de la Recherche Scientifique (CNRS))</t>
  </si>
  <si>
    <t>Turning from people to institutions, I want to acknowledge the fundamental contribution of the French institutions that have played a role in the financial support of the MultiScienceS project: The Archives Henri-Poincare - Philosophie et Recherches sur les Sciences et les Technologies (UMR7117 CNRS); The Maison des Sciences de l'Homme de Lorraine; The Universite de Lorraine and its scientific pole Connaissance, Langage, Communication, Societes; and the Centre National de la Recherche Scientifique.</t>
  </si>
  <si>
    <t>10.1080/02691728.2023.2212372</t>
  </si>
  <si>
    <t>L9YD2</t>
  </si>
  <si>
    <t>WOS:001026747500001</t>
  </si>
  <si>
    <t>Stackhouse, M; Ramos, H; Foster, K; Stoddart, MCJ</t>
  </si>
  <si>
    <t>Stackhouse, Matthew; Ramos, Howard; Foster, Karen; Stoddart, Mark C. J.</t>
  </si>
  <si>
    <t>Perceptions of local environment change and ecological habitus</t>
  </si>
  <si>
    <t>ENVIRONMENTAL SOCIOLOGY</t>
  </si>
  <si>
    <t>Environment; environmental change; perceptions; sport; leisure; outdoor activities</t>
  </si>
  <si>
    <t>IRONY; WATER</t>
  </si>
  <si>
    <t>Research shows that people's perceptions of environmental change are strong predictors of ecologically supportive behaviours and attitudes, but less is known about what causes some people to perceive environmental change more than others. This study considers whether participation in outdoor leisure activities accounts for different perceptions of the local environment. We consider how leisure activities form a broader 'ecological habitus' while also considering the role that education has in structuring perceptions and practice. We use survey data on perceptions of environmental change and use Principal Component Analysis and logistic regression to explore ecological habitus and the effect of leisure activities on environmental perceptions. Results show that outdoor leisure practices shape perceptions of local environment change and offer a continuum of ecological habitus ranging from appreciative to low resource outdoor leisure associated with varied perceptions of environment degradation. Education is a limited factor in predicting perceptions or explaining associations between leisure and environmental perceptions.</t>
  </si>
  <si>
    <t>[Stackhouse, Matthew; Ramos, Howard] Western Univ, Sociol, London, ON, Canada; [Foster, Karen] Dalhousie Univ, Sociol &amp; Social Anthropol, Halifax, NS, Canada; [Stoddart, Mark C. J.] Mem Univ, Sociol, St John, NF, Canada</t>
  </si>
  <si>
    <t>Western University (University of Western Ontario); Dalhousie University; Memorial University Newfoundland</t>
  </si>
  <si>
    <t>Stackhouse, M (corresponding author), Western Univ, Sociol, London, ON, Canada.</t>
  </si>
  <si>
    <t>mstackh@uwo.ca</t>
  </si>
  <si>
    <t>Ocean Frontiers Institute-Future Ocean and Coastal Infrastructures</t>
  </si>
  <si>
    <t>Ocean Frontiers Institute-Future Ocean and Coastal Infrastructures. There is no grant number.</t>
  </si>
  <si>
    <t>2325-1042</t>
  </si>
  <si>
    <t>ENVIRON SOCIOL</t>
  </si>
  <si>
    <t>Envir. Sociol.</t>
  </si>
  <si>
    <t>10.1080/23251042.2023.2234644</t>
  </si>
  <si>
    <t>Environmental Studies</t>
  </si>
  <si>
    <t>L6DR8</t>
  </si>
  <si>
    <t>WOS:001024155200001</t>
  </si>
  <si>
    <t>Susen, S</t>
  </si>
  <si>
    <t>Susen, Simon</t>
  </si>
  <si>
    <t>Lessons from Reckwitz and Rosa: Towards a Constructive Dialogue between Critical Analytics and Critical Theory</t>
  </si>
  <si>
    <t>Critical analytics; critical theory; Reckwitz (Andreas); Rosa (Hartmut); social theory; &gt;</t>
  </si>
  <si>
    <t>PIERRE BOURDIEU; REFLECTIONS; SOCIOLOGY; RESONANCE; JUSTIFICATION; ACCELERATION; EVOLUTIONARY; FOUNDATIONS; CONSUMPTION; POSTMODERN</t>
  </si>
  <si>
    <t>It is hard to overstate the growing impact of the works of Andreas Reckwitz and Hartmut Rosa on contemporary social theory. Given the quality and originality of their intellectual contributions, it is no accident that they can be regarded as two towering figures of contemporary German social theory. The far-reaching significance of their respective approaches is reflected not only in their numerous publications but also in the fast-evolving secondary literature engaging with their writings. All of this should be reason enough to take note of their collaborative work, which, most recently, has culminated in the publication of their co-authored book Spatmoderne in der Krise: Was leistet die Gesellschaftstheorie? (Berlin: Suhrkamp, 2021). The main purpose of this paper is to demonstrate that the latest exchange between Reckwitz and Rosa contains valuable insights into recent and ongoing trends in society in general and social theory in particular. The first part comprises an outline of the central matters at stake in, and the core lessons learnt from, the constructive dialogue between Reckwitz's critical analytics and Rosa's critical theory, before moving, in the second part, to an assessment of the most significant limitations of their respective views and propositions.</t>
  </si>
  <si>
    <t>[Susen, Simon] Univ London, Sch Policy &amp; Global Affairs City, London, England; [Susen, Simon] Univ London, Sch Policy &amp; Global Affairs City, Northampton Sq, London EC1V 0HB, England</t>
  </si>
  <si>
    <t>University of London; University of London</t>
  </si>
  <si>
    <t>Susen, S (corresponding author), Univ London, Sch Policy &amp; Global Affairs City, Northampton Sq, London EC1V 0HB, England.</t>
  </si>
  <si>
    <t>Simon.Susen@city.ac.uk</t>
  </si>
  <si>
    <t>Susen, Simon/F-6085-2018</t>
  </si>
  <si>
    <t>Susen, Simon/0000-0003-0643-1891</t>
  </si>
  <si>
    <t>10.1080/02691728.2023.2201578</t>
  </si>
  <si>
    <t>Q1IN0</t>
  </si>
  <si>
    <t>WOS:001023859000001</t>
  </si>
  <si>
    <t>Vanner, C</t>
  </si>
  <si>
    <t>Vanner, Catherine</t>
  </si>
  <si>
    <t>What do you want your teachers to know? Using intergenerational reflections in education research</t>
  </si>
  <si>
    <t>Participatory research; teachers; students; engaged pedagogy; student voice</t>
  </si>
  <si>
    <t>GENDER-BASED VIOLENCE; SEX; CURRICULUM; BOUNDARIES; AGENCY; YOUTH</t>
  </si>
  <si>
    <t>The Intergenerational Reflections technique was developed to bring together the voices of connected stakeholders of different ages and positions-in this case, students and teachers-to create recommendations that build on both groups' perspectives. This article describes its use and results as piloted in the Time to Teach about Gender-Based Violence in Canada project. The project gathered 11 teacher participants in a participatory workshop to mobilize teachers' reflections on student-produced cellphilms responding to the prompt: What do you want your teachers to know when teaching about gender-based violence? Framed using hooks' engaged pedagogy, analysis describes teachers' identification of potential pedagogical adaptations responding to student recommendations, demonstrating Intergenerational Reflections' value in getting teachers to actively listen to student messages in educational research and practice. Results identify the need to involve other educational stakeholders in Intergenerational Reflections, particularly in addressing a lack of multi-level institutional support to enhance pedagogy about gender-based violence.</t>
  </si>
  <si>
    <t>[Vanner, Catherine] Univ Windsor, Fac Educ, Windsor, ON, Canada</t>
  </si>
  <si>
    <t>University of Windsor</t>
  </si>
  <si>
    <t>Vanner, C (corresponding author), Univ Windsor, Fac Educ, Windsor, ON, Canada.</t>
  </si>
  <si>
    <t>catherine.vanner@uwindsor.ca</t>
  </si>
  <si>
    <t>SSHRC Postdoctoral Fellowship [756-2018-0576]</t>
  </si>
  <si>
    <t>SSHRC Postdoctoral Fellowship(Social Sciences and Humanities Research Council of Canada (SSHRC))</t>
  </si>
  <si>
    <t>This research was supported by a SSHRC Postdoctoral Fellowship [756-2018-0576] and a SSHRC Insight Development Grant [430-2019-0223].</t>
  </si>
  <si>
    <t>10.1080/09518398.2023.2233916</t>
  </si>
  <si>
    <t>L7SD3</t>
  </si>
  <si>
    <t>WOS:001025212100001</t>
  </si>
  <si>
    <t>Xiang, SC</t>
  </si>
  <si>
    <t>Xiang, Shuchen</t>
  </si>
  <si>
    <t>Qing ((sic)), Gan ((sic)), and Tong ((sic)): Decolonizing the Universal from a Chinese Perspective: Part 1</t>
  </si>
  <si>
    <t>COMPARATIVE AND CONTINENTAL PHILOSOPHY</t>
  </si>
  <si>
    <t>Qing ((sic)); universalism; Cartesianism; Edward Said; decolonization; Latin American and Caribbean Philosophy</t>
  </si>
  <si>
    <t>The theoretical and moral bedrock of Western colonialism has been its claim to universalism. Central to this universalism is a Cartesian dualism in which only the disembodied mind has access to the universal, and the body, as a mere particular, does not. This paper (Part 1) and the following paper (Part 2) propose an alternative model of universalism as the totality of interactions between embodied particulars. This model of universalism is based on the relationship between the classical Chinese philosophical concepts of feeling (qing, (sic)), interaction (gan, (sic)), and the unimpeded free-flow (tong, (sic)) that results. This Chinese model of universalism is ultimately based on the organicist metaphysics of life that understands meaning and order to be the result of organic interaction between bodies. this paper will show how the dominant Chinese tradition understood the universal as a result of the sympathetic interaction between embodied particulars.</t>
  </si>
  <si>
    <t>[Xiang, Shuchen] Xidian Univ, Dept Philosophy, Xian, Peoples R China; [Xiang, Shuchen] 266 Xinglong Sect Xifeng Rd, Xian 710126, Shaanxi, Peoples R China</t>
  </si>
  <si>
    <t>Xidian University</t>
  </si>
  <si>
    <t>Xiang, SC (corresponding author), 266 Xinglong Sect Xifeng Rd, Xian 710126, Shaanxi, Peoples R China.</t>
  </si>
  <si>
    <t>shuchen.xiang@hotmail.com</t>
  </si>
  <si>
    <t>1757-0638</t>
  </si>
  <si>
    <t>1757-0646</t>
  </si>
  <si>
    <t>COMP CONT PHILOS</t>
  </si>
  <si>
    <t>Comp. Cont. Philos.</t>
  </si>
  <si>
    <t>10.1080/17570638.2023.2234701</t>
  </si>
  <si>
    <t>L6ES4</t>
  </si>
  <si>
    <t>WOS:001024181800001</t>
  </si>
  <si>
    <t>Borchert, R</t>
  </si>
  <si>
    <t>Borchert, Rhys</t>
  </si>
  <si>
    <t>Reflection, fallibilism, and doublethink</t>
  </si>
  <si>
    <t>INQUIRY-AN INTERDISCIPLINARY JOURNAL OF PHILOSOPHY</t>
  </si>
  <si>
    <t>Evidence; fallibilism; empirical justification; &gt;</t>
  </si>
  <si>
    <t>A distinctive feature of Juan Comesana's epistemological account is the possibility of an agent possessing a false proposition as evidence. Comesana argues that there are a number of theoretical virtues of his account once we accept this possibility, however, one might expect that there are particular vices of his account as well. Littlejohn and Dutant (2021. Even if it Might not be True, Evidence Cannot be False. Philosophical Studies 179 (3): 801-827. https://doi.org/10.1007/s11098-021-01695-0) claim that a reflective agent who accepts Comesana's view is rationally compelled to update their credences differently than unreflective agents, or else they will be guilty of a problematic kind of doublethink: evidence in general can be false, but my evidence is never false. I argue that parallel reasoning applies to any epistemological view that says that it is possible for a rational agent to be wrong about what their evidence is. When a rational agent reflectively accepts that they could be wrong about their evidence they are rationally compelled to update their credences differently than unreflective agents, or else they will be guilty of a problematic kind of doublethink: even though rational agents in general are wrong about their evidence, I'm never wrong about my evidence. Reflecting on a particular challenge to Comesana's view ultimately reveals a general challenge to fallibilism.</t>
  </si>
  <si>
    <t>[Borchert, Rhys] Univ Arizona, Tucson, AZ 85721 USA</t>
  </si>
  <si>
    <t>University of Arizona</t>
  </si>
  <si>
    <t>Borchert, R (corresponding author), Univ Arizona, Tucson, AZ 85721 USA.</t>
  </si>
  <si>
    <t>rhysborchert@arizona.edu</t>
  </si>
  <si>
    <t>0020-174X</t>
  </si>
  <si>
    <t>1502-3923</t>
  </si>
  <si>
    <t>INQUIRY</t>
  </si>
  <si>
    <t>Inquiry-Interdiscip. J. Philos.</t>
  </si>
  <si>
    <t>2023 JUL 12</t>
  </si>
  <si>
    <t>10.1080/0020174X.2023.2231687</t>
  </si>
  <si>
    <t>Ethics; Philosophy</t>
  </si>
  <si>
    <t>Social Sciences - Other Topics; Philosophy</t>
  </si>
  <si>
    <t>L9ZF5</t>
  </si>
  <si>
    <t>WOS:001026776400001</t>
  </si>
  <si>
    <t>Braby, MF; Yeates, DK; Joseph, L</t>
  </si>
  <si>
    <t>Braby, Michael F.; Yeates, David K.; Joseph, Leo</t>
  </si>
  <si>
    <t>Woodland birds and insect decline</t>
  </si>
  <si>
    <t>EMU-AUSTRAL ORNITHOLOGY</t>
  </si>
  <si>
    <t>Birds; insects; declines; woodlands; &gt;</t>
  </si>
  <si>
    <t>INVERTEBRATES; TERRESTRIAL</t>
  </si>
  <si>
    <t>The decline of woodland birds around the world is well known. There are likely to be many causal factors acting together and interacting synergistically, such as habitat fragmentation and the invasion of exotic species. Similarly, insect declines, which likely have been occurring for some time in Australia, have been recorded around the world in recent years, especially in areas of intensive agriculture or urbanisation. Because a large proportion of woodland birds are insectivorous, we ask whether the loss of food resources could also be a driver of bird declines. We encourage more research into this.</t>
  </si>
  <si>
    <t>[Braby, Michael F.; Yeates, David K.] CSIRO, Australian Natl Insect Collect, Natl Res Collect Australia, Canberra, Australia; [Braby, Michael F.; Yeates, David K.] Australian Natl Univ, Res Sch Biol, Div Ecol &amp; Evolut, Acton, Australia; [Joseph, Leo] CSIRO, Australian Natl Wildlife Collect, Natl Res Collect Australia, Canberra, Australia</t>
  </si>
  <si>
    <t>Commonwealth Scientific &amp; Industrial Research Organisation (CSIRO); Australian National University; Commonwealth Scientific &amp; Industrial Research Organisation (CSIRO)</t>
  </si>
  <si>
    <t>Joseph, L (corresponding author), CSIRO, Australian Natl Wildlife Collect, Natl Res Collect Australia, Canberra, Australia.</t>
  </si>
  <si>
    <t>Leo.Joseph@csiro.au</t>
  </si>
  <si>
    <t>Yeates, David/A-9917-2008</t>
  </si>
  <si>
    <t>Yeates, David/0000-0001-7729-6143</t>
  </si>
  <si>
    <t>TAYLOR &amp; FRANCIS AUSTRALIA</t>
  </si>
  <si>
    <t>MELBOURNE</t>
  </si>
  <si>
    <t>LEVEL 2, 11 QUEENS RD, MELBOURNE, VIC 3004, AUSTRALIA</t>
  </si>
  <si>
    <t>0158-4197</t>
  </si>
  <si>
    <t>1448-5540</t>
  </si>
  <si>
    <t>EMU</t>
  </si>
  <si>
    <t>Emu</t>
  </si>
  <si>
    <t>10.1080/01584197.2023.2233758</t>
  </si>
  <si>
    <t>N6KQ1</t>
  </si>
  <si>
    <t>WOS:001029366400001</t>
  </si>
  <si>
    <t>Friedrich, W; Krasinska, M</t>
  </si>
  <si>
    <t>Friedrich, Wiola; Krasinska, Magdalena</t>
  </si>
  <si>
    <t>What Makes Imprisonment More Painful? A Study from the Perspective of the COVID-19 Pandemic</t>
  </si>
  <si>
    <t>MENTAL-HEALTH; NEUROTICISM; SUPPORT</t>
  </si>
  <si>
    <t>We compared stress of imprisonment and stress coping styles of incarcerated people before and during COVID-19. We aimed to explore how the sanitary conditions of COVID-19 affected the well-being of incarcerated people. The aim of the study was to distinguish predictors of well-being in incarcerated people as a function of stress assessment, coping styles and COVID-19 restrictions, compensation and prison preparation. In total, we surveyed 239 incarcerated people during the third wave of the pandemic from December 2021 to February 2022 and 247 subjects before the COVID-19 pandemic. The study results showed that the pandemic had adverse effects on incarcerated people. We found differences between groups in perceived stress and some stress coping styles. Among psychological stress traits, harm-loss and emotion-oriented stress coping could be the predictors of well-being among incarcerated people as well as COVID-19 restrictions implemented in prisons, including high-security facilities. The implications for prison policy and practice were also discussed.</t>
  </si>
  <si>
    <t>[Friedrich, Wiola] Univ Silesia, Inst Psychol, Katowice, Poland; [Krasinska, Magdalena] Univ Silesia, Katowice, Poland; [Friedrich, Wiola] Univ Silesia, Inst Psychol, Fac Social Sci, Katowice, Poland</t>
  </si>
  <si>
    <t>University of Silesia in Katowice; University of Silesia in Katowice; University of Silesia in Katowice</t>
  </si>
  <si>
    <t>Friedrich, W (corresponding author), Univ Silesia, Inst Psychol, Fac Social Sci, Katowice, Poland.</t>
  </si>
  <si>
    <t>wiola.friedrich@us.edu.pl</t>
  </si>
  <si>
    <t>10.1080/01639625.2023.2235058</t>
  </si>
  <si>
    <t>L8DF5</t>
  </si>
  <si>
    <t>WOS:001025503700001</t>
  </si>
  <si>
    <t>Garcia-Carmona, A; Munoz-Franco, G; Criado, AM; Cruz-Guzman, M</t>
  </si>
  <si>
    <t>Garcia-Carmona, Antonio; Munoz-Franco, Granada; Criado, Ana M.; Cruz-Guzman, Marta</t>
  </si>
  <si>
    <t>Validation of an instrument for assessing basic science process skills in initial elementary teacher education</t>
  </si>
  <si>
    <t>Assessment; elementary education; science education; science process skills; teacher education</t>
  </si>
  <si>
    <t>PRESERVICE TEACHERS; INQUIRY; RELIABILITY; STUDENTS</t>
  </si>
  <si>
    <t>Basic science process skills (SPSs) constitute a key dimension of the scientific competence that should be developed from an early age. Therefore, preservice elementary teachers (PETs) who are preparing to teach science should have a sufficient mastery about it. This study presents a questionnaire that allows gradual levels of performance in SPSs to be established regarding formulating questions and hypotheses, identifying variables, measurement, planning an inquiry, and interpreting data. The questionnaire was validated in three phases - 1) during its design, with the external collaboration of a panel of experts, 2) by piloting of a draft versions of the questionnaire on a small sample of PETs, and 3) by applying the questionnaire to a sample of 435 PETs. Data analysis indicated that these were acceptably reliable, and the validity of the questionnaire was also verified. They also revealed the PETs' deficient levels of SPSs. This was especially so regarding identifying suitable questions for school inquiry, understanding precision in measurement, and interpreting data in a table. There was further support for the validity of the questionnaire and the reliability of the outcomes in that it corroborated other results in the literature on the subject that were obtained with different tools and methods.</t>
  </si>
  <si>
    <t>[Garcia-Carmona, Antonio; Munoz-Franco, Granada; Criado, Ana M.; Cruz-Guzman, Marta] Univ Seville, Dept Didact Ciencias Expt &amp; Sociales, Seville, Spain; [Garcia-Carmona, Antonio] Univ Seville, Fac Ciencias Educ, Dept Didact Ciencias Expt &amp; Sociales, Calle Pirotecnia S-N, Seville 41013, Spain</t>
  </si>
  <si>
    <t>University of Sevilla; University of Sevilla</t>
  </si>
  <si>
    <t>Garcia-Carmona, A (corresponding author), Univ Seville, Fac Ciencias Educ, Dept Didact Ciencias Expt &amp; Sociales, Calle Pirotecnia S-N, Seville 41013, Spain.</t>
  </si>
  <si>
    <t>garcia-carmona@us.es</t>
  </si>
  <si>
    <t>García-Carmona, Antonio/H-6528-2013; Cruz-Guzman Alcala, Marta/B-5175-2017; Criado, Ana M./G-2236-2014</t>
  </si>
  <si>
    <t>García-Carmona, Antonio/0000-0001-5952-0340; Cruz-Guzman Alcala, Marta/0000-0003-0018-3620; Criado, Ana M./0000-0002-6224-9253</t>
  </si>
  <si>
    <t>Government of Spain [EDU2017-82505-P]</t>
  </si>
  <si>
    <t>Government of Spain(Spanish Government)</t>
  </si>
  <si>
    <t>This study has been funded by MCIN/AEI/10.13039/501100011033 (Government of Spain) under grant EDU2017-82505-P.</t>
  </si>
  <si>
    <t>10.1080/09500693.2023.2232936</t>
  </si>
  <si>
    <t>L6UZ7</t>
  </si>
  <si>
    <t>WOS:001024605500001</t>
  </si>
  <si>
    <t>Gorman, A; Hall, K</t>
  </si>
  <si>
    <t>Gorman, Alan; Hall, Kathy</t>
  </si>
  <si>
    <t>Exploring the impact of an online learning community to support student teachers on school placement</t>
  </si>
  <si>
    <t>EUROPEAN JOURNAL OF TEACHER EDUCATION</t>
  </si>
  <si>
    <t>school placement; online learning; hybrid space; knowledge generation</t>
  </si>
  <si>
    <t>INQUIRY; EDUCATION; KNOWLEDGE; FIELD; PLAN; PART</t>
  </si>
  <si>
    <t>This paper documents the design, implementation, and evaluation of an online learning community (OLC), within the Republic of Ireland, which set out to support student teachers in a hybrid space during their school placement experience. Guided by qualitative research, data collection methods included interviews and analysis of students' forum postings. Key findings illustrated that the OLC provided a valuable learning context for student teachers. The presence of cooperating teachers, as online tutors, as well as a higher education institute tutor was recognised as critically important for facilitating the OLC. A significant conclusion to this study is that hybrid spaces, that are aligned with the practicum, can provide opportunities for dialogic reflection and enquiry within a community of learners. With the increased attention of adopting online pedagogical approaches, stemming from the COVID-19 pandemic, this paper offers two research-based design principles to facilitate OLCs that support student teachers on school placement.</t>
  </si>
  <si>
    <t>[Gorman, Alan; Hall, Kathy] Dublin City Univ, Inst Educ, Dublin, Ireland; [Gorman, Alan; Hall, Kathy] Univ Coll Cork, Sch Educ, Cork, Ireland; [Gorman, Alan] Dublin City Univ, Inst Educ, Sch Policy &amp; Practice, Dublin, Ireland</t>
  </si>
  <si>
    <t>Dublin City University; University College Cork; Dublin City University</t>
  </si>
  <si>
    <t>Gorman, A (corresponding author), Dublin City Univ, Inst Educ, Sch Policy &amp; Practice, Dublin, Ireland.</t>
  </si>
  <si>
    <t>alan.gorman@dcu.ie</t>
  </si>
  <si>
    <t>Gorman, Alan/JAK-8287-2023</t>
  </si>
  <si>
    <t>0261-9768</t>
  </si>
  <si>
    <t>1469-5928</t>
  </si>
  <si>
    <t>EUR J TEACH EDUC</t>
  </si>
  <si>
    <t>Eur. J. Teach. Educ.</t>
  </si>
  <si>
    <t>10.1080/02619768.2023.2232943</t>
  </si>
  <si>
    <t>L9KU2</t>
  </si>
  <si>
    <t>WOS:001026389000001</t>
  </si>
  <si>
    <t>Hand, S</t>
  </si>
  <si>
    <t>Hand, Sean</t>
  </si>
  <si>
    <t>The Holocaust in French postmodern fiction. Aesthetics, politics, ethics</t>
  </si>
  <si>
    <t>MODERN &amp; CONTEMPORARY FRANCE</t>
  </si>
  <si>
    <t>[Hand, Sean] Univ Warwick, Coventry, England</t>
  </si>
  <si>
    <t>University of Warwick</t>
  </si>
  <si>
    <t>Hand, S (corresponding author), Univ Warwick, Coventry, England.</t>
  </si>
  <si>
    <t>S.Hand@warwick.ac.uk</t>
  </si>
  <si>
    <t>Hand, Sean/JCO-9790-2023</t>
  </si>
  <si>
    <t>0963-9489</t>
  </si>
  <si>
    <t>1469-9869</t>
  </si>
  <si>
    <t>MOD CONTEMP FR</t>
  </si>
  <si>
    <t>Mod. Contemp. Fr.</t>
  </si>
  <si>
    <t>10.1080/09639489.2023.2229739</t>
  </si>
  <si>
    <t>M1DP0</t>
  </si>
  <si>
    <t>WOS:001027627800001</t>
  </si>
  <si>
    <t>Jain, N; Mohapatra, G</t>
  </si>
  <si>
    <t>Jain, Neha; Mohapatra, Geetilaxmi</t>
  </si>
  <si>
    <t>Dynamic linkages between trade, growth, inequality, and poverty in emerging countries: An application of panel ARDL approach</t>
  </si>
  <si>
    <t>JOURNAL OF INTERNATIONAL TRADE &amp; ECONOMIC DEVELOPMENT</t>
  </si>
  <si>
    <t>Trade; poverty; GIP triangle; emerging countries; ARDL; &gt;</t>
  </si>
  <si>
    <t>INCOME INEQUALITY; ECONOMIC-GROWTH; FINANCIAL DEVELOPMENT; UNIT ROOTS; OPENNESS; TESTS; LIBERALIZATION; DECOMPOSITION; CAUSALITY</t>
  </si>
  <si>
    <t>With the transition from Millennium Development Goals (MDGs) to Sustainable Development Goals (SDGs), the concept of development has shifted from development to inclusive development. This motivates authors to include not only growth and inequality but also poverty, which will represent our concept of inclusive development. The literature on trade and its impact on inequality and poverty is ambiguous and heterogeneous, reflecting the need for more empirical analyses to enable effective policy targeting and implementation. The study examines the dynamic linkages between trade and the GIP triangle (economic growth, poverty, and inequality) in 18 emerging countries from 1991 to 2020. As a contribution to the existing literature, the study emphasizes direct and indirect linkages between trade and the GIP triangle. Using the panel ARDL approach for panel data, the study finds that trade promotes growth. Trade also helps in deteriorating income inequality, while it is not a factor of poverty eradication in emerging economies. The study recommends that to maximize the effectiveness of trade policies; they must be complementary and implemented in tandem with trade reforms.</t>
  </si>
  <si>
    <t>[Jain, Neha; Mohapatra, Geetilaxmi] Birla Inst Technol &amp; Sci, Dept Econ &amp; Finance, Pilani, India; [Jain, Neha] Birla Inst Technol &amp; Sci, Dept Econ &amp; Finance, Pilani Campus, Pilani 333031, Rajasthan, India</t>
  </si>
  <si>
    <t>Birla Institute of Technology &amp; Science Pilani (BITS Pilani); Birla Institute of Technology &amp; Science Pilani (BITS Pilani)</t>
  </si>
  <si>
    <t>Jain, N (corresponding author), Birla Inst Technol &amp; Sci, Dept Econ &amp; Finance, Pilani Campus, Pilani 333031, Rajasthan, India.</t>
  </si>
  <si>
    <t>p20200024@pilani.bits-pilani.ac.in</t>
  </si>
  <si>
    <t>0963-8199</t>
  </si>
  <si>
    <t>1469-9559</t>
  </si>
  <si>
    <t>J INT TRADE ECON DEV</t>
  </si>
  <si>
    <t>J. Int. Trade Econ. Dev.</t>
  </si>
  <si>
    <t>10.1080/09638199.2023.2232882</t>
  </si>
  <si>
    <t>L9HV5</t>
  </si>
  <si>
    <t>WOS:001026311100001</t>
  </si>
  <si>
    <t>Katsiada, E; Hatzigianni, M; Sotiropoulou, E</t>
  </si>
  <si>
    <t>Katsiada, Eleni; Hatzigianni, Maria; Sotiropoulou, Eleni</t>
  </si>
  <si>
    <t>The role of placement and practicum in the professional readiness of ECEC educators working with infants and toddlers</t>
  </si>
  <si>
    <t>EARLY YEARS</t>
  </si>
  <si>
    <t>Students' placement in ECEC settings; practicum; professional readiness; Erasmus; infants and toddlers; &gt;</t>
  </si>
  <si>
    <t>STUDENT-TEACHERS</t>
  </si>
  <si>
    <t>This study took place in the University of West Attica, Department of Early Childhood Education and Care (ECEC) in Greece, founded in 2018, which focuses on the learning, development and education of children under four years of age. Greece has a split early childhood education system, and there is minimal attention given to infant and toddler research. This study explored students' views before and after their final practicum through two online questionnaires to identify the effectiveness of the undergraduate programme of studies in preparing ECEC educators for their professional roles. The study also interviewed in-service educators in their first year of employment and graduates who have completed their practicum in a foreign country under the Erasmus+ programme. Findings revealed an overall satisfaction with the existing programme and the effectiveness of the final practicum. Students who completed an Erasmus+ practicum were particularly positive about their experience and the knowledge they acquired, and they encouraged more students to apply for the Erasmus+ mobility scheme. All participants provided useful insights and suggestions for further improving the programme, such as extending the placement and practicum. Implications for ECEC educators' education are discussed, along with recommendations for future research.</t>
  </si>
  <si>
    <t>[Katsiada, Eleni; Hatzigianni, Maria; Sotiropoulou, Eleni] Univ West Attica, Dept Early Childhood Educ &amp; Care, Aigaleo, Greece</t>
  </si>
  <si>
    <t>University of West Attica</t>
  </si>
  <si>
    <t>Katsiada, E (corresponding author), Univ West Attica, Dept Early Childhood Educ &amp; Care, Aigaleo, Greece.</t>
  </si>
  <si>
    <t>ekatsiada@uniwa.gr</t>
  </si>
  <si>
    <t>HATZIGIANNI, MARIA/AAP-7628-2021</t>
  </si>
  <si>
    <t>HATZIGIANNI, MARIA/0000-0001-9378-2598; Sotiropoulou, Eleni/0000-0002-2712-4148</t>
  </si>
  <si>
    <t>0957-5146</t>
  </si>
  <si>
    <t>1472-4421</t>
  </si>
  <si>
    <t>EARLY YEARS-ABINGDON</t>
  </si>
  <si>
    <t>Early Years</t>
  </si>
  <si>
    <t>10.1080/09575146.2023.2227782</t>
  </si>
  <si>
    <t>P6LV9</t>
  </si>
  <si>
    <t>WOS:001025543600001</t>
  </si>
  <si>
    <t>Kim, T; Lee, WD</t>
  </si>
  <si>
    <t>Kim, Taeyoon; Lee, Woo-Dong</t>
  </si>
  <si>
    <t>Prediction of wave overtopping discharges at coastal structures using interpretable machine learning</t>
  </si>
  <si>
    <t>COASTAL ENGINEERING JOURNAL</t>
  </si>
  <si>
    <t>overtopping; prediction; machine learning; feature engineering; coastal engineering</t>
  </si>
  <si>
    <t>Appropriate estimation and prediction of wave overtopping discharges are very important in terms of economics, port structure stability, and port operation. In recent years, machine learning (ML) techniques, which predict by finding statistical structures from input/output data using computers, have generated interest. However, as the complexity of ML models increases, interpreting their results becomes increasingly difficult. Interpretation of ML results is an important part in developing an efficient structure design strategy for improved wave overtopping discharge estimation. Therefore, in this study, eight linear/nonlinear ML models were applied to the same data, and a pipeline model for selecting an ML model suitable for data characteristics was developed. In addition, the importance of variables related to the prediction of wave overtopping discharges and their correlations were analyzed by interpretable ML. The research results showed that the extreme gradient boosting model had the highest prediction accuracy and significantly reduced the error. Accordingly, a data-based model can be a new alternative for analyzing the complex physical relationships in the field of coastal engineering and used as a starting point toward structure design and development for coastal disaster prevention.</t>
  </si>
  <si>
    <t>[Kim, Taeyoon] North Carolina State Univ, Dept Civil Construct &amp; Environm Engn, Raleigh, NC USA; [Kim, Taeyoon] Gyeongsang Natl Univ, Inst Marine Ind, Tongyeong Si, Gyeongsangnam D, South Korea; [Lee, Woo-Dong] Gyeongsang Natl Univ, Dept Ocean Civil Engn, Tongyeong Si, Gyeongsangnam D, South Korea</t>
  </si>
  <si>
    <t>North Carolina State University; Gyeongsang National University; Gyeongsang National University</t>
  </si>
  <si>
    <t>Lee, WD (corresponding author), Gyeongsang Natl Univ, Dept Ocean Civil Engn, Tongyeong Si, Gyeongsangnam D, South Korea.</t>
  </si>
  <si>
    <t>wdlee@gnu.ac.kr</t>
  </si>
  <si>
    <t>Lee, Woo-Dong/0000-0001-7776-4664; Kim, Taeyoon/0000-0002-5060-5302</t>
  </si>
  <si>
    <t>National Research Foundation of Korea (NRF) - Korea government (MSIT) [NRF-2022R1C1C2004838]; [NRF-2021R1A2C4002665]</t>
  </si>
  <si>
    <t>National Research Foundation of Korea (NRF) - Korea government (MSIT)(National Research Foundation of KoreaMinistry of Science, ICT &amp; Future Planning, Republic of KoreaMinistry of Science &amp; ICT (MSIT), Republic of Korea);</t>
  </si>
  <si>
    <t>This work was supported by the National Research Foundation of Korea (NRF) grant funded by the Korea government (MSIT) (No. NRF-2022R1C1C2004838). This work was supported by a National Research Foundation of Korea (NRF) grant funded by the Korean government (MSIT) (No. NRF-2021R1A2C4002665).</t>
  </si>
  <si>
    <t>2166-4250</t>
  </si>
  <si>
    <t>1793-6292</t>
  </si>
  <si>
    <t>COAST ENG J</t>
  </si>
  <si>
    <t>Coast Eng. J.</t>
  </si>
  <si>
    <t>10.1080/21664250.2023.2233312</t>
  </si>
  <si>
    <t>Engineering, Civil; Engineering, Ocean</t>
  </si>
  <si>
    <t>P0ZI9</t>
  </si>
  <si>
    <t>WOS:001027657400001</t>
  </si>
  <si>
    <t>Saldaña-Rojas, UA; Cortés-Llamas, SA; Jiménez-Avalos, JA; García-Carvajal, ZY; Olea-Rodríguez, MA; Cajero-Zul, LR; Nuño-Donlucas, SM</t>
  </si>
  <si>
    <t>Saldana-Rojas, Ulises A.; Cortes-Llamas, Sara A.; Jimenez-Avalos, Jorge A.; Garcia-Carvajal, Zaira Y.; Olea-Rodriguez, Maria A.; Cajero-Zul, Leonardo R.; Nuno-Donlucas, Sergio M.</t>
  </si>
  <si>
    <t>Evaluation of the toxicity and cisplatin drug release ability of nanocomposites of polyethylene glycol and carbon nanotubes functionalized with Zn2+ ions</t>
  </si>
  <si>
    <t>Carbon nanotubes; cisplatin; HeLa cells; nanocarrier; nanocomposites; polyethylene glycol; zinc ions; &gt;</t>
  </si>
  <si>
    <t>CRYSTALLIZATION BEHAVIOR; ZINC-OXIDE; MORPHOLOGY; CHEMISTRY; KINETICS; BINDING; PEG</t>
  </si>
  <si>
    <t>Carbon nanotubes (CNTs) have been used to prepare drug nanocarriers. Zinc (Zn) ions play a crucial role in biological processes. Polyethylene glycol (PEG) is a biopolymer used in the medical field. In this work, the synthesis of ion Zn-ion-functionalized CNTs/PEG nanocomposites is described. The prepared nanocomposites were characterized using the FE-SEM, FT-IR, XPS, and DSC techniques. The ability of the prepared nanocomposites to release the anticancer drug cisplatin (CP) was assessed. The cytotoxicity of the studied nanocomposites loaded or unloaded with CP toward HeLa cells was evaluated, and their capacity to inhibit the growth of the bacteria Staphylococcus aureus, Escherichia coli, and Pseudomonas aeruginosa was determined. The cytotoxicity tests show that HeLa cells showed considerably larger decrease in cell viability owing to exposure to CP compared to that owing to exposure to Zn-ion-functionalized CNTs/PEG nanocomposites.</t>
  </si>
  <si>
    <t>[Saldana-Rojas, Ulises A.] Univ Guadalajara, Ctr Univ Ciencias Exactas &amp; Ingn, Doctorado Ciencias Ingn Quim, Guadalajara, Mexico; [Cortes-Llamas, Sara A.] Univ Guadalajara, Ctr Univ Ciencias Exactas &amp; Ingn, Dept Quim, Guadalajara, Mexico; [Jimenez-Avalos, Jorge A.; Garcia-Carvajal, Zaira Y.] Ctr Invest &amp; Asistencia Tecnol &amp; Diseno Estado Jal, Biotecnol Med &amp; Farmaceut, Guadalajara, Mexico; [Olea-Rodriguez, Maria A.] Univ Guadalajara, Ctr Univ Ciencias Exactas &amp; Ingn, Dept Farmocol, Guadalajara, Mexico; [Cajero-Zul, Leonardo R.; Nuno-Donlucas, Sergio M.] Univ Guadalajara, Ctr Univ Ciencias Exactas &amp; Ingn, Dept Ingn Quim, Guadalajara, Mexico; [Nuno-Donlucas, Sergio M.] Blvd Marcelino Garcia Barragan 1421, Guadalajara 44430, Jalisco, Mexico</t>
  </si>
  <si>
    <t>Universidad de Guadalajara; Universidad de Guadalajara; Universidad de Guadalajara; Universidad de Guadalajara</t>
  </si>
  <si>
    <t>Nuño-Donlucas, SM (corresponding author), Blvd Marcelino Garcia Barragan 1421, Guadalajara 44430, Jalisco, Mexico.</t>
  </si>
  <si>
    <t>gigio@cencar.udg.mx</t>
  </si>
  <si>
    <t>GARCIA CARVAJAL, ZAIRA YUNUEN/0000-0002-9216-0612</t>
  </si>
  <si>
    <t>Consejo Nacional de Ciencia y Tecnologa (CONACyT) [101369]</t>
  </si>
  <si>
    <t>Consejo Nacional de Ciencia y Tecnologa (CONACyT)(Consejo Nacional de Ciencia y Tecnologia (CONACyT))</t>
  </si>
  <si>
    <t>This research was funded by Consejo Nacional de Ciencia y Tecnologia (CONACyT) under grant 101369.</t>
  </si>
  <si>
    <t>10.1080/00914037.2023.2233043</t>
  </si>
  <si>
    <t>L6YB7</t>
  </si>
  <si>
    <t>WOS:001024685700001</t>
  </si>
  <si>
    <t>Sims, WA; King, KR; Preast, JL; Burns, MK; Panameno, S</t>
  </si>
  <si>
    <t>Sims, Wesley A. A.; King, Kathleen R. R.; Preast, June L. L.; Burns, Matthew K. K.; Panameno, Sarah</t>
  </si>
  <si>
    <t>Are School-Based Problem-Solving Teams Effective? A Meta-Analysis of Student- and Systems-Level Effects</t>
  </si>
  <si>
    <t>JOURNAL OF EDUCATIONAL AND PSYCHOLOGICAL CONSULTATION</t>
  </si>
  <si>
    <t>PREREFERRAL INTERVENTION TEAMS; IMPLEMENTATION; FIDELITY; INTEGRITY; MODELS</t>
  </si>
  <si>
    <t>Given the widespread use of school-based problem-solving teams (SB PSTs), empirical evidence establishing their effectiveness is essential. Guided by the Input-Mediator-Output-Input (IMOI) Framework, this meta-analysis examined SB PST effectiveness generally and differentiated measured effects by targeted outcomes and specific SB PST processes used. Data from 13 studies (14 effects) yielded a large overall weighted estimate of effect (g = 0.84). Measured SB PST effects on student outcomes (e.g. academic or behavioral improvement) appeared large (g = 0.89), on systems outcomes (i.e., reduction in referrals to special education) were moderate (g = 0.66), and on team outcomes (i.e., procedural fidelity) appeared large (g = 1.00). Although not a significant moderator of effect, team use of an evidence-based process was associated with larger effects (g = 1.78, k = 8). Similarly, although non-significant, studies that met rigorous, published standards for research methods showed larger outcome effects (g = 1.10, k = 2).</t>
  </si>
  <si>
    <t>[Sims, Wesley A. A.; Panameno, Sarah] Univ Calif Riverside, Sch Psychol Program, Riverside, CA USA; [King, Kathleen R. R.] Palm Spring Unified Sch Dist, Palm Springs, CA USA; [Preast, June L. L.] Univ Alabama Birmingham, Sch Psychol, Birmingham, AL USA; [Burns, Matthew K. K.] Univ Missouri, St Louis, MO USA; [Sims, Wesley A. A.] Univ Calif Riverside, Grad Sch Educ, 900 Univ Ave 1207 Sproul Hall, Riverside, CA 92521 USA</t>
  </si>
  <si>
    <t>University of California System; University of California Riverside; University of Alabama System; University of Alabama Birmingham; University of Missouri System; University of Missouri Saint Louis; University of California System; University of California Riverside</t>
  </si>
  <si>
    <t>Sims, WA (corresponding author), Univ Calif Riverside, Grad Sch Educ, 900 Univ Ave 1207 Sproul Hall, Riverside, CA 92521 USA.</t>
  </si>
  <si>
    <t>wesleys@ucr.edu</t>
  </si>
  <si>
    <t>Burns, Matthew/C-2154-2015</t>
  </si>
  <si>
    <t>Burns, Matthew/0000-0001-9946-5729; Sims, Wesley/0000-0002-5431-0368</t>
  </si>
  <si>
    <t>1047-4412</t>
  </si>
  <si>
    <t>1532-768X</t>
  </si>
  <si>
    <t>J EDUC PSYCHOL CONS</t>
  </si>
  <si>
    <t>J. Educ. Psychol. Consult.</t>
  </si>
  <si>
    <t>10.1080/10474412.2023.2232785</t>
  </si>
  <si>
    <t>L8DE6</t>
  </si>
  <si>
    <t>WOS:001025502800001</t>
  </si>
  <si>
    <t>Vostikolaei, FS; Jabari, S</t>
  </si>
  <si>
    <t>Vostikolaei, Faezeh Soleimani; Jabari, Shabnam</t>
  </si>
  <si>
    <t>Large-Scale LoD2 Building Modeling using Deep Multimodal Feature Fusion</t>
  </si>
  <si>
    <t>CANADIAN JOURNAL OF REMOTE SENSING</t>
  </si>
  <si>
    <t>3D RECONSTRUCTION; CLASSIFICATION</t>
  </si>
  <si>
    <t>In today's rapidly urbanizing world, accurate 3D city models are crucial for sustainable urban management. The existing technology for 3D city modeling still relies on an extensive amount of manual work and the provided solutions may vary depending on the urban structure of different places. According to the CityGML3 standard of 3D city modeling, in LoD2, the roof structures need to be modeled which is a challenging task due to the complexity and diversity of roof types. While high-resolution images can be utilized to classify roof types, they have difficulties in areas with poor contrast or shadows. This study proposes a deep learning approach that combines RGB optical and height information of buildings to improve the accuracy of roof type classification and automatically generate a 3D city model. The proposed methodology is divided into two phases: (1) classifying roof types into the nine most popular roof types in New Brunswick, Canada, using a multimodal feature fusion network, and (2) generating a large-scale LoD2 3D city model using a model-driven approach. The evaluation results show an overall accuracy of 97.58% and a Kappa coefficient of 0.9705 for the classification phase and an RMSE of 1.03 (m) for the 3D modeling.</t>
  </si>
  <si>
    <t>[Vostikolaei, Faezeh Soleimani; Jabari, Shabnam] Univ New Brunswick, Dept Geodesy &amp; Geomat Engn, Fredericton, NB, Canada</t>
  </si>
  <si>
    <t>Jabari, S (corresponding author), Univ New Brunswick, Dept Geodesy &amp; Geomat Engn, Fredericton, NB, Canada.</t>
  </si>
  <si>
    <t>sh.jabari@unb.ca</t>
  </si>
  <si>
    <t>NBIF-POSS (Priority Occupation Student Support); NSERC-Discovery grant</t>
  </si>
  <si>
    <t>NBIF-POSS (Priority Occupation Student Support); NSERC-Discovery grant(Natural Sciences and Engineering Research Council of Canada (NSERC))</t>
  </si>
  <si>
    <t>This project is partially funded by NBIF-POSS (Priority Occupation Student Support) and NSERC-Discovery grant. The authors would like to thank the funding agencies for their support. Authors would like to thank GeoNB, a government subsidiary for geospatial information, and Municipalities for providing airborne images, LiDAR point cloud data and ESRI. The deep learning framework was developed using PyTorch and implemented over Google Collaboratory. The authors also thank these organizations for providing such a valuable platform.</t>
  </si>
  <si>
    <t>0703-8992</t>
  </si>
  <si>
    <t>1712-7971</t>
  </si>
  <si>
    <t>CAN J REMOTE SENS</t>
  </si>
  <si>
    <t>Can. J. Remote Sens.</t>
  </si>
  <si>
    <t>JUL 12</t>
  </si>
  <si>
    <t>10.1080/07038992.2023.2236243</t>
  </si>
  <si>
    <t>N0SW6</t>
  </si>
  <si>
    <t>WOS:001034227100001</t>
  </si>
  <si>
    <t>Ahmed, ZY; T'Jollyn, I; Lecompte, S; Schoonjans, T; Demeester, T; Beyne, W; De Raad, T; De Paepe, M</t>
  </si>
  <si>
    <t>Ahmed, Zaaquib Yunus; T'Jollyn, Ilya; Lecompte, Steven; Schoonjans, Thomas; Demeester, Toon; Beyne, Wim; De Raad, Teun; De Paepe, Michel</t>
  </si>
  <si>
    <t>A Truncated Transient Slab Model for a Reheating Furnace</t>
  </si>
  <si>
    <t>HEATING PROCESS; NUMERICAL-ANALYSIS; SCALE FORMATION; PERFORMANCE; COMBUSTION; SIMULATION; BILLETS; AIR</t>
  </si>
  <si>
    <t>This paper considers the steel reheating process, in which cold slabs are reheated to a temperature suitable for hot rolling operations. Temperature uniformity within the slab is very important during reheating, as non-uniformities often lead to quality concerns in the later stages of the production process. Attaining slab temperature uniformity is quite challenging, therefore, a thorough understanding of the reheating process becomes very important. Due to the extreme conditions inside the furnace, numerical tools like computational fluid dynamics are necessary for such situations. However, when applied to these complex installations, it often leads to very lengthy computational times. This paper develops a computationally efficient transient model to simulate the environment around a slab. This Truncated Transient Slab Model is a coupled model: it uses the temperature and flow profiles from a full-scale steady-state simulation and imposes those on a smaller domain that represents the immediate environment around the slab. The efficiency of the model is compared to the state of the art. With the simulations available in the literature, it was found that the proposed model can simulate a furnace seven times larger (grid size), with much higher grid and time resolutions, using only a third of the computational resources.</t>
  </si>
  <si>
    <t>[Ahmed, Zaaquib Yunus; T'Jollyn, Ilya; Lecompte, Steven; Demeester, Toon; Beyne, Wim; De Paepe, Michel] Ghent Univ Campus, Dept Electromech Syst &amp; Met Engn, Ghent, Belgium; [Ahmed, Zaaquib Yunus; T'Jollyn, Ilya; Lecompte, Steven; Demeester, Toon; Beyne, Wim; De Paepe, Michel] FlandersMake Univ Gent Corelab EEDT MP Flanders Ma, Leuven, Belgium; [Schoonjans, Thomas; De Raad, Teun] ArcelorMittal Gent, Ghent, Belgium; [Ahmed, Zaaquib Yunus] Univ Ghent, Dept Electromech Syst &amp; Met Engn, Campus Ufo T4,Sint Pietersnieuwstr 41, B-9000 Ghent, Belgium</t>
  </si>
  <si>
    <t>ArcelorMittal; Ghent University</t>
  </si>
  <si>
    <t>Ahmed, ZY (corresponding author), Univ Ghent, Dept Electromech Syst &amp; Met Engn, Campus Ufo T4,Sint Pietersnieuwstr 41, B-9000 Ghent, Belgium.</t>
  </si>
  <si>
    <t>zaaquib.ahmed@ugent.be</t>
  </si>
  <si>
    <t>VLAIO Vlaams Agentschap Innoveren En Ondernemen (Flanders Innovation and Entrepreneurship); ArcelorMittal, Belgium</t>
  </si>
  <si>
    <t>The results of this paper are obtained within the framework of the Baekeland Mandate which is jointly funded by VLAIO Vlaams Agentschap Innoveren En Ondernemen (Flanders Innovation and Entrepreneurship) and ArcelorMittal, Belgium. The participation of Ghent University is also acknowledged.</t>
  </si>
  <si>
    <t>2023 JUL 11</t>
  </si>
  <si>
    <t>10.1080/01457632.2023.2234768</t>
  </si>
  <si>
    <t>M4ZO9</t>
  </si>
  <si>
    <t>WOS:001030314800001</t>
  </si>
  <si>
    <t>Bárdos, B; Altbacker, V; Szabó, A; Török, HK; Nagy, I</t>
  </si>
  <si>
    <t>Bardos, B.; Altbacker, V.; Szabo, A.; Torok, H. K.; Nagy, I.</t>
  </si>
  <si>
    <t>Study of climbing ability for two closely related mouse species</t>
  </si>
  <si>
    <t>EUROPEAN ZOOLOGICAL JOURNAL</t>
  </si>
  <si>
    <t>Climbing ability; Mus spicilegus; mound-building mouse; house mouse</t>
  </si>
  <si>
    <t>COEXISTENCE; BEHAVIOR</t>
  </si>
  <si>
    <t>We tested the climbing ability of two native Hungarian rodent species under laboratory conditions. One mouse species is the mound-building mouse (Mus spicilegus), which is associated with flat, arable environments; the other is the house mouse (Mus musculus), which occurs in many natural and artificial environments following human settlements. We sought answers to the following questions, whether each of these species can use the vertical dimension and whether there is a difference in climbing ability between individuals of different ages of the two species. From our results, we concluded that the climbing ability of mound-building mice is much lower than that of house mice, but young mound-building mice show a much greater inclination towards climbing than adult mound-building mice.</t>
  </si>
  <si>
    <t>[Bardos, B.; Nagy, I.] Hungarian Univ Agr &amp; Life Sci, Dept Anim Sci, Kaposvar, Hungary; [Bardos, B.; Altbacker, V.] Hungarian Univ Agr &amp; Life Sci, Dept Nat Conservat, Kaposvar, Hungary; [Szabo, A.; Torok, H. K.] Hungarian Univ Agr &amp; Life Sci, Dept Physiol &amp; Anim Hlth, Kaposvar, Hungary</t>
  </si>
  <si>
    <t>Hungarian University of Agriculture &amp; Life Sciences; Hungarian University of Agriculture &amp; Life Sciences; Hungarian University of Agriculture &amp; Life Sciences</t>
  </si>
  <si>
    <t>Nagy, I (corresponding author), Hungarian Univ Agr &amp; Life Sci, Dept Anim Sci, 40 Guba S, H-7400 Kaposvar, Hungary.</t>
  </si>
  <si>
    <t>nagy.istvan.prof@uni-mate.hu</t>
  </si>
  <si>
    <t>Nemzeti Kutatasi Fejlesztesi es Innovacios Hivatal [K128177, NKFI-6]</t>
  </si>
  <si>
    <t>Nemzeti Kutatasi Fejlesztesi es Innovacios Hivatal(National Research, Development &amp; Innovation Office (NRDIO) - Hungary)</t>
  </si>
  <si>
    <t>K128177 (NKFI-6; Nemzeti Kutatasi Fejlesztesi es Innovacios Hivatal).</t>
  </si>
  <si>
    <t>2475-0263</t>
  </si>
  <si>
    <t>EUR ZOOL J</t>
  </si>
  <si>
    <t>Eur. Zool. J.</t>
  </si>
  <si>
    <t>JUL 11</t>
  </si>
  <si>
    <t>10.1080/24750263.2023.2217207</t>
  </si>
  <si>
    <t>H9HI1</t>
  </si>
  <si>
    <t>WOS:000998981800001</t>
  </si>
  <si>
    <t>Deo, V; Grover, G</t>
  </si>
  <si>
    <t>Deo, Vishal; Grover, Gurprit</t>
  </si>
  <si>
    <t>Estimating quality adjusted life years in the absence of standard utility values - a dynamic joint modeling approach</t>
  </si>
  <si>
    <t>Cost-effectiveness analysis; Health economics; HIV; AIDS; QALY; Utility function; Weibull AFT survival model; &gt;</t>
  </si>
  <si>
    <t>COST-EFFECTIVENESS; INDIAN ADULTS; SURVIVAL; HEALTH; CD4; TIME; MULTIATTRIBUTE; PROBABILITIES; COUNTS; CARE</t>
  </si>
  <si>
    <t>Estimation of Quality Adjusted Life Years (QALYs) is pivotal toward cost-effectiveness analysis (CEA) of medical interventions. The popular multi-state decision analytic modeling approach to CEA uses standard utility values assigned to each disease state to estimate QALY. In this paper, we have formulated a new approach to estimate QALY by defining utility as a function of a longitudinal covariate significantly associated with disease progression. Association parameter between the longitudinal covariate and survival times has been estimated through joint modeling of the longitudinal and the Weibull accelerated failure time survival model. MCMC techniques have been used to predict expected survival times of each censored case using the fitted model. Time-dependent utility values, calculated using projected values of the longitudinal covariate, have been used to evaluate QALYs for each patient. Proposed methodology has been demonstrated on a retrospective survival data of HIV/AIDS patients. A simulation exercise has also been carried out to gauge the predictive capability of the joint model in projecting the values of the longitudinal covariate. Results show that the proposed dynamic approach to estimate QALY can be a promising alternative to the popular multi-state decision analytic modeling approach, especially when the standard utility values are not available.</t>
  </si>
  <si>
    <t>[Deo, Vishal] Univ Delhi, Ramjas Coll, Dept Stat, Delhi 110007, India; [Grover, Gurprit] Univ Delhi, Fac Math Sci, Dept Stat, Delhi, India</t>
  </si>
  <si>
    <t>University of Delhi; University of Delhi</t>
  </si>
  <si>
    <t>Deo, V (corresponding author), Univ Delhi, Ramjas Coll, Dept Stat, Delhi 110007, India.</t>
  </si>
  <si>
    <t>vishaaldeo@gmail.com</t>
  </si>
  <si>
    <t>10.1080/03610918.2023.2235887</t>
  </si>
  <si>
    <t>M3RT2</t>
  </si>
  <si>
    <t>WOS:001029397600001</t>
  </si>
  <si>
    <t>Dewaele, JM; Alsuhaibani, Y; Altalhab, S; Alghamdi, W</t>
  </si>
  <si>
    <t>Dewaele, Jean-Marc; Alsuhaibani, Yasser; Altalhab, Sultan; Alghamdi, Wejdan</t>
  </si>
  <si>
    <t>How frequency and intensity of exposure to a foreign language boosts its emotional resonance</t>
  </si>
  <si>
    <t>INTERNATIONAL JOURNAL OF MULTILINGUALISM</t>
  </si>
  <si>
    <t>Emotions; emotional resonance; individual differences; Arabic; English; &gt;</t>
  </si>
  <si>
    <t>WORDS</t>
  </si>
  <si>
    <t>This cross-sectional study seeks to compare levels of emotional resonance in Arabic and English and identify the effects of sociobiographical factors, the history of English language learning and the current use of English on the development of emotional resonance of English among 141 bi- and multilingual Arab pupils and students in Saudi Arabia. Arabic was found to have a significantly stronger emotional resonance than English. Higher scores on emotional resonance in English were found among female participants, participants who had attended English-speaking primary (but not secondary schools), and participants who were using English intensely and frequently at the time of the data collection. We argue that all these factors contribute directly and indirectly to higher proficiency and increased embodiment of English.</t>
  </si>
  <si>
    <t>[Dewaele, Jean-Marc] Birkbeck Univ London, Languages Cultures &amp; Appl Linguist, London, England; [Alsuhaibani, Yasser; Altalhab, Sultan] King Saud Univ, Coll Educ, Curriculum &amp; Instruct Dept, Riyadh, Saudi Arabia; [Alghamdi, Wejdan] UCL, Dept Culture Commun &amp; Media, London, England; [Dewaele, Jean-Marc] Birkbeck Univ London, Languages Cultures &amp; Appl Linguist, London WC1E 7HX, England</t>
  </si>
  <si>
    <t>University of London; Birkbeck University London; King Saud University; University of London; University College London; University of London; Birkbeck University London</t>
  </si>
  <si>
    <t>Dewaele, JM (corresponding author), Birkbeck Univ London, Languages Cultures &amp; Appl Linguist, London WC1E 7HX, England.</t>
  </si>
  <si>
    <t>j.dewaele@bbk.ac.uk</t>
  </si>
  <si>
    <t>Alsuhaibani, Yasser/0000-0002-0689-1620; Dewaele, Jean-Marc/0000-0001-8480-0977; Altalhab, Sultan/0000-0002-9882-511X</t>
  </si>
  <si>
    <t>1479-0718</t>
  </si>
  <si>
    <t>1747-7530</t>
  </si>
  <si>
    <t>INT J MULTILING</t>
  </si>
  <si>
    <t>Int. J. Multiling.</t>
  </si>
  <si>
    <t>10.1080/14790718.2023.2233551</t>
  </si>
  <si>
    <t>L9ZF7</t>
  </si>
  <si>
    <t>WOS:001026776600001</t>
  </si>
  <si>
    <t>Flam, SD</t>
  </si>
  <si>
    <t>Flam, Sjur Didrik</t>
  </si>
  <si>
    <t>Convexity, convolution and competitive equilibrium</t>
  </si>
  <si>
    <t>Convexity; convolution; competitive equilibrium</t>
  </si>
  <si>
    <t>This paper considers a chief interface between mathematical programming and economics, namely: money-based trade of perfectly divisible and transferable goods. Three important and related features are singled out here: first, convexity enters via acceptable payments, second, convolution of monetary criteria secures Pareto efficiency, and third, competitive equilibrium obtains when agents' subdifferentials intersect.</t>
  </si>
  <si>
    <t>[Flam, Sjur Didrik] Univ Bergen, Informat Dept, Bergen, Norway</t>
  </si>
  <si>
    <t>University of Bergen</t>
  </si>
  <si>
    <t>Flam, SD (corresponding author), Univ Bergen, Informat Dept, Bergen, Norway.</t>
  </si>
  <si>
    <t>sjur.flaam@uib.no</t>
  </si>
  <si>
    <t>10.1080/02331934.2023.2231001</t>
  </si>
  <si>
    <t>L8DM0</t>
  </si>
  <si>
    <t>WOS:001025510300001</t>
  </si>
  <si>
    <t>Iaquinta, G; Scalzulli, E; Angeloni, S; Carmosino, I; Costa, A; Ielo, C; Passucci, M; Masucci, C; Martelli, M; Grammatico, P; Breccia, M</t>
  </si>
  <si>
    <t>Iaquinta, Giovanni; Scalzulli, Emilia; Angeloni, Silvia; Carmosino, Ida; Costa, Alessandro; Ielo, Claudia; Passucci, Mauro; Masucci, Chiara; Martelli, Maurizio; Grammatico, Paola; Breccia, Massimo</t>
  </si>
  <si>
    <t>CCND2 mutations in atypical chronic myeloid leukemia: a report of two cases</t>
  </si>
  <si>
    <t>Atypical chronic myeloid leukemia (aCML) is a rare MDS/MPN disease characterized by the absence of BCR::ABL1 rearrangement and well known typical mutations associated with myeloproliferative disorders. Mutational landscape associated with this disease was recently described with frequent involvement of SET BP1 and ET NK1 mutations. CCND2 mutations have not been frequently detected in MPN or MDS/MPN patients. We describe two cases of aCML with two CCND2 mutations in 280 and 281 codons which rapidly develop progressive characteristics, and we reviewed the literature about this unfavorable association, suggesting a role as a new possible marker of aggressive disease.</t>
  </si>
  <si>
    <t>[Iaquinta, Giovanni; Angeloni, Silvia; Grammatico, Paola] Sapienza Univ, San Camillo Forlanini Hosp, Dept Expt Med, UOC Med Genet Lab, Rome, Italy; [Scalzulli, Emilia; Carmosino, Ida; Costa, Alessandro; Ielo, Claudia; Passucci, Mauro; Masucci, Chiara; Martelli, Maurizio; Breccia, Massimo] Az Policlin Umberto I Sapienza Univ, Dept Translat &amp; Precis Med, Rome, Italy; [Breccia, Massimo] Univ Roma La Sapienza, Hematol Cellular biotechnol &amp; hematol, Via Benevento 6, I-00161 Rome, Italy</t>
  </si>
  <si>
    <t>Sapienza University Rome; Azienda Ospedaliera San Camillo-Forlanini; Sapienza University Rome</t>
  </si>
  <si>
    <t>Breccia, M (corresponding author), Univ Roma La Sapienza, Hematol Cellular biotechnol &amp; hematol, Via Benevento 6, I-00161 Rome, Italy.</t>
  </si>
  <si>
    <t>breccia@bce.uniroma1.it</t>
  </si>
  <si>
    <t>Costa, Alessandro/0000-0002-7726-2936; Iaquinta, Giovanni/0009-0004-6616-5884</t>
  </si>
  <si>
    <t>10.1080/10428194.2023.2232495</t>
  </si>
  <si>
    <t>M2TS3</t>
  </si>
  <si>
    <t>WOS:001028761900001</t>
  </si>
  <si>
    <t>Laini, A; Stubbington, R; Beermann, AJ; Burgazzi, G; Datry, T; Viaroli, P; Wilkes, M; Zizka, VMA; Saccò, M; Leese, F</t>
  </si>
  <si>
    <t>Laini, A.; Stubbington, R.; Beermann, A. J.; Burgazzi, G.; Datry, T.; Viaroli, P.; Wilkes, M.; Zizka, V. M. A.; Sacco, M.; Leese, F.</t>
  </si>
  <si>
    <t>Dissecting biodiversity: assessing the taxonomic, functional and phylogenetic structure of an insect metacommunity in a river network using morphological and metabarcoding data</t>
  </si>
  <si>
    <t>Exact sequence variant; IRES; taxonomic sufficiency; habitat filtering; taxonomic surrogacy</t>
  </si>
  <si>
    <t>MULTIPLE SEQUENCE ALIGNMENT; GENETIC-STRUCTURE; SPECIES RICHNESS; HIGHER TAXA; R PACKAGE; DIVERSITY; DISPERSAL; PATTERNS; STREAMS; LEVEL</t>
  </si>
  <si>
    <t>Most empirical metacommunity studies rely solely on morphological identification of taxa, precluding the species-level identification of several biotic groups, which can influence the characterization of metacommunities. DNA metabarcoding enables inference of species and even intraspecific diversity from community samples but has rarely been used to infer metacommunity structure. Here, we combined morphology and metabarcoding to improve the characterization of an insect metacommunity at different identification levels. We included measures of taxonomic, functional and phylogenetic richness, and we evaluated drivers affecting metacommunity structure (i.e., environmental filtering and dispersal). Communities were sampled from an area that included nine perennial, two near-perennial and two intermittent sites in a river network characterized by high hydrological variability. We identified organisms to a mixed (family to species) taxonomic level using morphology, and to operational taxonomic unit (OTU) and haplotype levels using metabarcoding of the mitochondrial cytochrome c oxidase gene. Diptera and Ephemeroptera showed the greatest increases in taxonomic and phylogenetic richness but not biological trait richness with increasing taxonomic resolution. The joint effect of environmental filtering and dispersal was more important than their individual effects in shaping metacommunity structure at all identification levels. Mixed-level and OTU-level identification were more effective than family and haplotype in characterizing the drivers of metacommunity structure. We demonstrate that the greater taxonomic resolution enabled by metabarcoding could improve understanding of metacommunities within river networks, thus enhancing our capacity to predict ecological responses in ecosystems adapting to global change.</t>
  </si>
  <si>
    <t>[Laini, A.; Burgazzi, G.; Viaroli, P.] Univ Parma, Dept Chem Life Sci &amp; Environm Sustainabil, Parma, Italy; [Laini, A.] Univ Torino, Dept Life Sci &amp; Syst Biol, Turin, Italy; [Stubbington, R.] Nottingham Trent Univ, Sch Sci &amp; Technol, Nottingham, England; [Beermann, A. J.; Leese, F.] Univ Duisburg Essen, Aquat Ecosyst Res, Essen, Germany; [Beermann, A. J.; Leese, F.] Univ Duisburg Essen, Ctr Water &amp; Environm Res ZWU, Essen, Germany; [Burgazzi, G.] Inst Environm Sci, RPTU Kaiserslautern Landau, Landau, Germany; [Datry, T.] Ctr Lyon Villeurbanne, INRAE, UR RiverLy, Villeurbanne, France; [Wilkes, M.] Univ Essex, Sch Life Sci, Colchester, Essex, England; [Zizka, V. M. A.] Zool Res Museum Alexander Koenig, Ctr Biodivers Monitoring, Bonn, Germany; [Sacco, M.] Curtin Univ, Sch Mol &amp; Life Sci, Trace &amp; Environm DNA TrEnD Lab, Subterranean Res &amp; Groundwater Ecol SuRGE Grp, Perth, WA, Australia</t>
  </si>
  <si>
    <t>University of Parma; University of Turin; Nottingham Trent University; University of Duisburg Essen; University of Duisburg Essen; INRAE; University of Essex; Zoologisches Forschungsmuseum Alexander Koenig (ZFMK); Curtin University</t>
  </si>
  <si>
    <t>Laini, A (corresponding author), Univ Torino, Dept Life Sci &amp; Syst Biol, Turin, Italy.</t>
  </si>
  <si>
    <t>alex.laini@unito.it</t>
  </si>
  <si>
    <t>Wilkes, Martin/0000-0002-2377-3124; Laini, Alex/0000-0002-3458-7538; Burgazzi, Gemma/0000-0002-9612-6518; Sacco, Mattia/0000-0001-6535-764X; Stubbington, Rachel/0000-0001-8475-5109</t>
  </si>
  <si>
    <t>COST Action DNAqua-Net [CA15219]</t>
  </si>
  <si>
    <t>COST Action DNAqua-Net(European Cooperation in Science and Technology (COST))</t>
  </si>
  <si>
    <t>This work was partially funded by the Project NOACQUA: responses of communities and ecosystem processes in intermittent rivers, awarded by Ministero dell'Istruzione, dell'Universita e della Ricerca, PRIN-Bando 2015, [Prot. 201572HW8F]. A. L. was supported by a grant for a short-term scientific mission to the University of Duisburg-Essen, Germany, as part of COST Action CA15113 (SMIRES, Science and Management of Intermittent Rivers and Ephemeral Streams, www.smires.eu).</t>
  </si>
  <si>
    <t>10.1080/24750263.2023.2197924</t>
  </si>
  <si>
    <t>E2UP8</t>
  </si>
  <si>
    <t>WOS:000974151800001</t>
  </si>
  <si>
    <t>Llibre, J; Valls, C</t>
  </si>
  <si>
    <t>Llibre, Jaume; Valls, Claudia</t>
  </si>
  <si>
    <t>Reversible global centres with quintic homogeneous nonlinearities</t>
  </si>
  <si>
    <t>DYNAMICAL SYSTEMS-AN INTERNATIONAL JOURNAL</t>
  </si>
  <si>
    <t>Centre; global centre; polynomial differential systems</t>
  </si>
  <si>
    <t>POLYNOMIAL SYSTEMS</t>
  </si>
  <si>
    <t>centre of a differential system in the plane R-2 is a singular point p having a neighbourhood U such that U \ {p} is filled of periodic orbits. A global centre is a centre p such that R-2 \ {p} is filled of periodic orbits. To determine if a given differential system has a centre is in general a difficult problem, but it is even harder to know if it has a global centre. In the present paper we deal with the class of polynomial differential systems of the form (x) over dot = -y + P(x, y), (y) over dot = x + Q(x,y), (1) where P and Q are homogeneous polynomials of degree n. It is known that these systems can have global centres only if n is odd and the global centres in the cases n = 1 and n = 3 are known. Here we work with the case n = 5 and we classify the global centres of a four parameter family of systems (1). In particular we illustrate how to study the local phase portraits of the singular points whose linear part is identically zero using only vertical blow ups.</t>
  </si>
  <si>
    <t>[Llibre, Jaume] Univ Autonoma Barcelona, Dept Matemat, Barcelona, Spain; [Valls, Claudia] Univ Lisbon, Inst Super Tecn, Dept Matemat, Lisbon, Portugal</t>
  </si>
  <si>
    <t>Autonomous University of Barcelona; Universidade de Lisboa; Instituto Superior Tecnico</t>
  </si>
  <si>
    <t>Valls, C (corresponding author), Univ Lisbon, Inst Super Tecn, Dept Matemat, Lisbon, Portugal.</t>
  </si>
  <si>
    <t>cvalls@math.ist.utl.pt</t>
  </si>
  <si>
    <t>Agencia Estatal de Investigacion [PID2019-104658GB-I00]; H2020 European Research Council [MSCA-RISE-2017-777911]; FCT/Portugal through CAMGSD; IST-ID [UIDB/04459/2020, UIDP/04459/2020]</t>
  </si>
  <si>
    <t>Agencia Estatal de Investigacion; H2020 European Research Council(Horizon 2020European Research Council (ERC)); FCT/Portugal through CAMGSD; IST-ID</t>
  </si>
  <si>
    <t>The first author is supported by the Agencia Estatal de Investigacion grant PID2019-104658GB-I00 and the H2020 European Research Council grant MSCA-RISE-2017-777911. The second author is partially supported by FCT/Portugal through CAMGSD, IST-ID, projects UIDB/04459/2020 and UIDP/04459/2020.</t>
  </si>
  <si>
    <t>1468-9367</t>
  </si>
  <si>
    <t>1468-9375</t>
  </si>
  <si>
    <t>DYNAM SYST</t>
  </si>
  <si>
    <t>Dynam. Syst.</t>
  </si>
  <si>
    <t>10.1080/14689367.2023.2228737</t>
  </si>
  <si>
    <t>Mathematics, Applied; Physics, Mathematical</t>
  </si>
  <si>
    <t>Mathematics; Physics</t>
  </si>
  <si>
    <t>L9QC1</t>
  </si>
  <si>
    <t>WOS:001026531000001</t>
  </si>
  <si>
    <t>Pinszke, A; Remisiewicz, M</t>
  </si>
  <si>
    <t>Pinszke, A.; Remisiewicz, M.</t>
  </si>
  <si>
    <t>Long-term changes in autumn migration timing of Garden Warblers Sylvia borin at the southern Baltic coast in response to spring, summer and autumn temperatures</t>
  </si>
  <si>
    <t>Climate change; autumn migration; migration phenology; carry-over effect; Sylvia borin</t>
  </si>
  <si>
    <t>NORTH-ATLANTIC OSCILLATION; BIRD MIGRATION; CLIMATE-CHANGE; DISTANCE MIGRANTS; ANNUAL CYCLE; PHENOLOGY; SHIFTS; EUROPE; SONGBIRDS; STRONGER</t>
  </si>
  <si>
    <t>Many migrant European birds have been departing their breeding grounds earlier in recent decades in response to rising temperatures from climate change. We examined long-term changes in the autumn migration timing of immature Garden Warblers using data from ringing station Bukowo-Kopan on the Polish Baltic coast in 1967-2018. We calculated an Annual Anomaly (AA) of migration and the dates when 10%, 50% and 90% of migrating birds were caught at each station. We modelled AA and the dates of these percentiles of passage for each station against the year and bi-monthly spring, summer and autumn temperatures as explanatory variables in multiple linear regression models. The overall passage (AA) of immature Garden Warblers advanced by 7 days and the dates of the 50th and 90th passage percentiles advanced by 6-11 days. Overall passage, and dates for 50% of passage occurred later the higher summer temperatures rose in Finland. We suggest favourable foraging conditions in warm summers at these breeding grounds and at first stopover sites delayed the passage because these inexperienced birds took advantage of the conditions to accumulate fuel before migrating south. The overall passage, and the dates of 10%, 50% and 90% of autumn passage occurred the earlier the higher were spring temperatures on spring migration route in Italy, and the higher were mean summer temperatures at breeding grounds in southern Sweden and Norway. We suggest a trans-generation carry-over effect, as warm springs encourage early arrival and nesting of returning adults, thus earlier broods and hatching of juveniles, which also grow faster in warm summers. These effects enable immatures to migrate earlier in autumn after a warm breeding season. The long-term increase in Europe's spring and summer temperatures thus help explain the shift in Garden Warblers' migration timing.</t>
  </si>
  <si>
    <t>[Pinszke, A.; Remisiewicz, M.] Univ Gdansk, Fac Biol, Bird Migrat Res Stn, Wita Stwosza 59, PL-80308 Gdansk, Poland</t>
  </si>
  <si>
    <t>Fahrenheit Universities; University of Gdansk</t>
  </si>
  <si>
    <t>Remisiewicz, M (corresponding author), Univ Gdansk, Fac Biol, Bird Migrat Res Stn, Wita Stwosza 59, PL-80308 Gdansk, Poland.</t>
  </si>
  <si>
    <t>magdalena.remisiewicz@ug.edu.pl</t>
  </si>
  <si>
    <t>Remisiewicz, Magdalena/B-2417-2012</t>
  </si>
  <si>
    <t>Remisiewicz, Magdalena/0000-0002-3613-5738; Pinszke, Agata/0000-0001-7419-9540</t>
  </si>
  <si>
    <t>10.1080/24750263.2023.2192239</t>
  </si>
  <si>
    <t>C4ZX9</t>
  </si>
  <si>
    <t>WOS:000962025300001</t>
  </si>
  <si>
    <t>Poretti, C; Jérôme, T; Brousseau, C</t>
  </si>
  <si>
    <t>Poretti, Cedric; Jerome, Tiphaine; Brousseau, Carl</t>
  </si>
  <si>
    <t>Family identification and earnings management in listed firms</t>
  </si>
  <si>
    <t>ACCOUNTING IN EUROPE</t>
  </si>
  <si>
    <t>Earnings management; eponymous firms; family firms; family identification; IFRS turn away; &gt;</t>
  </si>
  <si>
    <t>SAMPLE SELECTION BIAS; SOCIOEMOTIONAL WEALTH; ECONOMIC CONSEQUENCES; SOCIAL-RESPONSIBILITY; PRIVATE; QUALITY; OWNERSHIP; IDENTITY; IFRS; INVOLVEMENT</t>
  </si>
  <si>
    <t>In this paper, we investigate the earnings management behavior of listed family firms holding the name of the family (eponymous FF). Specifically, we use a Swiss sample of 1,544 firm-year observations from 2006 to 2018 to examine the association of eponymous FF with accrual-based earnings management in general, and identify circumstances where this association does not hold. First, we find that, on average, eponymous FF exhibit less earnings management than non-FF. Second, we exploit a Swiss-specific option to voluntarily turn away from IFRS to local GAAP. Using a difference-in-differences approach, we find that eponymous FF exhibit higher levels of earnings management immediately after the switch. Finally, we show that eponymous FF exhibit higher earnings management when the family is directly involved in the board of directors or the managing board. Our findings provide a more nuanced understanding of the effects of family identification on earnings management incentives in listed firms.</t>
  </si>
  <si>
    <t>[Poretti, Cedric] HES SO Univ Appl Sci &amp; Arts Western Switzerland, EHL Hospitality Business Sch, Delemont, Switzerland; [Jerome, Tiphaine] Univ Grenoble Alpes, Grenoble INP, CERAG, F-38000 Grenoble, France; [Brousseau, Carl] Laval Univ, Sch Accounting, Quebec City, PQ, Canada; [Poretti, Cedric] EHL Hospitality Business Sch, Lausanne, Switzerland</t>
  </si>
  <si>
    <t>University of Applied Sciences &amp; Arts Western Switzerland; UDICE-French Research Universities; Communaute Universite Grenoble Alpes; Institut National Polytechnique de Grenoble; Universite Grenoble Alpes (UGA); Centre National de la Recherche Scientifique (CNRS); Laval University</t>
  </si>
  <si>
    <t>Poretti, C (corresponding author), EHL Hospitality Business Sch, Lausanne, Switzerland.</t>
  </si>
  <si>
    <t>cedric.poretti@ehl.ch</t>
  </si>
  <si>
    <t>1744-9480</t>
  </si>
  <si>
    <t>1744-9499</t>
  </si>
  <si>
    <t>ACCOUNT EUR</t>
  </si>
  <si>
    <t>Account. Eur.</t>
  </si>
  <si>
    <t>10.1080/17449480.2023.2231964</t>
  </si>
  <si>
    <t>M1BV7</t>
  </si>
  <si>
    <t>WOS:001027579700001</t>
  </si>
  <si>
    <t>Sachedina, A</t>
  </si>
  <si>
    <t>Sachedina, Amal</t>
  </si>
  <si>
    <t>The Ideal Islamic Polity: History-Making and the Modern Nation-State in Khoja-Moolji's Sovereign Attachments</t>
  </si>
  <si>
    <t>[Sachedina, Amal] Princeton Univ, Dept Near Eastern Studies, Princeton, NJ USA; [Sachedina, Amal] Princeton Univ, 313B Stanworth Lane, Princeton, NJ 08540 USA</t>
  </si>
  <si>
    <t>Sachedina, A (corresponding author), Princeton Univ, 313B Stanworth Lane, Princeton, NJ 08540 USA.</t>
  </si>
  <si>
    <t>amalsachedina@hotmail.com</t>
  </si>
  <si>
    <t>10.1080/1462317X.2023.2234206</t>
  </si>
  <si>
    <t>L9QP7</t>
  </si>
  <si>
    <t>WOS:001026545800001</t>
  </si>
  <si>
    <t>Shou, YY; Olney, J</t>
  </si>
  <si>
    <t>Shou, Yiyun; Olney, Joel</t>
  </si>
  <si>
    <t>Measuring Risk Tolerance across Domains: Scale Development and Validation (vol 104, pg 484, 2021)</t>
  </si>
  <si>
    <t>JOURNAL OF PERSONALITY ASSESSMENT</t>
  </si>
  <si>
    <t>0022-3891</t>
  </si>
  <si>
    <t>1532-7752</t>
  </si>
  <si>
    <t>J PERS ASSESS</t>
  </si>
  <si>
    <t>J. Pers. Assess.</t>
  </si>
  <si>
    <t>10.1080/00223891.2023.2233351</t>
  </si>
  <si>
    <t>Psychology, Clinical; Psychology, Social</t>
  </si>
  <si>
    <t>P4IJ1</t>
  </si>
  <si>
    <t>WOS:001035628400001</t>
  </si>
  <si>
    <t>van Putten, S; Blom, N; Dibane, Z</t>
  </si>
  <si>
    <t>van Putten, Sonja; Blom, Nicolaas; Dibane, Zanele</t>
  </si>
  <si>
    <t>Non-Specialist Primary School Mathematics Teachers' Professional Identity</t>
  </si>
  <si>
    <t>AFRICA EDUCATION REVIEW</t>
  </si>
  <si>
    <t>didactical knowledge expertise; mathematics teacher identity; non-specialist teacher; reflection; subject knowledge expertise; &gt;</t>
  </si>
  <si>
    <t>OUT-OF-FIELD; CONTENT KNOWLEDGE; EXPERIENCES; EDUCATION; CONTEXTS; QUALITY</t>
  </si>
  <si>
    <t>This study explored the mathematics teacher identity (MTI) of three purposefully selected grade 6 non-specialist primary school mathematics teachers. The participants' subject matter knowledge and didactical skills were explored by means of semi-structured interviews, lesson observations, and document analysis of lesson plans. The data were analysed using thematic analysis; themes were predetermined from the conceptual framework, and codes and categories emerged from the semi-structured interview transcriptions. The conceptual framework describes teacher identity in terms of subject knowledge, teaching and learning knowledge, and the skills and ability to care for the learners as people. The analysis of the data indicated that non-specialist primary school mathematics teachers not only lack subject matter knowledge, but also do not have the teaching skills to recognise and address the learners' lack of understanding of concepts. In turn, this influences the teaching and learning of mathematics in their classroom and results are generally poor. In particular, the three participants demonstrated difficulties in explaining new concepts and in employing a learner-centred approach. It is recommended that in-service training workshops be tailored to teach both content and didactics as well as the skills required to become reflective practitioners to better equip non-specialist mathematics teachers for the mathematics classroom.</t>
  </si>
  <si>
    <t>[van Putten, Sonja; Blom, Nicolaas; Dibane, Zanele] Univ Pretoria, Pretoria, South Africa</t>
  </si>
  <si>
    <t>University of Pretoria</t>
  </si>
  <si>
    <t>van Putten, S (corresponding author), Univ Pretoria, Pretoria, South Africa.</t>
  </si>
  <si>
    <t>Sonja.vanputten@up.ac.za</t>
  </si>
  <si>
    <t>Blom, Nicolaas/0000-0002-6919-8380; Dibane, Zanele/0000-0002-9121-7744</t>
  </si>
  <si>
    <t>1814-6627</t>
  </si>
  <si>
    <t>1753-5921</t>
  </si>
  <si>
    <t>AFR EDUC RE</t>
  </si>
  <si>
    <t>Afr. Educ. Rev.</t>
  </si>
  <si>
    <t>MAR 4</t>
  </si>
  <si>
    <t>10.1080/18146627.2023.2225750</t>
  </si>
  <si>
    <t>M7YJ6</t>
  </si>
  <si>
    <t>WOS:001024014000001</t>
  </si>
  <si>
    <t>Zhang, WH; Yue, BS; Zhao, F; Zhi, Y; Wang, XY; Yang, S; Sun, D; Lv, N; Wu, XJ</t>
  </si>
  <si>
    <t>Zhang, Weihua; Yue, Baosen; Zhao, Feng; Zhi, Yuan; Wang, Xiayin; Yang, Shuai; Sun, Dan; Lv, Nan; Wu, Xiaojing</t>
  </si>
  <si>
    <t>Investigating the potential anti-inflammatory mechanism of benzophenone compounds from the leaves of Aquilaria sinensis (Lour.) Gilg based on network pharmacology and molecular docking strategies</t>
  </si>
  <si>
    <t>TOXICOLOGY MECHANISMS AND METHODS</t>
  </si>
  <si>
    <t>Aquilaria sinensis; network pharmacology; molecular docking; inflammation</t>
  </si>
  <si>
    <t>BackgroundAquilaria sinensis (Lour.) Gilg (ASG) has been used as traditional medicine for centuries. However, the active ingredients from leaves and their anti-inflammatory mechanism are rarely reported. The network pharmacology and molecular docking strategies were applied to explore the potential mechanisms of Benzophenone compounds from the leaves of ASG (BLASG) against inflammation.MethodsBLASG-related targets were obtained from the SwissTargetPrediction and PharmMapper databases. Inflammation-associated targets were retrieved from GeneGards, DisGeNET, and CTD databases. Cytoscape software was used to draw a network diagram of BLASG and its corresponding targets. DAVID database was applied for enrichment analyses. A protein-protein interaction (PPI) network was constructed to identify the hub targets of BLASG. Molecular docking analyses were performed by AutoDockTools 1.5.6. Moreover, we used ELISA and qRT-PCR assays to validate the anti-inflammatory effects of BLASG by cell experiments.ResultsFour BLASG were extracted from ASG, and corresponding 225 potential targets were identified. PPI network analysis indicated that SRC, PIK3R1, AKT1, and other targets were the core therapeutic targets. Enrichment analyses revealed that the effects of BLASG are regulated by targets associated with apoptosis and inflammation-related pathways. In addition, molecular docking revealed that BLASG combined well with PI3K and AKT1. Furthermore, BLASG significantly decreased the inflammatory cytokines levels and down-regulated PIK3R1 and AKT1 gene expression in RAW264.7 cells.ConclusionOur study predicted the potential targets and pathways of BLASG against inflammation, which offered a promising strategy to reveal the therapeutic mechanism of natural active components in the treatment of diseases.</t>
  </si>
  <si>
    <t>[Zhang, Weihua; Yue, Baosen; Zhao, Feng; Zhi, Yuan; Wang, Xiayin; Yang, Shuai; Sun, Dan; Lv, Nan; Wu, Xiaojing] Xian Hosp Tradit Chinese Med, Dept Pharm, Xian, Shaanxi, Peoples R China; [Zhang, Weihua] Xian Hosp Tradit Chinese Med, Dept Pharm, 69 Fengcheng,8th Rd, Xian, Shaanxi, Peoples R China</t>
  </si>
  <si>
    <t>Zhang, WH (corresponding author), Xian Hosp Tradit Chinese Med, Dept Pharm, 69 Fengcheng,8th Rd, Xian, Shaanxi, Peoples R China.</t>
  </si>
  <si>
    <t>zhangwh002212@126.com</t>
  </si>
  <si>
    <t>1537-6516</t>
  </si>
  <si>
    <t>1537-6524</t>
  </si>
  <si>
    <t>TOXICOL MECH METHOD</t>
  </si>
  <si>
    <t>Toxicol. Mech. Methods</t>
  </si>
  <si>
    <t>10.1080/15376516.2023.2223291</t>
  </si>
  <si>
    <t>S3UG7</t>
  </si>
  <si>
    <t>WOS:001024166900001</t>
  </si>
  <si>
    <t>Suicide Voices: Labor Trauma in France</t>
  </si>
  <si>
    <t>10.1080/07481187.2023.2232168</t>
  </si>
  <si>
    <t>M2TE6</t>
  </si>
  <si>
    <t>WOS:001028748200001</t>
  </si>
  <si>
    <t>Aricioglu, AK; Yakar, G; Gürcan, A</t>
  </si>
  <si>
    <t>Aricioglu, Ali Kursad; Yakar, Gulay; Gurcan, Ali</t>
  </si>
  <si>
    <t>Different-sized thermoelectric cooler modules operated by a thermoelectric generator system</t>
  </si>
  <si>
    <t>Electrical power; thermoelectric cooler; thermoelectric generator; turbocharged tractor; &gt;</t>
  </si>
  <si>
    <t>WASTE HEAT-RECOVERY; POWER; PERFORMANCE; DRIVEN</t>
  </si>
  <si>
    <t>This study produced a numerically optimum design of a mini refrigerator with a thermoelectric cooler (TEC) powered by a thermoelectric generator (TEG) system in a turbocharged tractor. The effect of the cross-sectional areas of the thermocouples constituting the TEC on the energy transformation from electricity to thermal was examined. Analyses were performed for five different modules; the p- and n-type thermocouple numbers of each of these were also the same. Thus, the effect of the distance between thermocouples on the performance of the TEC module could be determined. This is the significance of the current study for the literature. The results of the analysis using the Ansys-Thermal-Electric software were for one TEC module of each different size. According to the results of the numerical analysis, the increase in electric current in the TB-127-1.2-1.3 module was 42% compared to the TB-127-1.0-1.3 commercial module. Moreover, the cooling power of the TB-127-1.2-1.3 module was 42.72% higher than the cooling power of the TB-127-1.0-1.3 commercial module. The electrical power requirement of the TEC modules, except for the TB-127-1.1-1.3 and TB-127-1.2-1.3 TEC modules, could be met with all the TEG modules at an outdoor temperature of 30 &amp; DEG;C.</t>
  </si>
  <si>
    <t>[Aricioglu, Ali Kursad] Akdeniz Univ, Dept Mech Engn, Antalya, Turkiye; [Yakar, Gulay] Pamukkale Univ, Dept Mech Engn, Denizli, Turkiye; [Gurcan, Ali] Istanbul Gelisim Univ, Dept Mech, Istanbul, Turkiye; [Yakar, Gulay] Pamukkale Univ, Dept Mech Engn, TR-20160 Denizli, Turkiye</t>
  </si>
  <si>
    <t>Akdeniz University; Pamukkale University; Istanbul Gelisim University; Pamukkale University</t>
  </si>
  <si>
    <t>Yakar, G (corresponding author), Pamukkale Univ, Dept Mech Engn, TR-20160 Denizli, Turkiye.</t>
  </si>
  <si>
    <t>gyakar@pau.edu.tr</t>
  </si>
  <si>
    <t>Arıcıoğlu, Ali Kürşad/AAJ-8835-2021</t>
  </si>
  <si>
    <t>Arıcıoğlu, Ali Kürşad/0000-0001-6293-4237; GURCAN, Ali/0000-0002-2745-1413</t>
  </si>
  <si>
    <t>Pamukkale University Scientific Research Projects Council, Turkey [2018FEBE035]</t>
  </si>
  <si>
    <t>Pamukkale University Scientific Research Projects Council, Turkey(Pamukkale University)</t>
  </si>
  <si>
    <t>The authors would like to express their appreciation to the Pamukkale University Scientific Research Projects Council, Turkey, Report No. 2018FEBE035 for providing financial support for Gurcan [35]'s Master's Thesis.</t>
  </si>
  <si>
    <t>2023 JUL 10</t>
  </si>
  <si>
    <t>10.1080/10407782.2023.2235075</t>
  </si>
  <si>
    <t>L9GY9</t>
  </si>
  <si>
    <t>WOS:001026288400001</t>
  </si>
  <si>
    <t>Schaetz, N; Lischka, JA; Laugwitz, L</t>
  </si>
  <si>
    <t>Schaetz, Nadja; Lischka, Juliane A.; Laugwitz, Laura</t>
  </si>
  <si>
    <t>Datafication of Journalism: How Data Elites and Epistemic Infrastructures Change News Organizations</t>
  </si>
  <si>
    <t>DIGITAL JOURNALISM</t>
  </si>
  <si>
    <t>Computational journalism; data; datafication; epistemology; sociotechnical perspective; technology; technological skills; epistemic infrastructures; &gt;</t>
  </si>
  <si>
    <t>BOUNDARY WORK; ANALYTICS</t>
  </si>
  <si>
    <t>Data has become an increasingly important commodity for news organizations. The capability to extract, store, and analyze data is also central to organizational decision-making. Drawing on the concept of epistemic infrastructures, this study sheds light on organizational datafication in journalism. Analyzing job advertisements of incumbent broadcast, print legacy, and online-only news outlets in the US and UK, this study traces material underpinnings of data architectures, networks of data agents, and epistemic data paradigms in news organizations. We show that a professional data elite of data analysts, engineers, and product developers serves as an epistemic community that consolidates power through epistemic authority and reinforces epistemic paradigms in journalism. We describe epistemic data infrastructures in the journalistic field and highlight how reliance on these infrastructures contributes to ethical challenges that news organizations are ill-equipped to address. We conclude that news organizations are deeply engaged in fostering epistemic infrastructures and that by acknowledging them, we can better analyze socio-technological changes in journalism and its consequences.</t>
  </si>
  <si>
    <t>[Schaetz, Nadja; Lischka, Juliane A.; Laugwitz, Laura] Univ Hamburg, Journalism &amp; Commun Studies, Hamburg, Germany</t>
  </si>
  <si>
    <t>University of Hamburg</t>
  </si>
  <si>
    <t>Schaetz, N (corresponding author), Univ Hamburg, Journalism &amp; Commun Studies, Hamburg, Germany.</t>
  </si>
  <si>
    <t>nadja.schaetz@uni-hamburg.de</t>
  </si>
  <si>
    <t>; Laugwitz, Laura/GOP-0178-2022</t>
  </si>
  <si>
    <t>Lischka, Juliane A./0000-0002-4845-0946; Laugwitz, Laura/0000-0001-8527-2504; Schaetz, Nadja/0000-0001-6692-3471</t>
  </si>
  <si>
    <t>2167-0811</t>
  </si>
  <si>
    <t>2167-082X</t>
  </si>
  <si>
    <t>DIGIT JOURNAL</t>
  </si>
  <si>
    <t>Digit. Journal.</t>
  </si>
  <si>
    <t>10.1080/21670811.2023.2235601</t>
  </si>
  <si>
    <t>N4OC4</t>
  </si>
  <si>
    <t>WOS:001036814700001</t>
  </si>
  <si>
    <t>Yang, B; Peng, FY; Cheng, C; Wu, ZG; Huang, HB</t>
  </si>
  <si>
    <t>Yang, Biao; Peng, Feiyun; Cheng, Cheng; Wu, Zhaogang; Huang, Hongbin</t>
  </si>
  <si>
    <t>Study on the microwave heating temperature uniformity of an intelligent synergistic mode stirrer</t>
  </si>
  <si>
    <t>JOURNAL OF MICROWAVE POWER AND ELECTROMAGNETIC ENERGY</t>
  </si>
  <si>
    <t>Microwave heating; mode stirrer; level set method; intelligent synergy; finite element; &gt;</t>
  </si>
  <si>
    <t>Aiming at the intercoupling of multiple physics and the time-varying characteristics of boundary conditions in the microwave heating process, how to optimize the temperature uniformity of materials with a cooperative-mode stirrer is focused in this paper. First, the formation of standing waves can be effectively avoided by introducing the mode stirrer, thereby improving the heating efficiency of the material. Description of pattern stirrer motion processes using implicit functions and level set methods. Second, in order to optimize the temperature uniformity of the material, the stirrer is made intelligent, and the electromagnetic field distribution can be optimized by using different stirrer positions and directions, and the temperature uniformity is improved through intelligent coordination of stirrers in different positions. Finally, the finite element method is used to perform numerical simulation calculations on integer and continuous variables. The results show that the proposed method can improve the temperature uniformity of the conventional microwave heating model by 28.2%-81.44% and 23.2%&amp; SIM;63.91% at each level and lead hammer section respectively, and can improve the heating efficiency by 14.8%&amp; SIM;36.4%. According to its performance when heating different shapes and different materials, the proposed method is efficient and feasible.</t>
  </si>
  <si>
    <t>[Yang, Biao; Peng, Feiyun; Cheng, Cheng; Wu, Zhaogang; Huang, Hongbin] Kunming Univ Sci &amp; Technol, Fac Informat Engn &amp; Automat, Kunming, Peoples R China; [Yang, Biao] Kunming Univ Sci &amp; Technol, Minist Educ, Key Lab Unconvent Met, Kunming, Peoples R China; [Yang, Biao] Kunming Univ Sci &amp; Technol, Yunnan Key Lab Artificial Intelligence, Kunming, Peoples R China; [Yang, Biao] Kunming Univ Sci &amp; Technol, Fac Informat Engn &amp; Automat, Kunming 650500, Peoples R China</t>
  </si>
  <si>
    <t>Kunming University of Science &amp; Technology; Kunming University of Science &amp; Technology; Kunming University of Science &amp; Technology; Kunming University of Science &amp; Technology</t>
  </si>
  <si>
    <t>Yang, B (corresponding author), Kunming Univ Sci &amp; Technol, Fac Informat Engn &amp; Automat, Kunming 650500, Peoples R China.</t>
  </si>
  <si>
    <t>Biaoykmust@kust.edu.cn</t>
  </si>
  <si>
    <t>National Natural Science Foundation of China [61863020]</t>
  </si>
  <si>
    <t>This work was supported by the National Natural Science Foundation of China (Grant No. 61863020).</t>
  </si>
  <si>
    <t>0832-7823</t>
  </si>
  <si>
    <t>J MICROWAVE POWER EE</t>
  </si>
  <si>
    <t>J. Microw. Power Electromagn. Energy</t>
  </si>
  <si>
    <t>10.1080/08327823.2023.2235550</t>
  </si>
  <si>
    <t>Engineering, Chemical; Engineering, Electrical &amp; Electronic; Materials Science, Multidisciplinary</t>
  </si>
  <si>
    <t>P5GM8</t>
  </si>
  <si>
    <t>WOS:001028705300001</t>
  </si>
  <si>
    <t>Zhao, DL</t>
  </si>
  <si>
    <t>Zhao, Daliang</t>
  </si>
  <si>
    <t>Samatha Meditation, Tao, and Routine Training: Case Study of a World-Class Rifle Athlete</t>
  </si>
  <si>
    <t>JOURNAL OF SPORT PSYCHOLOGY IN ACTION</t>
  </si>
  <si>
    <t>Case study; meditation; mindfulness; nine mental abidings; psychological intervention; Samatha</t>
  </si>
  <si>
    <t>In this study, I developed a meditation-based psychological intervention, named the Samatha Meditation, Tao, and Routine Training (SMTRT), to help a world-class rifle shooting athlete improve his performance in competitions. The SMTRT program is guided by the Buddhist principles of Nine Mental Abidings taking into account the specific characteristics of psychological demands on rifle athletes. The program's efficacy was preliminarily ascertained based on positive qualitative feedback from the participant and his winning performance in a national championship competition. The potential pathways of psychological and behavioral changes and their implications for future practice are discussed.</t>
  </si>
  <si>
    <t>[Zhao, Daliang] Guangzhou Sport Univ, Sch Leisure Sport &amp; Management, Guangzhou, Peoples R China</t>
  </si>
  <si>
    <t>Guangzhou Sport University</t>
  </si>
  <si>
    <t>Zhao, DL (corresponding author), Guangzhou Sport Univ, Sch Leisure Sport &amp; Management, Guangzhou, Peoples R China.</t>
  </si>
  <si>
    <t>daliang_wipe@163.com</t>
  </si>
  <si>
    <t>zhao, daliang/0000-0002-1703-363X</t>
  </si>
  <si>
    <t>2152-0704</t>
  </si>
  <si>
    <t>2152-0712</t>
  </si>
  <si>
    <t>J SPORT PSYCHOL ACTI</t>
  </si>
  <si>
    <t>J. Sport Psychol. Action</t>
  </si>
  <si>
    <t>10.1080/21520704.2023.2234865</t>
  </si>
  <si>
    <t>L7SM2</t>
  </si>
  <si>
    <t>WOS:001025221000001</t>
  </si>
  <si>
    <t>Bennett, D; Knight, E; Li, I</t>
  </si>
  <si>
    <t>Bennett, Dawn; Knight, Elizabeth; Li, Ian</t>
  </si>
  <si>
    <t>The impact of pre-entry work experience on university students' perceived employability</t>
  </si>
  <si>
    <t>JOURNAL OF FURTHER AND HIGHER EDUCATION</t>
  </si>
  <si>
    <t>Career development; experience; higher education; part time work</t>
  </si>
  <si>
    <t>PART-TIME EMPLOYMENT; SELF-EFFICACY; GRADUATE EMPLOYMENT; PERCEPTIONS; PERFORMANCE</t>
  </si>
  <si>
    <t>Much research on the employability development of university students and the employability experience of graduates treats learners as experientially homogenous and ignores the potential impact of pre-entry work experience on either students' confidence or their employability-related behaviours. This study explored the confidence of commencing students aged 17 to 21. The objective was to understand whether and how study and career confidence differs among commencing students according to whether they have never worked, are working whilst studying, or have worked previously and have stopped work. The impact of work experience including that gained prior to university entry is often overlooked when discussing students' perceived employability. This largely quantitative study explores the perceived employability of commencing university students who began their studies soon after finishing high school and compares these self-perceptions relative to work experience. The study employed a self-measure of study and career confidence (Bennett, 2021) grounded in social cognitive career theory with 2,374 full-time students. Differences across the categories were explored using t-tests and multivariate analysis. The analysis concluded that 1,272 students (53.6%) were working at the time of the study, 1,025 students (46.4%) had previously worked but were not working at the time of the study and 77 students (3.2%) had never worked. The findings, illustrated by students' text-based descriptions of their employability development activities, suggest a hierarchical relationship between pre-entry work-experience and more confident self-perceptions of employability. Implications for higher education employability development are discussed.</t>
  </si>
  <si>
    <t>[Bennett, Dawn] Bond Univ, Off Provost, Transformat CoLab, Gold Coast, Australia; [Knight, Elizabeth] Victoria Univ, Mitchell Inst, Melbourne, Australia; [Knight, Elizabeth] James Cook Univ, The Academy, Townsville, Australia; [Li, Ian] Univ Western Australia, Sch Populat &amp; Global Hlth, Perth, Australia</t>
  </si>
  <si>
    <t>Bond University; Victoria University; James Cook University; University of Western Australia</t>
  </si>
  <si>
    <t>Knight, E (corresponding author), Victoria Univ, Mitchell Inst, Melbourne, Australia.</t>
  </si>
  <si>
    <t>lizzie.knight@vu.edu.au</t>
  </si>
  <si>
    <t>Bennett, Dawn/A-7210-2009</t>
  </si>
  <si>
    <t>Bennett, Dawn/0000-0002-0676-1623; Knight, Elizabeth/0000-0001-6596-6525</t>
  </si>
  <si>
    <t>0309-877X</t>
  </si>
  <si>
    <t>1469-9486</t>
  </si>
  <si>
    <t>J FURTH HIGHER EDUC</t>
  </si>
  <si>
    <t>J. Furth Higher Education</t>
  </si>
  <si>
    <t>SEP 14</t>
  </si>
  <si>
    <t>10.1080/0309877X.2023.2220286</t>
  </si>
  <si>
    <t>S6FJ6</t>
  </si>
  <si>
    <t>WOS:001025505700001</t>
  </si>
  <si>
    <t>Coppola, V; Marino, I; Warnken, U; Falchi, M; Pasquini, L; Biffoni, M; De Maria, R; Haas, TL</t>
  </si>
  <si>
    <t>Coppola, Valeria; Marino, Ilaria; Warnken, Uwe; Falchi, Mario; Pasquini, Luca; Biffoni, Mauro; De Maria, Ruggero; Haas, Tobias Longin</t>
  </si>
  <si>
    <t>The autophagic protein FYCO1 controls TNFRSF10/TRAIL receptor induced apoptosis and is inactivated by CASP8 (caspase 8)</t>
  </si>
  <si>
    <t>AUTOPHAGY</t>
  </si>
  <si>
    <t>apoptosis; autophagy; caspase 8; FYCO1; lysosomal degradation; TRAIL; &gt;</t>
  </si>
  <si>
    <t>DEATH RECEPTORS; TRAIL; CLEAVAGE; SUSCEPTIBILITY; INHIBITION; MECHANISMS; RESISTANCE</t>
  </si>
  <si>
    <t>Apoptosis is a tightly controlled cell death program executed by proteases, the so-called caspases. It plays an important role in tissue homeostasis and is often dysregulated in cancer. Here, we identified FYCO1, a protein that promotes microtubule plus end-directed transport of autophagic and endosomal vesicles as a molecular interaction partner of activated CASP8 (caspase 8). The absence of FYCO1 sensitized cells to basal and TNFSF10/TRAIL-induced apoptosis by receptor accumulation and stabilization of the Death Inducing Signaling Complex (DISC). Loss of FYCO1 resulted in impaired transport of TNFRSF10B/TRAIL-R2/DR5 (TNF receptor superfamily member 10b) to the lysosomes in TNFSF10/TRAIL-stimulated cells. More in detail, we show that FYCO1 interacted via its C-terminal GOLD domain with the CCZ1-MON1A complex, which is necessary for RAB7A activation and for the fusion of autophagosomal/endosomal vesicles with lysosomes. We demonstrated that FYCO1 is a novel and specific CASP8 substrate. The cleavage at aspartate 1306 resulted in the release of the C-terminal GOLD domain, inactivating FYCO1 function, and allowing for the progression of apoptosis. Furthermore, the lack of FYCO1 resulted in a stronger and prolonged formation of the TNFRSF1A/TNF-R1 signaling complex. Thus, FYCO1 limits the ligand-induced and steady-state signaling of TNFR-superfamily members, providing a control mechanism that fine-tunes both apoptotic and inflammatory answers.</t>
  </si>
  <si>
    <t>[Coppola, Valeria; Biffoni, Mauro] Ist Super Sanita, Dept Oncol &amp; Mol Med, Rome, RM, Italy; [Marino, Ilaria; De Maria, Ruggero; Haas, Tobias Longin] Univ Cattolica Sacro Cuore, Dept Translat Med &amp; Surg, Rome, RM, Italy; [Warnken, Uwe] German Canc Res Ctr, Funct Prote Anal, Heidelberg, BW, Germany; [Warnken, Uwe] German Canc Res Ctr, Clin Cooperat Unit Neurooncol, Heidelberg, BW, Germany; [Falchi, Mario] Natl AIDS Ctr CNAIDS, Rome, RM, Italy; [Pasquini, Luca] Serv Tecn Sci Grandi Strumentaz &amp; Core Facil FAST, Rome, RM, Italy; [De Maria, Ruggero] Fdn Policlin Univ A Gemelli IRCCS, Rome, RM, Italy; [Haas, Tobias Longin] IIGM Italian Inst Genom Med, Sect Immunotherapy, Candiolo, TO, Italy</t>
  </si>
  <si>
    <t>Istituto Superiore di Sanita (ISS); Catholic University of the Sacred Heart; IRCCS Policlinico Gemelli; Helmholtz Association; German Cancer Research Center (DKFZ); Helmholtz Association; German Cancer Research Center (DKFZ); Catholic University of the Sacred Heart; IRCCS Policlinico Gemelli</t>
  </si>
  <si>
    <t>Coppola, V (corresponding author), Ist Super Sanita, Dept Oncol &amp; Mol Med, Rome, RM, Italy.;Haas, TL (corresponding author), Univ Cattolica Sacro Cuore, Dept Translat Med &amp; Surg, Rome, RM, Italy.</t>
  </si>
  <si>
    <t>valeria.coppola@iss.it; tobiaslongin.haas@unicatt.it</t>
  </si>
  <si>
    <t>Marino, Ilaria/JFK-4053-2023; Falchi, MARIO/IWU-4865-2023; Biffoni, Mauro/J-8318-2016</t>
  </si>
  <si>
    <t>Falchi, MARIO/0000-0002-8290-5406; Biffoni, Mauro/0000-0002-1304-9060</t>
  </si>
  <si>
    <t>Associazione Italiana per la Ricerca sul Cancro; Intesa Sanpaolo Innovation Center [ISP-HGF29_0001]; Ricerca corrente program of Ministero della Salute [RCR-2019-23669115]; Bibliosan-ISS</t>
  </si>
  <si>
    <t>Associazione Italiana per la Ricerca sul Cancro(Fondazione AIRC per la ricerca sul cancro); Intesa Sanpaolo Innovation Center; Ricerca corrente program of Ministero della Salute; Bibliosan-ISS</t>
  </si>
  <si>
    <t>The work was supported by the~Associazione Italiana per la Ricerca sul Cancro [IG Grant 2019]; Intesa Sanpaolo Innovation Center [ISP-HGF29_0001]; Ricerca corrente program of Ministero della Salute [RCR-2019-23669115]; Open access funding provided by Bibliosan-ISS.</t>
  </si>
  <si>
    <t>1554-8627</t>
  </si>
  <si>
    <t>1554-8635</t>
  </si>
  <si>
    <t>Autophagy</t>
  </si>
  <si>
    <t>10.1080/15548627.2023.2229656</t>
  </si>
  <si>
    <t>Q7QY1</t>
  </si>
  <si>
    <t>WOS:001024011600001</t>
  </si>
  <si>
    <t>Granger, KL; Hanish, LD; Abry, T; DeLay, D; Bradley, RH</t>
  </si>
  <si>
    <t>Granger, Kristen L.; Hanish, Laura D.; Abry, Tashia; DeLay, Dawn; Bradley, Robert H.</t>
  </si>
  <si>
    <t>Teachers' Depressive Symptoms and Teacher-Child Conversation Quality in Early Childhood Classrooms</t>
  </si>
  <si>
    <t>HEAD-START CLASSROOMS; LANGUAGE-DEVELOPMENT; ASSOCIATIONS; STUDENT; RISK; CARE; PERCEPTIONS; PREVALENCE; DISORDERS; EDUCATORS</t>
  </si>
  <si>
    <t>Research Findings: We examined whether Head Start teachers' depressive symptoms are associated with their engagement in high-quality conversations with children, and we considered the extent to which this association is consistent across classroom contexts and activities. Observations of Head Start teachers' conversations with children were conducted using a teacher-focal coding system and teachers reported on depressive symptoms. Generalized estimating equations were used to test study hypotheses. Teachers' depressive symptoms were negatively associated with the likelihood that a high-quality conversation would occur during an observation interval. The relation between teacher depressive symptoms and high-quality conversations was negative during both structured settings and free choice settings. This relation also remained negative during play (e.g. art, music) and routine (e.g. personal care, clean up) activities. However, the relation between teacher depressive symptoms and high-quality conversations was not significant during academic activities (e.g. math, books, language). Practice or Policy: Potential explanations, strengths and limitations, and implications for study results are discussed.</t>
  </si>
  <si>
    <t>[Granger, Kristen L.] Vanderbilt Univ, Dept Special Educ, 110 Magnolia Circle, Nashville, TN 37212 USA; [Hanish, Laura D.; Abry, Tashia; DeLay, Dawn; Bradley, Robert H.] Arizona State Univ, T Denny Sanford Sch Social &amp; Family Dynam, Tempe, AZ USA</t>
  </si>
  <si>
    <t>Vanderbilt University; Arizona State University; Arizona State University-Tempe</t>
  </si>
  <si>
    <t>Granger, KL (corresponding author), Vanderbilt Univ, Dept Special Educ, 110 Magnolia Circle, Nashville, TN 37212 USA.</t>
  </si>
  <si>
    <t>kristen.granger@vanderbilt.edu</t>
  </si>
  <si>
    <t>T. Denny Sanford School of Social and Family Dynamics; Challenged Child Project</t>
  </si>
  <si>
    <t>This research was supported, in part, by the T. Denny Sanford School of Social and Family Dynamics and by the Challenged Child Project.</t>
  </si>
  <si>
    <t>2023 JUL 9</t>
  </si>
  <si>
    <t>10.1080/10409289.2023.2229714</t>
  </si>
  <si>
    <t>L8OD5</t>
  </si>
  <si>
    <t>WOS:001025793500001</t>
  </si>
  <si>
    <t>Parker, A; Kepple, NJ</t>
  </si>
  <si>
    <t>Parker, Amittia; Kepple, Nancy J.</t>
  </si>
  <si>
    <t>Examining religious orientation of facilities within the substance use system of care</t>
  </si>
  <si>
    <t>JOURNAL OF RELIGION AND SPIRITUALITY IN SOCIAL WORK</t>
  </si>
  <si>
    <t>Faith-based organizations; religious orientation; spirituality; substance use and misuse; system of care</t>
  </si>
  <si>
    <t>FAITH-BASED ORGANIZATIONS; SOCIAL-SERVICE; SPIRITUALITY</t>
  </si>
  <si>
    <t>Religiously oriented organizations have helped address critical needs in the lives of individuals, families, and communities throughout the history of the United States. However, there are few studies that have explored variation in religious orientation across the substance use system of care. This study examined the level of religious orientation within services serving populations affected by substance use and misuse in a Midwest metropolitan area. We observed facility characteristics, substance use disorder (SUD) treatment services, and support services significantly differed by facility religious orientation. The most religiously oriented facilities were found in racially diverse communities, potentially addressing service gaps.</t>
  </si>
  <si>
    <t>[Parker, Amittia] Georgetown Univ, Ctr Child &amp; Human Dev, Washington, DC 20007 USA; [Kepple, Nancy J.] Univ Kansas, Sch Social Welf, Lawrence, KS USA; [Kepple, Nancy J.] Univ Kansas, Cofrin Logan Ctr Addict Treatment &amp; Res, Lawrence, KS USA</t>
  </si>
  <si>
    <t>Georgetown University; University of Kansas; University of Kansas</t>
  </si>
  <si>
    <t>Parker, A (corresponding author), Georgetown Univ, Ctr Child &amp; Human Dev, Washington, DC 20007 USA.</t>
  </si>
  <si>
    <t>amittia.parker@georgetown.edu</t>
  </si>
  <si>
    <t>Kepple, Nancy Jo/0000-0003-2741-9293</t>
  </si>
  <si>
    <t>University of Kansas, School of Social Welfare; PI Start-up Funds Jackson County, Missouri Outside Agency Funding</t>
  </si>
  <si>
    <t>The work was supported by the University of Kansas, School of Social Welfare, PI Start-up Funds Jackson County, Missouri Outside Agency Funding.</t>
  </si>
  <si>
    <t>1542-6432</t>
  </si>
  <si>
    <t>1542-6440</t>
  </si>
  <si>
    <t>J RELIG SPIRITUAL SO</t>
  </si>
  <si>
    <t>J. Relig. Spiritual. Soc. Work</t>
  </si>
  <si>
    <t>10.1080/15426432.2023.2229764</t>
  </si>
  <si>
    <t>L6RB5</t>
  </si>
  <si>
    <t>WOS:001024503200001</t>
  </si>
  <si>
    <t>Ukaj, M; Hoti, A; Mustafa-Topxhiu, R</t>
  </si>
  <si>
    <t>Ukaj, Mic; Hoti, Avdullah; Mustafa-Topxhiu, Rahmije</t>
  </si>
  <si>
    <t>The impact of education on improving labour market outcomes in developing countries - evidence from Kosova</t>
  </si>
  <si>
    <t>Employment; education; wage; developing countries; Kosova</t>
  </si>
  <si>
    <t>COGNITIVE SKILLS; RETURNS; INVESTMENT</t>
  </si>
  <si>
    <t>In recent decades, there has been a growing interest in studying the relationship between education and its impacts on the labour market. While the relationship between education and wages has been extensively researched, the empirical evidence regarding employment opportunities remains poor. In this article, we examine the impact of education in improving labour market outcomes of working-age individuals in Kosova, emphasizing its role in the probability of employment. Our analysis is based on an extensive dataset compiled from Kosova Labour Force Survey for 2015, 2016 and 2017, which includes more than 75 thousand observations. Using the probit model, we analyse the impact of education on the probability of employment and labour force participation in Kosova. Our findings show that, relative to those with no formal education, the likelihood of being employed increases by 26.9% for individuals with primary education, while for those with secondary and tertiary education, the likelihood increases by 55 and 76.6%, respectively. We see these significant changes in employment opportunities due to education as significant returns to investment in education that have driven the increasing trends in educational enrolment in recent years.</t>
  </si>
  <si>
    <t>[Ukaj, Mic; Hoti, Avdullah; Mustafa-Topxhiu, Rahmije] Univ Prishtina Hasan Prishtina, Dept Econ, Prishtina, Montenegro</t>
  </si>
  <si>
    <t>Ukaj, M (corresponding author), Univ Prishtina Hasan Prishtina, Dept Econ, Prishtina, Montenegro.</t>
  </si>
  <si>
    <t>micukaj@hotmail.com</t>
  </si>
  <si>
    <t>10.1080/14683857.2023.2231680</t>
  </si>
  <si>
    <t>L8OI4</t>
  </si>
  <si>
    <t>WOS:001025798400001</t>
  </si>
  <si>
    <t>Bahrami, N; Siadatmousavi, SM</t>
  </si>
  <si>
    <t>Bahrami, Navid; Siadatmousavi, Seyed Mostafa</t>
  </si>
  <si>
    <t>Ship voyage optimisation considering environmental forces using the iterative Dijkstra's algorithm</t>
  </si>
  <si>
    <t>Ship voyage optimisation; environmental forces; fuel consumption; ship operating cost</t>
  </si>
  <si>
    <t>SPEED OPTIMIZATION</t>
  </si>
  <si>
    <t>The original Dijkstra's algorithm requires the weight map for the network to find the optimum path; however, the change of weights due to temporal change in the met-ocean parameters makes it difficult to use this algorithm for ship navigation; hence, the path was discretised into a limited number of segments and an iterative scheme was developed in which the weight of network was determined based on the environmental condition at the time of ship navigation. A container trip from the Chabahar port in the Gulf of Oman to the Mumbai port in eastern India was studied. The objective was to minimize the fuel consumption. The results showed a decrease of &amp; SIM;6 tons in the amount of fuel consumption and the total costs in the optimal path were 4.76% less than the path of the great circle arc. The proposed model is simple and effective to be run for operational route optimization.</t>
  </si>
  <si>
    <t>[Bahrami, Navid; Siadatmousavi, Seyed Mostafa] Iran Univ Sci &amp; Technol, Sch Civil Engn, Tehran, Iran</t>
  </si>
  <si>
    <t>Iran University Science &amp; Technology</t>
  </si>
  <si>
    <t>Siadatmousavi, SM (corresponding author), Iran Univ Sci &amp; Technol, Sch Civil Engn, Tehran, Iran.</t>
  </si>
  <si>
    <t>Siadatmousavi@iust.ac.ir</t>
  </si>
  <si>
    <t>2023 JUL 8</t>
  </si>
  <si>
    <t>10.1080/17445302.2023.2231200</t>
  </si>
  <si>
    <t>L5XX6</t>
  </si>
  <si>
    <t>WOS:001024004700001</t>
  </si>
  <si>
    <t>Fowler, K; Green, R; Palombi, A</t>
  </si>
  <si>
    <t>Fowler, Kurt; Green, Robert; Palombi, Allan</t>
  </si>
  <si>
    <t>From Stacys to Foids, a Discursive Analysis of the Incel's Gendered Spectrum of Political Agency</t>
  </si>
  <si>
    <t>STATUS CONSISTENCY</t>
  </si>
  <si>
    <t>Incels are an Internet subculture focused on anti-feminism and extremist political rhetoric. Their ideology is largely based on the idea that men are marginalized within western society, while women wield a majority of soft political power. Yet, there has been little exploration on the ways incels codify gender. Though they espouse gender as an ascribed status in binary terms, they portray gender as a stratified dynamic achievement. This research uses data gathered from four popular incel message boards analyzing their interpretive repertoire, describing the social position of women based on doing gender across 98 separate discussion threads, resulting in approximately 2,760 pages of discussion to analyze. Findings show that Incels use the central metaphor of sex to reference how socio-political power ought to be distributed in society and how women are categorized along a gendered spectrum of political agency that ranks women as either unattainable prizes to be won or dehumanized enemies to be defeated, reifying the Incel community's lack of agency and their advocating for and approval of gendered violence.</t>
  </si>
  <si>
    <t>[Fowler, Kurt] Penn State Univ, Criminal Justice, Abington, PA USA; [Green, Robert; Palombi, Allan] Criminal Justice Rtugers Univ, Newark, NJ USA; [Fowler, Kurt] Criminal Justice, Abington, PA 19001 USA</t>
  </si>
  <si>
    <t>Pennsylvania Commonwealth System of Higher Education (PCSHE); Pennsylvania State University</t>
  </si>
  <si>
    <t>Fowler, K (corresponding author), Criminal Justice, Abington, PA 19001 USA.</t>
  </si>
  <si>
    <t>kurt.fowler@psu.edu</t>
  </si>
  <si>
    <t>10.1080/01639625.2023.2233668</t>
  </si>
  <si>
    <t>L5YL7</t>
  </si>
  <si>
    <t>WOS:001024018800001</t>
  </si>
  <si>
    <t>Han, X; Sheng, JC</t>
  </si>
  <si>
    <t>Han, Xiao; Sheng, Jichuan</t>
  </si>
  <si>
    <t>Governing the Future through 'Ecological civilization': Anticipatory Politics and China's Great Yangtze River Protection Programme</t>
  </si>
  <si>
    <t>JOURNAL OF CONTEMPORARY CHINA</t>
  </si>
  <si>
    <t>environmental governance; future-oriented imaginary; Yangtze River; anticipatory politics; authoritarianism; ecological civilization</t>
  </si>
  <si>
    <t>AUTHORITARIAN ENVIRONMENTALISM; POLICY IMPLEMENTATION; GOVERNANCE; LEADERS; LEGITIMACY</t>
  </si>
  <si>
    <t>China has endorsed the idea of 'ecological civilization' for over a decade. How has the Chinese making of the ecological civilization imaginary informed and been affected by on-ground practices? Inspired by insights into anticipatory politics, this study disentangles an officially intended ecological civilization pilot-the 'Great Yangtze River Protection Programme' (GYRPP)-to examine the interplay of China's ecological civilization imaginary, specific policies, and on-ground practices of environmental governance. Informed by fieldwork and documents of GYRPP, this study argues, first, the Chinese state has constructed the ecological civilization imaginary through rendering a concerted future of environmental protection and socio-economic development, which inherently strengthens the regime's legitimacy. Second, the ecological civilization imaginary has informed a set of policies and been used to coordinate specific local practices. Finally, people, institutions, and other resources are mobilized to serve multiple but sometimes conflicting goals, which in turn reconstitutes the ecological civilization imaginary.</t>
  </si>
  <si>
    <t>[Han, Xiao] Hohai Univ, Sch Publ Adm, Nanjing, Peoples R China; [Sheng, Jichuan] Hohai Univ, Business Sch, Nanjing, Peoples R China; [Sheng, Jichuan] Nanjing Forestry Univ, Coll Econ &amp; Management, Nanjing, Peoples R China; [Sheng, Jichuan] Univ Melbourne, Sch Geog Earth &amp; Atmospher Sci, Melbourne, Australia</t>
  </si>
  <si>
    <t>Hohai University; Hohai University; Nanjing Forestry University; University of Melbourne</t>
  </si>
  <si>
    <t>Sheng, JC (corresponding author), Hohai Univ, Business Sch, Nanjing, Peoples R China.</t>
  </si>
  <si>
    <t>jichuan.sheng@hhu.edu.cn</t>
  </si>
  <si>
    <t>Sheng, Jichuan/F-4376-2016; , XIAO/G-6699-2015</t>
  </si>
  <si>
    <t>Sheng, Jichuan/0000-0002-0199-3994; , XIAO/0000-0001-5129-3788</t>
  </si>
  <si>
    <t>National Natural Science Foundation of China [72074119, 71774088, 42101234]</t>
  </si>
  <si>
    <t>The work was supported by the~National Natural Science Foundation of China [42101234]; National Natural Science Foundation of China [72074119]; National Natural Science Foundation of China [71774088].</t>
  </si>
  <si>
    <t>1067-0564</t>
  </si>
  <si>
    <t>1469-9400</t>
  </si>
  <si>
    <t>J CONTEMP CHINA</t>
  </si>
  <si>
    <t>J. Contemp. China</t>
  </si>
  <si>
    <t>10.1080/10670564.2023.2232747</t>
  </si>
  <si>
    <t>L3YS6</t>
  </si>
  <si>
    <t>WOS:001022655400001</t>
  </si>
  <si>
    <t>Peng, YQ; Jia, D; Wei, LM; Zhong, WZ</t>
  </si>
  <si>
    <t>Peng, Yun-Qiang; Jia, Dong; Wei, Li-Ming; Zhong, Wei-Zhou</t>
  </si>
  <si>
    <t>An energy equivalent method to determine the stress-strain relations of ductile materials by small punch testing</t>
  </si>
  <si>
    <t>SPT-EE method; small punch testing; energy equivalent; stress-strain curve; in-serviced structure</t>
  </si>
  <si>
    <t>MECHANICAL-PROPERTIES; FRACTURE PROPERTIES; SPECIMEN; STEEL; PRINCIPLE; PREDICT; MODEL</t>
  </si>
  <si>
    <t>Small punch testing (SPT) is a very promising method to acquire the mechanical properties of miniaturized structures and in-service structures. In this study, an SPT based on energy equivalent (SPT-EE) method is proposed to acquire the constitutive curves of materials according to the stages II and III load-displacement (P-h) curves of classical SPT samples, respectively. Further, lots of numerical simulations were performed to verify the effectiveness of SPT-EE method. The results demonstrate that the constitutive curves predicted by the SPT-EE method according to stages II and III P-h relations of SPT simulated experiments agree well with the initial hypothetical material input by numerical simulation software. Analogously, the SPT verification tests of P92 and 30CrNiMoA were conducted, and the corresponding stress-strain curves were successfully predicted by the SPT-EE method on the basis of the stages II and III P-h curves of SPT samples. It can be observed that the predicted constitutive curves coincide with the curves acquired by the finite-element-analysis aided testing (FAT) method in different strain ranges. Finally, the novel SPT-EE method is successfully applied to predict the constitutive curves of in-serviced hollow structures.</t>
  </si>
  <si>
    <t>[Peng, Yun-Qiang; Jia, Dong; Wei, Li-Ming; Zhong, Wei-Zhou] China Acad Engn Phys, Inst Syst Engn, Mianyang, Sichuan, Peoples R China; [Zhong, Wei-Zhou] China Acad Engn Phys, Shock &amp; Vibrat Engn Mat &amp; Struct Key Lab Sichuan P, Mianyang, Sichuan, Peoples R China; [Zhong, Wei-Zhou] China Acad Engn Phys, Inst Syst Engn, Mianyang 621999, Sichuan, Peoples R China</t>
  </si>
  <si>
    <t>Chinese Academy of Engineering Physics; Chinese Academy of Engineering Physics; Chinese Academy of Engineering Physics</t>
  </si>
  <si>
    <t>Zhong, WZ (corresponding author), China Acad Engn Phys, Inst Syst Engn, Mianyang 621999, Sichuan, Peoples R China.</t>
  </si>
  <si>
    <t>zhongwz@caep.cn</t>
  </si>
  <si>
    <t>key projects of the National Natural Science Foundation of China [12172344]</t>
  </si>
  <si>
    <t>key projects of the National Natural Science Foundation of China(National Natural Science Foundation of China (NSFC))</t>
  </si>
  <si>
    <t>The work was supported by the key projects of the national natural science foundation of China [12172344].</t>
  </si>
  <si>
    <t>10.1080/00223131.2023.2228322</t>
  </si>
  <si>
    <t>L5YE9</t>
  </si>
  <si>
    <t>WOS:001024012000001</t>
  </si>
  <si>
    <t>Willson, E; Taylor, A; Kerr, G; Stirling, A</t>
  </si>
  <si>
    <t>Willson, Erin; Taylor, Anika; Kerr, Gretchen; Stirling, Ashley</t>
  </si>
  <si>
    <t>Discussing safe sport in the digital space: the #gymnastalliance movement</t>
  </si>
  <si>
    <t>INTERNATIONAL JOURNAL OF SPORT AND EXERCISE PSYCHOLOGY</t>
  </si>
  <si>
    <t>Athlete maltreatment; social media; athlete advocacy; abuse</t>
  </si>
  <si>
    <t>MALTREATMENT</t>
  </si>
  <si>
    <t>Following the abuse perpetrated by former USA Gymnastics team doctor, Larry Nassar, and the subsequent documentary about the case, Athlete A, gymnasts from around the world turned to social media to share their experiences of maltreatment, using the hashtag #gymnastalliance. The purpose of this study was to explore how the gymnast alliance hashtag has been used on Instagram. A reflexive thematic analysis was conducted by examining the text and images included in 557 Instagram posts that employed the hashtag. The generated themes included: redress previous silencing, disclosing experiences of maltreatment and their impacts, calling for change, and building a community of support. Findings from the analysis are interpreted using athlete advocacy, maltreatment, safeguarding, and information communication and technology literature. Recommendations are posed for future research and practices to improve safe and accessible disclosure and reporting processes for athletes.</t>
  </si>
  <si>
    <t>[Willson, Erin; Taylor, Anika; Kerr, Gretchen; Stirling, Ashley] Univ Toronto, Fac Kinesiol &amp; Phys Educ, Toronto, ON, Canada</t>
  </si>
  <si>
    <t>University of Toronto</t>
  </si>
  <si>
    <t>Willson, E (corresponding author), Univ Toronto, Fac Kinesiol &amp; Phys Educ, Toronto, ON, Canada.</t>
  </si>
  <si>
    <t>erin.willson@mail.utoronto.ca</t>
  </si>
  <si>
    <t>Willson, Erin/0000-0002-6318-1211</t>
  </si>
  <si>
    <t>1612-197X</t>
  </si>
  <si>
    <t>1557-251X</t>
  </si>
  <si>
    <t>INT J SPORT EXERC PS</t>
  </si>
  <si>
    <t>Int. J. Sport Exerc. Psychol.</t>
  </si>
  <si>
    <t>10.1080/1612197X.2023.2231949</t>
  </si>
  <si>
    <t>Hospitality, Leisure, Sport &amp; Tourism; Psychology, Applied</t>
  </si>
  <si>
    <t>L5YD6</t>
  </si>
  <si>
    <t>WOS:001024010700001</t>
  </si>
  <si>
    <t>Ahortor, E; Baillie, L; Lloyd, D; Blaxland, J</t>
  </si>
  <si>
    <t>Ahortor, Evans; Baillie, Les; Lloyd, David; Blaxland, James</t>
  </si>
  <si>
    <t>Virucidal Efficacy of Gaseous Ozone Against Type 1 Herpes Simplex Virus (HSV-1)</t>
  </si>
  <si>
    <t>OZONE-SCIENCE &amp; ENGINEERING</t>
  </si>
  <si>
    <t>Gaseous ozone; Herpes Simplex Virus; Infectious pathogens; Nosocomial infection; Surface decontamination</t>
  </si>
  <si>
    <t>SURVIVAL; TRANSMISSION; WATER; DISINFECTION; INACTIVATION; REACTIVATION</t>
  </si>
  <si>
    <t>Viruses represent a major threat to human health and are capable of spreading either via direct exposure or contamination of inanimate surfaces. Certain viruses have been shown to remain viable on surfaces of dental implants and devices, fabrics and on plastics for hours, days and weeks representing a source of continuous viral transmission which must be mitigated. In this study, we compared the effect of varying concentrations of gaseous ozone (40, 20, 10, 5, and 1 ppm) on Herpes Simplex Virus (HSV-1) coated on the surfaces of clear polystyrene tissue culture (TC) plates and stainless-steel disc at varying time intervals (1.5, 3, 6, and 8 h) at &gt;90% relative humidity and at 21-25 C (&amp; PLUSMN;2C). Test samples were placed at a height of 1 and 1.5 m from ozone source. Viral viability after ozone exposure was determined using Vero cells and the viral titer was quantified using the Spearman-Karber's method. Overall, inactivation of HSV-1 was dependent on ozone concentration and the duration of exposure. At 20 and 40 ppm, ozone rapidly depleted virus viability after 6 h. At 5 and 10 ppm a time-dependent reduction in viral infectivity was observed. At 10 ppm, viral titer decreased from approximately 5.2 pfu/mL at T = 0 to 3.5 and 2.1 pfu/mL after 1.5- and 6-h exposure on plastic surfaces. Similarly, viral titer decreased from approximately 5.6 pfu/mL at T = 0 to 3.0 to 2.0 pfu/mL at same time frame on steel surfaces. This study builds on earlier research in the field and demonstrates the ability of gaseous ozone to inactivate HSV-1 on two surfaces commonly found in food, medical and dental settings. This study recommends that further work is completed to identify optimum ozone, humidity, and temperature combinations to inactivate such viruses on surfaces found within these environments.</t>
  </si>
  <si>
    <t>[Ahortor, Evans; Baillie, Les] Cardiff Univ, Sch Pharm &amp; Pharmaceut Sci, Redwood Bldg, Cardiff CF10 3NB, Wales; [Lloyd, David; Blaxland, James] Cardiff Metropolitan Univ, ZERO2FIVE Food Ind Ctr, Llandaff Campus, Cardiff CF5 2YB, Wales; [Blaxland, James] Cardiff Metropolitan Univ, Sch Sport &amp; Hlth Sci, Microbiol &amp; Infect Res Grp, Cardiff CF5 2YB, Wales; [Blaxland, James] Cardiff Metropolitan Univ, Sch Sport &amp; Hlth Sci, Microbiol &amp; Infect Res Grp, Western Ave, Cardiff CF5 2YB, Wales</t>
  </si>
  <si>
    <t>Cardiff University; Cardiff Metropolitan University; Cardiff Metropolitan University; Cardiff Metropolitan University</t>
  </si>
  <si>
    <t>Blaxland, J (corresponding author), Cardiff Metropolitan Univ, Sch Sport &amp; Hlth Sci, Microbiol &amp; Infect Res Grp, Western Ave, Cardiff CF5 2YB, Wales.</t>
  </si>
  <si>
    <t>JABlaxland@cardiffmet.ac.uk</t>
  </si>
  <si>
    <t>Lloyd, David/0000-0002-5656-0571</t>
  </si>
  <si>
    <t>Economic and Social Research Council (ESRC)</t>
  </si>
  <si>
    <t>Economic and Social Research Council (ESRC)(UK Research &amp; Innovation (UKRI)Economic &amp; Social Research Council (ESRC))</t>
  </si>
  <si>
    <t>The authors would like to thank the Economic and Social Research Council (ESRC) Impact Acceleration Account (IAA) for funding to support this project.</t>
  </si>
  <si>
    <t>0191-9512</t>
  </si>
  <si>
    <t>1547-6545</t>
  </si>
  <si>
    <t>OZONE-SCI ENG</t>
  </si>
  <si>
    <t>Ozone-Sci. Eng.</t>
  </si>
  <si>
    <t>2023 JUL 7</t>
  </si>
  <si>
    <t>10.1080/01919512.2023.2231037</t>
  </si>
  <si>
    <t>K9VP3</t>
  </si>
  <si>
    <t>WOS:001019841100001</t>
  </si>
  <si>
    <t>Castellsagué, A</t>
  </si>
  <si>
    <t>Castellsague, Alba</t>
  </si>
  <si>
    <t>The rhetoric of return: Mingma or the contradictions of development in Nepal*</t>
  </si>
  <si>
    <t>MOBILITIES</t>
  </si>
  <si>
    <t>Return mobility; development; gender; education; Nepal; &gt;</t>
  </si>
  <si>
    <t>MIGRATION; EDUCATION; TRANSNATIONALISM; PERSPECTIVES; MOBILITIES; VISIONS; GENDER; IMPACT; STATE</t>
  </si>
  <si>
    <t>Leaving for the city or going abroad to study, to later return and contribute to the development of the village. This notion is what we propose here as the rhetoric of return, a polysemic concept that is central to the narrative of development and education in Nepal. The migratory trajectory of Mingma, a young Sherpa who grew up in Sikkim (India), questions this notion based on her experience of returning to Gaun (Nepal), her family's village. Her story allows us to understand the negotiations that stem from her ideals of development, her role as a teacher and her relationship with the villagers. The most important findings reveal the close link between mobility and knowledge regimes in Nepal and demonstrate the relevance of gender in the mobility-development nexus and its contradictions.</t>
  </si>
  <si>
    <t>[Castellsague, Alba] Univ Girona UdG, Dept Pedag, Girona, Spain</t>
  </si>
  <si>
    <t>Universitat de Girona</t>
  </si>
  <si>
    <t>Castellsagué, A (corresponding author), Univ Girona UdG, Dept Pedag, Girona, Spain.</t>
  </si>
  <si>
    <t>Alba.castellsague@udg.edu</t>
  </si>
  <si>
    <t>Castellsagué, Alba/ABB-9936-2020</t>
  </si>
  <si>
    <t>Castellsagué, Alba/0000-0002-7625-6876</t>
  </si>
  <si>
    <t>1745-0101</t>
  </si>
  <si>
    <t>1745-011X</t>
  </si>
  <si>
    <t>MOBILITIES-UK</t>
  </si>
  <si>
    <t>Mobilities</t>
  </si>
  <si>
    <t>10.1080/17450101.2023.2232947</t>
  </si>
  <si>
    <t>Geography; Transportation</t>
  </si>
  <si>
    <t>L5YD5</t>
  </si>
  <si>
    <t>WOS:001024010600001</t>
  </si>
  <si>
    <t>Chayachinda, C; Watananirun, K; Phatihattakorn, C; Anuwutnavin, S; Niyomnaitham, S; Phongsamart, W; Lapphra, K; Wittawatmongkol, O; Rungmaitree, S; Jansarikit, L; Boonnak, K; Wongprompitak, P; Senawong, S; Upadhya, A; Toh, ZQ; Licciardi, PV; Chokephaibulkit, K</t>
  </si>
  <si>
    <t>Chayachinda, Chenchit; Watananirun, Kanokwaroon; Phatihattakorn, Chayawat; Anuwutnavin, Sanitra; Niyomnaitham, Suvimol; Phongsamart, Wanatpreeya; Lapphra, Keswadee; Wittawatmongkol, Orasri; Rungmaitree, Supattra; Jansarikit, Laddawan; Boonnak, Kobporn; Wongprompitak, Patimaporn; Senawong, Sansnee; Upadhya, Avishek; Toh, Zheng Quan; Licciardi, Paul V. V.; Chokephaibulkit, Kulkanya</t>
  </si>
  <si>
    <t>Immunogenicity and reactogenicity of heterologous COVID-19 vaccination in pregnant women</t>
  </si>
  <si>
    <t>Heterologous schedules; Homologous schedules; BNT162b2; ChAdOx1; CoronaVac; Thailand; &gt;</t>
  </si>
  <si>
    <t>RESPIRATORY SYNDROME CORONAVIRUS; VACCINES</t>
  </si>
  <si>
    <t>This open-labeled non-inferiority trial evaluated immunogenicity and reactogenicity of heterologous and homologous COVID-19 vaccination schedules in pregnant Thai women. 18-45-year-old pregnant women with no history of COVID-19 infection or vaccination and a gestational age of &amp; GE;12 weeks were randomized 1:1:1 into three two-dose primary series scheduled 4 weeks apart: BNT162b2-BNT162b2 (Group 1), ChAdOx1-BNT162b2 (Group 2), and CoronaVac-BNT162b2 (Group 3). Serum antibody responses, maternal and cord blood antibody levels at delivery, and adverse events (AEs) following vaccination until delivery were assessed. The 124 enrolled participants had a median age of 31 (interquartile range [IQR] 26.0-35.5) years and gestational age of 23.5 (IQR 18.0-30.0) weeks. No significant difference in anti-receptor binding domain (RBD) IgG were observed across arms at 2 weeks after the second dose. Neutralizing antibody geometric mean titers against the ancestral Wuhan strain were highest in Group 3 (258.22, 95% CI [187.53, 355.56]), followed by Groups 1 (187.47, 95% CI [135.15, 260.03]) and 2 (166.63, 95% CI [124.60, 222.84]). Cord blood anti-RBD IgG was correlated with, and equal to or higher than, maternal levels at delivery (r = 0.719, P &lt; .001) and inversely correlated with elapsed time after the second vaccination (r = -0.366, P &lt; .001). No significant difference in cord blood antibody levels between groups were observed. Local and systemic AEs were mild-to-moderate and more frequent in Group 2. Heterologous schedules of CoronaVac-BNT162b2 or ChAdOx1-BNT162b2 induced immunogenicity on-par with BNT162b2-BNT162b2 and may be considered as alternative schedules for primary series in pregnant women in mRNA-limited vaccine settings.</t>
  </si>
  <si>
    <t>[Chayachinda, Chenchit; Watananirun, Kanokwaroon; Phatihattakorn, Chayawat; Anuwutnavin, Sanitra] Mahidol Univ, Fac Med Siriraj Hosp, Dept Obstet &amp; Gynecol, Bangkok, Thailand; [Niyomnaitham, Suvimol; Chokephaibulkit, Kulkanya] Mahidol Univ, Fac Med Siriraj Hosp, Siriraj Inst Clin Res SICRES, Bangkok, Thailand; [Niyomnaitham, Suvimol; Jansarikit, Laddawan] Mahidol Univ, Fac Med Siriraj Hosp, Dept Pharmacol, Bangkok, Thailand; [Phongsamart, Wanatpreeya; Lapphra, Keswadee; Wittawatmongkol, Orasri; Rungmaitree, Supattra; Chokephaibulkit, Kulkanya] Mahidol Univ, Fac Med Siriraj Hosp, Dept Pediat, Bangkok, Thailand; [Boonnak, Kobporn; Wongprompitak, Patimaporn; Senawong, Sansnee] Mahidol Univ, Fac Med Siriraj Hosp, Dept Immunol, Bangkok, Thailand; [Upadhya, Avishek] Mahidol Univ Int Coll, Dept Sci, Nakhon Pathom, Thailand; [Toh, Zheng Quan; Licciardi, Paul V. V.] Murdoch Childrens Res Inst, Infect &amp; Immun, Parkville, Vic, Australia; [Toh, Zheng Quan; Licciardi, Paul V. V.] Univ Melbourne, Dept Pediat, Parkville, Vic, Australia; [Chokephaibulkit, Kulkanya] Mahidol Univ, Fac Med Siriraj Hosp, Dept Pediat, 2 Wanglang Rd, Bangkok 10700, Thailand; [Chokephaibulkit, Kulkanya] Siriraj Inst Clin Res SICRES, 2 Wanglang Rd, Bangkok 10700, Thailand</t>
  </si>
  <si>
    <t>Mahidol University; Mahidol University; Mahidol University; Mahidol University; Mahidol University; Mahidol University; Murdoch Children's Research Institute; University of Melbourne; Mahidol University</t>
  </si>
  <si>
    <t>Chokephaibulkit, K (corresponding author), Mahidol Univ, Fac Med Siriraj Hosp, Dept Pediat, 2 Wanglang Rd, Bangkok 10700, Thailand.;Chokephaibulkit, K (corresponding author), Siriraj Inst Clin Res SICRES, 2 Wanglang Rd, Bangkok 10700, Thailand.</t>
  </si>
  <si>
    <t>kulkanya.cho@mahidol.ac.th</t>
  </si>
  <si>
    <t>National Research Council of Thailand [N35A640318]</t>
  </si>
  <si>
    <t>National Research Council of Thailand(National Research Council of Thailand (NRCT))</t>
  </si>
  <si>
    <t>This work was funded by the National Research Council of Thailand [grant number: N35A640318]. The funder had no role in the study's design, collection, analysis and interpretation of data, write up of the report, or decision to submit the article for publication.</t>
  </si>
  <si>
    <t>10.1080/21645515.2023.2228670</t>
  </si>
  <si>
    <t>M1CF1</t>
  </si>
  <si>
    <t>WOS:001027589500001</t>
  </si>
  <si>
    <t>Larocque, S; Rietze, L; Heale, R</t>
  </si>
  <si>
    <t>Larocque, Sylvie; Rietze, Lori; Heale, Roberta</t>
  </si>
  <si>
    <t>Helping the helpers: Understanding information and support needs of caregivers in underserved communities</t>
  </si>
  <si>
    <t>FAMILY CAREGIVERS; CANCER-PATIENTS; CARE; END; HOME</t>
  </si>
  <si>
    <t>Informal caregivers caring for patients at the end of life in rural geographic areas may have inadequate support due to insufficient community-based palliative care services. We conducted a parallel mixed-methods study to understand informal caregivers' unmet supportive, educational, and informational needs living in rural areas with limited community-based palliative care services. Forty-four caregivers of loved ones that died at home between December 2017 and September 2020 completed the Carer Support Needs Assessment Tool (CSNAT) and 14 caregivers were interviewed. Using a parallel mixed analysis, results showed that caregiver distress was associated with unmet information needs about how to accurately assess and manage pain levels and identify signs and symptoms of end-of-life. Caregivers needed more support related to available, knowledgeable, and well-trained home health care providers, accessible equipment, 24-hour respite care, accessible grief counseling, and a central triage contact number for community support.</t>
  </si>
  <si>
    <t>[Larocque, Sylvie; Rietze, Lori; Heale, Roberta] Laurentian Univ, Sch Nursing, Sudbury, ON, Canada</t>
  </si>
  <si>
    <t>Laurentian University</t>
  </si>
  <si>
    <t>Rietze, L (corresponding author), Laurentian Univ, Sch Nursing, Sudbury, ON, Canada.</t>
  </si>
  <si>
    <t>lrietze@laurentian.ca</t>
  </si>
  <si>
    <t>10.1080/07481187.2023.2230551</t>
  </si>
  <si>
    <t>L4NS3</t>
  </si>
  <si>
    <t>WOS:001023054800001</t>
  </si>
  <si>
    <t>Lee, J; Hironaka, K; Ito, F; Koizumi, M; Hori, JI; Sano, T</t>
  </si>
  <si>
    <t>Lee, Jaehong; Hironaka, Kota; Ito, Fumiaki; Koizumi, Mitsuo; Hori, Jun-Ichi; Sano, Tadafumi</t>
  </si>
  <si>
    <t>Relationship between neutron moderator and time-dependent background for neutron time-of-flight measurement</t>
  </si>
  <si>
    <t>time-of-flight measurement; time-dependent background; neutron moderator; neutron resonance transmission analysis; Monte Carlo simulation; &gt;</t>
  </si>
  <si>
    <t>CROSS-SECTION</t>
  </si>
  <si>
    <t>In short-distance time-of-flight measurements, the background events increase exponentially with decreasing distance. Furthermore, the large number of background events increases the uncertainty of the measured data. The moderated neutron beam includes the time-dependent background originating from the neutron moderator, such as the 2.2 MeV gamma rays emitted by H-1 (n,&amp; gamma;) reaction in the moderator. In this study, to develop a compact neutron resonance transmission analysis system with high accuracy, we studied the relationship between the moderator and time-dependent background based on gamma rays. Monte Carlo simulations were conducted based on PHITS and JENDL-4.0 to investigate the time distributions of neutrons and gamma rays emitted from the moderator. Ratios of the gamma-ray intensity to neutron intensity (S &amp; gamma;/S-n ratio) were calculated for various moderators and flight distances. The moderator designs were discussed based on the obtained results for maintaining a low S &amp; gamma;/S-n ratio.</t>
  </si>
  <si>
    <t>[Lee, Jaehong; Hironaka, Kota; Ito, Fumiaki; Koizumi, Mitsuo] Japan Atom Energy Agcy, Integrated Support Ctr Nucl Nonproliferat &amp; Nucl S, Tokai, Ibaraki, Japan; [Hori, Jun-Ichi] Kyoto Univ, Inst Integrated Radiat &amp; Nucl Sci, Osaka, Japan; [Sano, Tadafumi] Kindai Univ, Atom Energy Res Inst, Osaka, Japan; [Lee, Jaehong] Japan Atom Energy Agcy, Integrated Support Ctr Nucl Nonproliferat &amp; Nucl S, Tokai, Ibaraki 3191195, Japan</t>
  </si>
  <si>
    <t>Japan Atomic Energy Agency; Kyoto University; Kindai University (Kinki University); Japan Atomic Energy Agency</t>
  </si>
  <si>
    <t>Lee, J (corresponding author), Japan Atom Energy Agcy, Integrated Support Ctr Nucl Nonproliferat &amp; Nucl S, Tokai, Ibaraki 3191195, Japan.</t>
  </si>
  <si>
    <t>lee.jaehong@jaea.go.jp</t>
  </si>
  <si>
    <t>Ministry of Education, Culture, Sports, Science and Technology</t>
  </si>
  <si>
    <t>Ministry of Education, Culture, Sports, Science and Technology(Ministry of Education, Culture, Sports, Science and Technology, Japan (MEXT))</t>
  </si>
  <si>
    <t>The work was supported by the Ministry of Education, Culture, Sports, Science and Technology.</t>
  </si>
  <si>
    <t>10.1080/00223131.2023.2224330</t>
  </si>
  <si>
    <t>L3YV5</t>
  </si>
  <si>
    <t>WOS:001022658300001</t>
  </si>
  <si>
    <t>Lewis, K</t>
  </si>
  <si>
    <t>Lewis, Kelly</t>
  </si>
  <si>
    <t>Colonising the narrative space: unliveable lives, unseeable struggles and the necropolitical governance of digital populations</t>
  </si>
  <si>
    <t>INFORMATION COMMUNICATION &amp; SOCIETY</t>
  </si>
  <si>
    <t>Social media; platform; necropolitics; content moderation; governance; censorship</t>
  </si>
  <si>
    <t>CONFLICT; POWER</t>
  </si>
  <si>
    <t>Social media platforms play a critical civic role during times of conflict, war, and crises as spaces for people to document and share content that publicises instances of human rights violations, graphic violence, and material destruction. Such content not only function as primary materials in the narration of social and political realities, but also operate as intense sites of control when platforms, state, and non-state actors seek to censor them for various political and opaque reasons. This article argues the gradually increasing intertwinement of corporate-government power, and the asymmetrical application of power to govern our lives in platform spaces, constitutes the necropolitical governance of digital populations. I delineate how the contours of platform necropolitics manifest through asymmetrical content moderation processes, platform policies, and alternative enforcement systems, and describe its operational registers: acts of commission (overenforcement), omission (underenforcement), and exceptionalism (extraordinary exceptions). The article's theoretical resourcefulness and analytical significance is demonstrated through three qualitative case studies: 2021 Israeli-Palestinian conflict, 'rest of the world' counties, and 2022-ongoing Russian-Ukrainian War. The article problematises conventional understandings of necropolitics while providing nuanced conceptualisation into the narrative and curatorial power of corporate-government assemblages of control for digital subjects - especially those most at-risk.</t>
  </si>
  <si>
    <t>[Lewis, Kelly] Monash Univ, Australian Res Council Ctr Excellence Automated De, Emerging Technol Lab, Melbourne, Australia; [Lewis, Kelly] Monash Univ, Bldg B,Room 6-35,Caulfield Campus,900 Dandenong Rd, Caulfield, Vic 3145, Australia</t>
  </si>
  <si>
    <t>Monash University; Monash University</t>
  </si>
  <si>
    <t>Lewis, K (corresponding author), Monash Univ, Bldg B,Room 6-35,Caulfield Campus,900 Dandenong Rd, Caulfield, Vic 3145, Australia.</t>
  </si>
  <si>
    <t>kelly.lewis@monash.edu</t>
  </si>
  <si>
    <t>Mark Andrejevic and David Myles</t>
  </si>
  <si>
    <t>AcknowledgementsI would like to thank Mark Andrejevic and David Myles, whose feedback on an earlier version of this article greatly improved the quality and depth of the work. I would also like to thank the anonymous reviewers of this article who were generous with their time and provided thoughtful and constructive feedback. Finally, I wish to thank the special issue journal editors, Andrew Iliadis, Eugenia Siapera, and Tanya Lokot, for inviting me to contribute to this important body of work.</t>
  </si>
  <si>
    <t>1369-118X</t>
  </si>
  <si>
    <t>1468-4462</t>
  </si>
  <si>
    <t>INFORM COMMUN SOC</t>
  </si>
  <si>
    <t>Info. Commun. Soc.</t>
  </si>
  <si>
    <t>10.1080/1369118X.2023.2230260</t>
  </si>
  <si>
    <t>Communication; Sociology</t>
  </si>
  <si>
    <t>K9VQ9</t>
  </si>
  <si>
    <t>WOS:001019842700001</t>
  </si>
  <si>
    <t>Ma, HY; Wei, WW; Liang, DD; Xu, X; Yang, D; Wang, Q; Wang, Y; Wei, Q; Sun, B; Zhao, XD</t>
  </si>
  <si>
    <t>Ma, Haiyan; Wei, Wenwen; Liang, Dandan; Xu, Xing; Yang, Dong; Wang, Qiong; Wang, Yun; Wei, Quan; Sun, Bin; Zhao, Xudong</t>
  </si>
  <si>
    <t>HGF-Based CAR-T Cells Target Hepatocellular Carcinoma Cells That Express High Levels of c-Met</t>
  </si>
  <si>
    <t>IMMUNOLOGICAL INVESTIGATIONS</t>
  </si>
  <si>
    <t>c-Met; Chimeric antigen receptor; hepatocellular carcinoma; HGF; &gt;</t>
  </si>
  <si>
    <t>CHIMERIC ANTIGEN RECEPTORS; LUNG-CANCER; THERAPY; COMPLEX; GROWTH; DOMAIN</t>
  </si>
  <si>
    <t>Background: CAR-T is emerging as an effective treatment strategy for hematologic malignancies, however its effectiveness for treating solid tumors, such as Hepatocellular Carcinoma (HCC) is limited. Here, we screened a variety of CAR-T cells that target c-Met to investigate their potential to induce HCC cell death in vitro. Methods: Human T cells were transduced to express CARs by lentiviral vector transfection. c-Met expression in human HCC cell lines and CARs expression were monitored by flow cytometry. Tumor cell killing was evaluated by Luciferase Assay System Kit. The concentrations of cytokine were tested by Enzyme-linked immunosorbent assays. Knock down and overexpression studies targeting c-Met were conducted to assess the targeting specificity of CARs. Results: We found that CAR T cells expressing a minimal amino-terminal polypeptide sequence comprising the first kringle (kringle 1) domain (denoted as NK1 CAR-T cells), efficiently killed HCC cell lines that expressed high levels of the HGF receptor c-Met. Furthermore, we report that while NK1 CAR-T cells were efficient at targeting SMMC7221 cells for destruction, and its potency was significantly attenuated in parallel experiments with cells stably expressing short hairpin RNAs (shRNAs) that suppressed c-Met expression. Correspondingly, overexpression of c-Met in the embryonic kidney cell line HEK293T led to their enhanced killing by NK1 CAR-T cells. Conclusion: Our studies demonstrate that a minimal amino-terminal polypeptide sequence comprising the kirngle1 domain of HGF is highly relevant to the design of effective CAR-T cell therapies that kill HCC cells expressing high levels of c-Met.</t>
  </si>
  <si>
    <t>[Ma, Haiyan] Sichuan Univ, West China Hosp, Dept Rehabil Med, Chengdu, Sichuan, Peoples R China; [Ma, Haiyan] Sichuan Univ, West China Hosp, Natl Clin Res Ctr Geriatr, Lab Anim Tumor Models, Chengdu, Sichuan, Peoples R China; [Ma, Haiyan] Sichuan Univ, West China Hosp, Frontiers Sci Ctr Dis Related Mol Network, Chengdu, Sichuan, Peoples R China; [Wei, Wenwen; Liang, Dandan; Yang, Dong; Sun, Bin; Zhao, Xudong] Sichuan Univ, West China Hosp, Dept Targeting Therapy &amp; Immunol, 37 Guoxue Alley, Chengdu 610041, Sichuan, Peoples R China; [Wei, Wenwen; Liang, Dandan; Yang, Dong; Sun, Bin; Zhao, Xudong] Sichuan Univ, West China Hosp, Canc Ctr, Lab Anim Tumor Models, 37 Guoxue Alley, Chengdu 610041, Sichuan, Peoples R China; [Wei, Wenwen; Liang, Dandan; Yang, Dong; Sun, Bin; Zhao, Xudong] Sichuan Univ, West China Hosp, Natl Clin Res Ctr Geriatr, 37 Guoxue Alley, Chengdu 610041, Sichuan, Peoples R China; [Wei, Wenwen; Liang, Dandan; Yang, Dong; Sun, Bin; Zhao, Xudong] Sichuan Univ, West China Hosp, Frontiers Sci Ctr Dis, Related Mol Network, 37 Guoxue Alley, Chengdu 610041, Sichuan, Peoples R China; [Xu, Xing] Sichuan Univ, West China Hosp, Core Facil, Chengdu, Sichuan, Peoples R China; [Wang, Qiong; Wang, Yun] Kunming Inst Zool, Chinese Acad Sci, Kunming, Yunnan, Peoples R China; [Wei, Quan] Sichuan Univ, West China Hosp, Dept Rehabil Med, 37 Guoxue Alley, Chengdu 610041, Sichuan, Peoples R China; [Wei, Quan] Sichuan Univ, West China Hosp, Inst Rehabil Med, 37 Guoxue Alley, Chengdu 610041, Sichuan, Peoples R China; [Wei, Quan] Key Lab Rehabil Med Sichuan Prov, Chengdu, Sichuan, Peoples R China</t>
  </si>
  <si>
    <t>Sichuan University; Sichuan University; Sichuan University; Sichuan University; Sichuan University; Sichuan University; Sichuan University; Sichuan University; Chinese Academy of Sciences; Kunming Institute of Zoology; Sichuan University; Sichuan University</t>
  </si>
  <si>
    <t>Sun, B; Zhao, XD (corresponding author), Sichuan Univ, West China Hosp, Dept Targeting Therapy &amp; Immunol, 37 Guoxue Alley, Chengdu 610041, Sichuan, Peoples R China.;Sun, B; Zhao, XD (corresponding author), Sichuan Univ, West China Hosp, Canc Ctr, Lab Anim Tumor Models, 37 Guoxue Alley, Chengdu 610041, Sichuan, Peoples R China.;Sun, B; Zhao, XD (corresponding author), Sichuan Univ, West China Hosp, Natl Clin Res Ctr Geriatr, 37 Guoxue Alley, Chengdu 610041, Sichuan, Peoples R China.;Wei, Q (corresponding author), Sichuan Univ, West China Hosp, Dept Rehabil Med, 37 Guoxue Alley, Chengdu 610041, Sichuan, Peoples R China.;Wei, Q (corresponding author), Sichuan Univ, West China Hosp, Inst Rehabil Med, 37 Guoxue Alley, Chengdu 610041, Sichuan, Peoples R China.</t>
  </si>
  <si>
    <t>weiquan@scu.edu.cn; sunbin@wchscu.cn; zhaoxudong@wchscu.cn</t>
  </si>
  <si>
    <t>0882-0139</t>
  </si>
  <si>
    <t>1532-4311</t>
  </si>
  <si>
    <t>IMMUNOL INVEST</t>
  </si>
  <si>
    <t>Immunol. Invest.</t>
  </si>
  <si>
    <t>10.1080/08820139.2023.2232402</t>
  </si>
  <si>
    <t>N3IJ8</t>
  </si>
  <si>
    <t>WOS:001020298000001</t>
  </si>
  <si>
    <t>Garzon-Perez, AS; Paredes-Carrera, SP; Flores-Carlos, LF; Arteaga-Larios, NV; Martinez-Gutierrez, H; Rodriguez-Torres, I</t>
  </si>
  <si>
    <t>Garzon-Perez, Amanda S.; Paredes-Carrera, Silvia P.; Flores-Carlos, Lucia F.; Arteaga-Larios, Nubia V.; Martinez-Gutierrez, Hugo; Rodriguez-Torres, Israel</t>
  </si>
  <si>
    <t>Effect of heat treatment on the synthesis of Mg/Al-NO3 hydrotalcite-type compounds for fluoride removal</t>
  </si>
  <si>
    <t>JOURNAL OF DISPERSION SCIENCE AND TECHNOLOGY</t>
  </si>
  <si>
    <t>hydrotalcite; microwave; ultrasound; fluoride removal; ion exchange</t>
  </si>
  <si>
    <t>LAYERED DOUBLE HYDROXIDES; WATER; ADSORPTION; ULTRASOUND; CHARGE; POINT; IONS</t>
  </si>
  <si>
    <t>Hydrotalcite-type compounds (HTs) are crystalline ion-exchange materials formed by positively charged sheets of metal hydroxides stabilized with interlayer anions. The synthesis methods significantly influence their crystallographic and morphological properties. Alternative methods, such as microwave or ultrasound irradiation, can reduce the synthesis time and obtain materials with specific characteristics. HT with the interlayer anion of NO3- was synthesized via conventional aging (hydrothermal), microwave, ultrasound, and combined (microwave/ultrasound) methods. The obtained compounds were characterized via X-ray diffraction (XRD), scanning electron microscopy with energy dispersive X-ray spectroscopy (SEM-EDS), N-2 adsorption-desorption, Fourier-transform infrared spectroscopy (FTIR), and point of zero charge. A larger crystal size (t =5.9 nm) and a higher surface area (S = 6.70m(2) g(-1)) were obtained when HT was irradiated by microwaves/ultrasound compared to the synthesized compound via hydrothermal aging (t = 5.5 nm, S = 1.83m(2) g(-1)). Although the removal capacity of the combined-mode irradiated compound was slightly lower (q(max) = 41.7 +/- 4.8mg g(-1)) than the conventionally aged sample (qmax 1/4 44.4 +/- 6.8mg g(-1)), the synthesis time was drastically decreased from 24 h to 5min, and the combined-mode irradiated compound could remove fluoride as efficiently as the compounds obtained conventionally.</t>
  </si>
  <si>
    <t>[Garzon-Perez, Amanda S.; Flores-Carlos, Lucia F.; Arteaga-Larios, Nubia V.; Rodriguez-Torres, Israel] Univ Autonoma San Luis Potosi, Fac Ingn, Inst Met, San Luis Potosi, SLP, Mexico; [Paredes-Carrera, Silvia P.] Inst Politecn Nacl, Escuela Super Ingn Quim Ind Extract, Lab Nanomat Sustentables, Mexico City, Mexico; [Martinez-Gutierrez, Hugo] Inst Politecn Nacl, Ctr Nanociencias &amp; Micro &amp; Nanotecnol, Mexico City, Mexico; [Rodriguez-Torres, Israel] Ave Sierra Leona 550 Lomas 2a secc, San Luis Potosi 78210, SLP, Mexico</t>
  </si>
  <si>
    <t>Universidad Autonoma de San Luis Potosi; Instituto Politecnico Nacional - Mexico; Instituto Politecnico Nacional - Mexico</t>
  </si>
  <si>
    <t>Rodriguez-Torres, I (corresponding author), Ave Sierra Leona 550 Lomas 2a secc, San Luis Potosi 78210, SLP, Mexico.</t>
  </si>
  <si>
    <t>learsi@uaslp.mx</t>
  </si>
  <si>
    <t>Rodríguez, Israel/D-5291-2013</t>
  </si>
  <si>
    <t>Rodríguez, Israel/0000-0003-4923-5671</t>
  </si>
  <si>
    <t>Consejo Nacional de Humanidades Ciencias y Tecnologias</t>
  </si>
  <si>
    <t>This work was supported by Consejo Nacional de Humanidades Ciencias y Tecnologias.</t>
  </si>
  <si>
    <t>0193-2691</t>
  </si>
  <si>
    <t>1532-2351</t>
  </si>
  <si>
    <t>J DISPER SCI TECHNOL</t>
  </si>
  <si>
    <t>J. Dispersion Sci. Technol.</t>
  </si>
  <si>
    <t>2023 JUL 6</t>
  </si>
  <si>
    <t>10.1080/01932691.2023.2234482</t>
  </si>
  <si>
    <t>Chemistry, Physical</t>
  </si>
  <si>
    <t>M5VJ0</t>
  </si>
  <si>
    <t>WOS:001030889700001</t>
  </si>
  <si>
    <t>Hu, YF; Hao, WF; Wang, WT; Zhang, Y; Chen, Q; Yan, WF; Yan, TH</t>
  </si>
  <si>
    <t>Hu, Yifu; Hao, Wenfeng; Wang, Wentao; Zhang, Ye; Chen, Qi; Yan, Wenfu; Yan, Taihong</t>
  </si>
  <si>
    <t>Selective Separation of Zr(IV) from Simulated High-Level Liquid Wastes by Zeolites</t>
  </si>
  <si>
    <t>SOLVENT EXTRACTION AND ION EXCHANGE</t>
  </si>
  <si>
    <t>Adsorption; high level liquid waste; zeolite; Zr(IV); &gt;</t>
  </si>
  <si>
    <t>ION EXCHANGE PROPERTIES; 3RD PHASE-FORMATION; SILICA-GEL; AQUEOUS-SOLUTION; DEGRADATION-PRODUCTS; ADSORPTION BEHAVIOR; FISSION-PRODUCTS; ZIRCONIUM; EXTRACTION; REMOVAL</t>
  </si>
  <si>
    <t>Effectively separating Zr(IV) from strong acidic and radioactive solutions is crucial for spent fuel reprocessing plants, but it remains a challenging task. This study investigated the adsorption of Zr(IV) in HNO3 solutions using zeolites as adsorbents. The zeolites were characterized by X-ray diffraction (XRD)?scanning electron microscopy (SEM), transmission electron microscopy (TEM) and X-ray photoelectron spectroscopy (XPS). The effects of adsorption time, HNO3 concentration, the initial concentration of Zr(IV), zeolites dosage, and temperature on the Zr(IV) adsorption behaviors were investigated. The results demonstrated that HY zeolite had a higher adsorption capacity for Zr(IV) than H-SSZ-13 zeolite. The adsorption capacity of HY zeolite was influenced by its Si/Al ratio, which determined the density of adsorption sites. The optimal HY zeolite (HY-25) exhibited a maximum adsorption capacity of 30.438 mg/g in 3 M HNO3 solution. Furthermore, the adsorption isotherms and kinetics of Zr(IV) adsorption were investigated. The adsorption of Zr(IV) on zeolites was endothermic and spontaneous, in accordance with the Freundlich's isotherm model and pseudo-second-order kinetic model. In a simulated strong acidic solution of Zr(IV) and 10 co-existing cations (Ag+, Ba2+, Cs+, Ce3+, Eu3+, Fe3+, La3+, Nd3+, Sm3+, Sr2+), HY-25 exhibited good selective adsorption of Zr(IV), indicating its potential application in the treatment of high-level radioactive liquid waste.</t>
  </si>
  <si>
    <t>[Hu, Yifu; Wang, Wentao; Zhang, Ye; Chen, Qi; Yan, Taihong] China Inst Atom Energy, Dept Radiochem, Beijing, Peoples R China; [Hao, Wenfeng; Yan, Wenfu] Jilin Univ, State Key Lab Inorgan Synth &amp; Preparat Chem, Changchun, Peoples R China; [Hao, Wenfeng; Yan, Wenfu] Jilin Univ, Coll Chem, Changchun, Peoples R China; [Yan, Taihong] China Inst Atom Energy, Dept Radiochem, Beijing 102413, Peoples R China</t>
  </si>
  <si>
    <t>China Institute of Atomic Energy; Jilin University; Jilin University; China Institute of Atomic Energy</t>
  </si>
  <si>
    <t>Yan, TH (corresponding author), China Inst Atom Energy, Dept Radiochem, Beijing 102413, Peoples R China.</t>
  </si>
  <si>
    <t>yanth@ciae.ac.cn</t>
  </si>
  <si>
    <t>Hu, Yifu/HNS-0000-2023</t>
  </si>
  <si>
    <t>National Natural Science Foundation of China [U1867206]; Lingchuang Foundation of China National Nuclear Corporation [LC202309000703]; Presidential Foundation of China Institute of Atomic Energy [BJ22002903]; Continuous-Support Basic Scientific Research Project; [YZ202212001003]</t>
  </si>
  <si>
    <t>National Natural Science Foundation of China(National Natural Science Foundation of China (NSFC)); Lingchuang Foundation of China National Nuclear Corporation; Presidential Foundation of China Institute of Atomic Energy; Continuous-Support Basic Scientific Research Project;</t>
  </si>
  <si>
    <t>The work was supported by the~National Natural Science Foundation of China [U1867206]; Lingchuang Foundation of China National Nuclear Corporation [LC202309000703]; Continuous-Support Basic Scientific Research Project [BJ22002903]; Presidential Foundation of China Institute of Atomic Energy [YZ202212001003].</t>
  </si>
  <si>
    <t>0736-6299</t>
  </si>
  <si>
    <t>1532-2262</t>
  </si>
  <si>
    <t>SOLVENT EXTR ION EXC</t>
  </si>
  <si>
    <t>Solvent Extr. Ion Exch.</t>
  </si>
  <si>
    <t>SEP 19</t>
  </si>
  <si>
    <t>10.1080/07366299.2023.2231493</t>
  </si>
  <si>
    <t>S0NR7</t>
  </si>
  <si>
    <t>WOS:001022972200001</t>
  </si>
  <si>
    <t>Kwak, S; Lee, JY; Kim, MJ; Lee, HJ; Lee, DK; Kang, J; Kang, WH; Son, WC; Cruz, DJM</t>
  </si>
  <si>
    <t>Kwak, Seongsung; Lee, Ji-Young; Kim, Min Ju; Lee, Hyo Jin; Lee, Dong-Kyu; Kang, Jiyeon; Kang, Won-ho; Son, Woo-Chan; Cruz, Deu John M.</t>
  </si>
  <si>
    <t>Combination of PD-1 Checkpoint Blockade and Botulinum Toxin Type A1 Improves Antitumor Responses in Mouse Tumor Models of Melanoma and Colon Carcinoma</t>
  </si>
  <si>
    <t>Botulinum neurotoxin type A1; immune checkpoint blockade; syngeneic mouse tumor model; &gt;</t>
  </si>
  <si>
    <t>PANCREATIC-CANCER; CHOLINERGIC-RECEPTORS; PERINEURAL INVASION; THERAPY; MICROENVIRONMENT; INNERVATION; EXPRESSION; MICE</t>
  </si>
  <si>
    <t>BackgroundTumor innervation has been shown to be utilized by some solid cancers to support tumor initiation, growth, progression, and metastasis, as well as confer resistance to immune checkpoint blockade through suppression of antitumor immunologic responses. Since botulinum neurotoxin type A1 (BoNT/A1) blocks neuronal cholinergic signaling, its potential use as an anticancer drug in combination with anti-PD-1 therapy was investigated in four different syngeneic mouse tumor models.MethodsMice implanted with breast (4T1), lung (LLC1), colon (MC38), and melanoma (B16-F10) tumors were administered a single intratumoral injection of 15 U/kg BoNT/A1, repeated intraperitoneal injections of 5 mg/kg anti-PD-1 (RMP1-14), or both.ResultsCompared to the single-agent treatments, anti-PD-1 and BoNT/A1 combination treatment elicited significant reduction in tumor growth among B16-F10 and MC38 tumor-bearing mice. The combination treatment also lowered serum exosome levels in these mice compared to the placebo control group. In the B16-F10 syngeneic mouse tumor model, anti-PD-1 + BoNT/A1 combination treatment lowered the proportion of MDSCs, negated the increased proportion of T-reg cells, and elicited a higher number of tumor-infiltrating CD4(+) and CD8(+) T lymphocytes into the tumor microenvironment compared to anti-PD-1 treatment alone.ConclusionOur findings demonstrate the synergistic antitumor effects of BoNT/A1 and PD-1 checkpoint blockade in mouse tumor models of melanoma and colon carcinoma. These findings provide some evidence on the potential application of BoNT/A1 as an anticancer drug in combination with immune checkpoint blockade and should be further explored.</t>
  </si>
  <si>
    <t>[Kwak, Seongsung; Kim, Min Ju; Lee, Hyo Jin; Lee, Dong-Kyu; Cruz, Deu John M.] Medytox Gwanggyo R&amp;D Ctr, Pharmacol &amp; Toxicol Dept, 114 Central Town Ro, Suwon 16508, Gyeonggi Do, South Korea; [Kwak, Seongsung; Lee, Ji-Young; Kang, Jiyeon] Univ Ulsan, Asan Med Inst Convergence Sci &amp; Technol, Asan Med Ctr, Dept Med Sci,Coll Med, Seoul, South Korea; [Kang, Won-ho] Medytox Korea Co Ltd, Medytox Gwanggyo R&amp;D Ctr, Suwon, South Korea; [Son, Woo-Chan] Univ Ulsan, Asan Med Ctr, Dept Pathol, Coll Med, Seoul 05505, South Korea</t>
  </si>
  <si>
    <t>University of Ulsan; Asan Medical Center; University of Ulsan</t>
  </si>
  <si>
    <t>Cruz, DJM (corresponding author), Medytox Gwanggyo R&amp;D Ctr, Pharmacol &amp; Toxicol Dept, 114 Central Town Ro, Suwon 16508, Gyeonggi Do, South Korea.;Son, WC (corresponding author), Univ Ulsan, Asan Med Ctr, Dept Pathol, Coll Med, Seoul 05505, South Korea.</t>
  </si>
  <si>
    <t>wcson@amc.seoul.kr; deujohn.cruz@medytox.com</t>
  </si>
  <si>
    <t>Son, Woo-Chan/0000-0002-4052-8745; Kwak, Seongsung/0000-0001-7867-5057</t>
  </si>
  <si>
    <t>10.1080/08820139.2023.2232403</t>
  </si>
  <si>
    <t>WOS:001019813800001</t>
  </si>
  <si>
    <t>Liu, JL; Sheng, CH</t>
  </si>
  <si>
    <t>Liu, Jinlong; Sheng, Chunhong</t>
  </si>
  <si>
    <t>A historic review of deforestation and afforestation in North Korea</t>
  </si>
  <si>
    <t>THIRD WORLD QUARTERLY</t>
  </si>
  <si>
    <t>DPRK; deforestation; afforestation; environmental politics</t>
  </si>
  <si>
    <t>Forest cover loss in the DPRK is intrinsically related to food insecurity and energy insufficiency. This study used qualitative research methods to understand the deforestation and afforestation history of DPRK. Forest cover in the DPRK decreased during the period of Japanese -colonisation, increased slightly after liberation, decreased again during the Korean War, increased because of socialist economic progress, and decreased, when Eastern European socialism collapsed after 1990. Between 1990 and 2010, the decrease amounted to 2.2 million ha, while the volume of growing stock continued to decrease by approximately 3% per year. This was due to the copious amounts of fuel wood harvested from forests. Slash-and-burn cultivation of food crops also increased during that time. The decline in forest quantity and quality required comprehensive measures, including favourable international relations, political and institutional reforms, the decentralisation of forest management, and proper technical support for local communities. The forestry issue in DPRK is complex and, therefore, is no longer solely the prerogative of the forestry sector, but is embodied in political, social, cultural, economic, environmental, and other broad development challenges to country faces. Solving the forestry crisis in DPRK requires addressing challenges related to international political engagement and domestic multi-sector coordination and collaboration.</t>
  </si>
  <si>
    <t>[Liu, Jinlong] Renmin Univ China, Sch Agr Econ &amp; Rural Dev, Beijing, Peoples R China; [Sheng, Chunhong] Shanghai Int Studies Univ, Sch Int Relat &amp; Publ Affairs, Shanghai, Peoples R China</t>
  </si>
  <si>
    <t>Renmin University of China; Shanghai International Studies University</t>
  </si>
  <si>
    <t>Sheng, CH (corresponding author), Shanghai Int Studies Univ, Sch Int Relat &amp; Publ Affairs, Shanghai, Peoples R China.</t>
  </si>
  <si>
    <t>chunhongsheng@shisu.edu.cn</t>
  </si>
  <si>
    <t>Liu, Jinlong/0000-0002-0228-0865</t>
  </si>
  <si>
    <t>China National Social Science Fund</t>
  </si>
  <si>
    <t>This work was supported by the China National Social Science Fund [22BZZ105], and the National Natural Science Foundation of China [71973145].</t>
  </si>
  <si>
    <t>0143-6597</t>
  </si>
  <si>
    <t>1360-2241</t>
  </si>
  <si>
    <t>THIRD WORLD Q</t>
  </si>
  <si>
    <t>Third World Q.</t>
  </si>
  <si>
    <t>10.1080/01436597.2023.2233918</t>
  </si>
  <si>
    <t>L7SG1</t>
  </si>
  <si>
    <t>WOS:001025214900001</t>
  </si>
  <si>
    <t>Mingels, S; Dankaerts, W; van Etten, L; Bruckers, L; Granitzer, M</t>
  </si>
  <si>
    <t>Mingels, Sarah; Dankaerts, Wim; van Etten, Ludo; Bruckers, Liesbeth; Granitzer, Marita</t>
  </si>
  <si>
    <t>Thoracic spinal postures and mobility in patients with cervicogenic headache versus asymptomatic healthy controls: A longitudinal study</t>
  </si>
  <si>
    <t>Cervicogenic headache; Thorax; Posture</t>
  </si>
  <si>
    <t>LOW-BACK-PAIN; SITTING POSTURE; NECK PAIN; DISORDERS; ACCURACY; EXPOSURE; POSITION; SYSTEM; MOTION; TRUNK</t>
  </si>
  <si>
    <t>Introduction: Studies analyzing postures and mobility of the thoracic spine in the context of cervicogenic headache are missing. Insight in these parameters is needed since the cervical and thoracic spine are biomechanically related.Objective: To compare self-perceived optimal and habitual postures, active-assisted maximal range of motion, and repositioning error of the upper-thoracic and lower-thoracic spine between a cervicogenic headache-group and matched healthy control-group before and after a 30 min-laptop-task.Methods: A non-randomized longitudinal design was used to compare thoracic postures and mobility between 18 participants with cervicogenic headache (29-51 years) and 18 matched healthy controls (26-52 years). Outcomes were: self-perceived optimal and habitual postures, active-assisted maximal range of motion, and repositioning error of the upper-thoracic and lower-thoracic spine evaluated in sitting with a 3D-Vicon motion analysis system.Results: Habitual upper-thoracic postures in the cervicogenic headache-group were significantly (p = .04) less located toward the maximal range of motion for flexion compared to the control-group, self-perceived optimal upper-thoracic posture was significantly (p = .004) more extended in the cervicogenic headache-group compared to the control-group, and self-perceived optimal lower-thoracic posture could not be reestablished in the cervicogenic headache-group after the laptop-task (p = .009).Conclusion: Thoracic postures differ between a cervicogenic headache-group and control-group. These differences were detected by expressing the habitual thoracic posture relative to its maximal range of motion, and by analyzing the possibility of repositioning the thoracic spine after a headache provoking activity. Longitudinal studies are needed to determine the contribution of these musculoskeletal dysfunctions to the pathophysiology of cervicogenic headache.</t>
  </si>
  <si>
    <t>[Mingels, Sarah; Dankaerts, Wim] Leuven Univ, Fac Kinesiol &amp; Rehabil Sci, Dept Rehabil Sci, Musculoskeletal Res Unit, Tervuursevest 101, B-3001 Leuven, Belgium; [Mingels, Sarah; Granitzer, Marita] Hasselt Univ, Fac Rehabil Sci, REVAL Rehabil Res Ctr, Diepenbeek, Belgium; [van Etten, Ludo] Nieuw Eyckholt, Dept Biometr Zuyd Hogeschool, Heerlen, Netherlands; [Bruckers, Liesbeth] Hasselt Univ, Data Sci Inst, BioStat, Hasselt, Belgium</t>
  </si>
  <si>
    <t>Hasselt University; Hasselt University</t>
  </si>
  <si>
    <t>Mingels, S (corresponding author), Leuven Univ, Fac Kinesiol &amp; Rehabil Sci, Dept Rehabil Sci, Musculoskeletal Res Unit, Tervuursevest 101, B-3001 Leuven, Belgium.</t>
  </si>
  <si>
    <t>sarah.mingels@kuleuven.be</t>
  </si>
  <si>
    <t>Mingels, Sarah/0000-0001-9024-2377</t>
  </si>
  <si>
    <t>Leuven University [PDMt1/22/016]</t>
  </si>
  <si>
    <t>Leuven University(KU Leuven)</t>
  </si>
  <si>
    <t>SM is supported by the Leuven University (PDMt1/22/016). The sponsor has no role in composing the study design, collection, management, analysis, and interpretation of data, writing of the report, or the decision to submit the report for publication.</t>
  </si>
  <si>
    <t>10.1080/09593985.2023.2232858</t>
  </si>
  <si>
    <t>L6PW7</t>
  </si>
  <si>
    <t>WOS:001024472400001</t>
  </si>
  <si>
    <t>O'Donohue, A</t>
  </si>
  <si>
    <t>O'Donohue, Andrew</t>
  </si>
  <si>
    <t>The Social Constitution: Embedding Social Rights Through Legal Mobilization</t>
  </si>
  <si>
    <t>DEMOCRATIZATION</t>
  </si>
  <si>
    <t>[O'Donohue, Andrew] Harvard Univ, Govt Dept, Cambridge, MA 02138 USA</t>
  </si>
  <si>
    <t>Harvard University</t>
  </si>
  <si>
    <t>O'Donohue, A (corresponding author), Harvard Univ, Govt Dept, Cambridge, MA 02138 USA.</t>
  </si>
  <si>
    <t>aodonohue@g.harvard.edu</t>
  </si>
  <si>
    <t>O'Donohue, Andrew/JGE-5067-2023</t>
  </si>
  <si>
    <t>O'Donohue, Andrew/0000-0003-1390-7800</t>
  </si>
  <si>
    <t>1351-0347</t>
  </si>
  <si>
    <t>1743-890X</t>
  </si>
  <si>
    <t>Democratization</t>
  </si>
  <si>
    <t>10.1080/13510347.2023.2231853</t>
  </si>
  <si>
    <t>S8FM4</t>
  </si>
  <si>
    <t>WOS:001024927300001</t>
  </si>
  <si>
    <t>Ruffini, C; Osmani, F; Bigozzi, L; Pecini, C</t>
  </si>
  <si>
    <t>Ruffini, Costanza; Osmani, Fatbardha; Bigozzi, Lucia; Pecini, Chiara</t>
  </si>
  <si>
    <t>Semantic fluency in 3-6 years old preschoolers: which executive functions?</t>
  </si>
  <si>
    <t>CHILD NEUROPSYCHOLOGY</t>
  </si>
  <si>
    <t>Semantic fluency; executive functions; inhibition; working memory; cognitive flexibility</t>
  </si>
  <si>
    <t>VERBAL FLUENCY; INDIVIDUAL-DIFFERENCES; QUALITATIVE-ANALYSIS; INHIBITORY CONTROL; NORMATIVE DATA; CHILDREN; LANGUAGE; TASK; TRANSITION; DIVERSITY</t>
  </si>
  <si>
    <t>Semantic Fluency (SF) increases with age, along with the lexicon and the strategies to access it. Among the cognitive processes involved in controlling lexical access, Executive Functions (EF) play an essential role. Nevertheless, which EF, namely inhibition, working memory, and cognitive flexibility, are specifically tapped by SF during preschool years, when these basic EF components are developing and differentiating, is still unknown. The study had a two-fold aim: 1. to analyze in preschoolers the role of EF basic components on SF; 2. to investigate if EF mediated the effect of age on SF. A total of 296 typically developing preschoolers (M age = 57.86; SD = 9.91; month range = 33-74) were assessed with an SF task and EF tasks measuring the main EF basic components. Results showed that during preschool, response inhibition, working memory, and cognitive flexibility were significant predictors of SF, explaining 27% of its variance. Moreover, the effect of age on the SF task performance correlated with the improvement of these EF components. This study supports the importance of considering cognitive control processes in 3-6 year-old preschoolers as they underline important competencies for the child's development, such as the ability to quickly access vocabulary.</t>
  </si>
  <si>
    <t>[Ruffini, Costanza; Osmani, Fatbardha; Bigozzi, Lucia; Pecini, Chiara] Univ Florence, Dept Educ Languages Intercultures Literature &amp; Psy, FORLILPSI, Florence, Italy; [Ruffini, Costanza; Osmani, Fatbardha] Univ Florence, Dept Educ Languages Intercultures Literature &amp; Psy, FORLILPSI, Rd San Salvi 12, I-50135 Florence, Italy</t>
  </si>
  <si>
    <t>University of Florence; University of Florence</t>
  </si>
  <si>
    <t>Ruffini, C; Osmani, F (corresponding author), Univ Florence, Dept Educ Languages Intercultures Literature &amp; Psy, FORLILPSI, Rd San Salvi 12, I-50135 Florence, Italy.</t>
  </si>
  <si>
    <t>costanza.ruffin@unifi.it; bardhaqehaja@gmail.com</t>
  </si>
  <si>
    <t>Ruffini, Costanza/0000-0001-8180-8965</t>
  </si>
  <si>
    <t>0929-7049</t>
  </si>
  <si>
    <t>1744-4136</t>
  </si>
  <si>
    <t>CHILD NEUROPSYCHOL</t>
  </si>
  <si>
    <t>Child Neuropsychol.</t>
  </si>
  <si>
    <t>10.1080/09297049.2023.2230637</t>
  </si>
  <si>
    <t>L0CS6</t>
  </si>
  <si>
    <t>WOS:001020026500001</t>
  </si>
  <si>
    <t>Basallote, M; Gallardo, JM; Hernandez-Mancera, C; Jimenez-Losada, A</t>
  </si>
  <si>
    <t>Basallote, M.; Gallardo, J. M.; Hernandez-Mancera, C.; Jimenez-Losada, A.</t>
  </si>
  <si>
    <t>Rough Shapley functions for games with a priori unions</t>
  </si>
  <si>
    <t>Game theory; cooperative games; rough sets; Shapley value; a priori unions</t>
  </si>
  <si>
    <t>VALUES</t>
  </si>
  <si>
    <t>A family of allocation rules for cooperative games with a priori unions is introduced in this paper. These allocation rules, which will be called rough Shapley values, are extensions of the well-known Shapley value for classical cooperative games. The family of rough Shapley values, which is constructed by using rough sets to describe different cooperative options, includes several of the extensions of the Shapley value found in the literature. We prove that the rough Shapley values are the allocation rules for games with a priori unions that satisfy some reasonable properties.</t>
  </si>
  <si>
    <t>[Basallote, M.; Gallardo, J. M.; Hernandez-Mancera, C.; Jimenez-Losada, A.] Univ Seville, ETSI, Dept Appl Math 2, Seville, Spain</t>
  </si>
  <si>
    <t>Jimenez-Losada, A (corresponding author), Univ Seville, ETSI, Dept Appl Math 2, Seville, Spain.</t>
  </si>
  <si>
    <t>ajlosada@us.es</t>
  </si>
  <si>
    <t>Morilla, José Manuel Gallardo/L-5284-2018</t>
  </si>
  <si>
    <t>Morilla, José Manuel Gallardo/0000-0002-5349-2235</t>
  </si>
  <si>
    <t>2023 JUL 5</t>
  </si>
  <si>
    <t>10.1080/02331934.2023.2231481</t>
  </si>
  <si>
    <t>K9SL6</t>
  </si>
  <si>
    <t>WOS:001019759300001</t>
  </si>
  <si>
    <t>Beattie, B</t>
  </si>
  <si>
    <t>Beattie, Belinda</t>
  </si>
  <si>
    <t>Kalgoorlie's Sex Trade and the Kalgoorlie Miner: 1896-1903</t>
  </si>
  <si>
    <t>JOURNAL OF AUSTRALIAN STUDIES</t>
  </si>
  <si>
    <t>Kalgoorlie; prostitution; Federation; Kalgoorlie Miner; news framing; community</t>
  </si>
  <si>
    <t>PROSTITUTION</t>
  </si>
  <si>
    <t>Kalgoorlie and the sex industry are synonymous. Around the time of Federation, significant attempts were made by the community to rid itself of prostitution. An important contributor to this endeavour was the local long-running daily newspaper, the Kalgoorlie Miner. To date, research has overlooked its significant role in building community and reinforcing hegemony. The Kalgoorlie Miner's framing of prostitution as the social evil-antithetical to Christian living, morals and civility-was a successful position because it appealed to the buying public and maintained pressure on the problem. This article explores the place of newspapers in a given community, Federation Kalgoorlie, and its prostitution. It finds that gatekeeping and community Christianism, particularly the laity, played an essential role in challenging and opposing prostitution.</t>
  </si>
  <si>
    <t>[Beattie, Belinda] Univ New England, Sch HASS, Armidale, NSW, Australia</t>
  </si>
  <si>
    <t>University of New England</t>
  </si>
  <si>
    <t>Beattie, B (corresponding author), Univ New England, Sch HASS, Armidale, NSW, Australia.</t>
  </si>
  <si>
    <t>bbeattie@une.edu.au</t>
  </si>
  <si>
    <t>1444-3058</t>
  </si>
  <si>
    <t>1835-6419</t>
  </si>
  <si>
    <t>J AUST STUD</t>
  </si>
  <si>
    <t>J. Aust. Stud.</t>
  </si>
  <si>
    <t>10.1080/14443058.2023.2229348</t>
  </si>
  <si>
    <t>Area Studies; Cultural Studies; History</t>
  </si>
  <si>
    <t>L6QO5</t>
  </si>
  <si>
    <t>WOS:001024490200001</t>
  </si>
  <si>
    <t>Botsis, T; Kreimeyer, K</t>
  </si>
  <si>
    <t>Botsis, Taxiarchis; Kreimeyer, Kory</t>
  </si>
  <si>
    <t>Improving drug safety with adverse event detection using natural language processing</t>
  </si>
  <si>
    <t>EXPERT OPINION ON DRUG SAFETY</t>
  </si>
  <si>
    <t>Drug Safety; Adverse Drug Event; Natural Language Processing; Pharmacovigilance; Postmarketing Surveillance; &gt;</t>
  </si>
  <si>
    <t>ELECTRONIC HEALTH RECORDS; ARTIFICIAL-INTELLIGENCE; CLINICAL NOTES; SOCIAL MEDIA; PHARMACOVIGILANCE; EXTRACTION; TEXT; INFORMATION; IDENTIFICATION; ASSOCIATIONS</t>
  </si>
  <si>
    <t>IntroductionPharmacovigilance (PV) involves monitoring and aggregating adverse event information from a variety of data sources, including health records, biomedical literature, spontaneous adverse event reports, product labels, and patient-generated content like social media posts, but the most pertinent details in these sources are typically available in narrative free-text formats. Natural language processing (NLP) techniques can be used to extract clinically relevant information from PV texts to inform decision-making.Areas coveredWe conducted a non-systematic literature review by querying the PubMed database to examine the uses of NLP in drug safety and distilled the findings to present our expert opinion on the topic.Expert opinionNew NLP techniques and approaches continue to be applied for drug safety use cases; however, systems that are fully deployed and in use in a clinical environment remain vanishingly rare. To see high-performing NLP techniques implemented in the real setting will require long-term engagement with end users and other stakeholders and revised workflows in fully formulated business plans for the targeted use cases. Additionally, we found little to no evidence of extracted information placed into standardized data models, which should be a way to make implementations more portable and adaptable.</t>
  </si>
  <si>
    <t>[Botsis, Taxiarchis; Kreimeyer, Kory] Johns Hopkins Univ, Sidney Kimmel Comprehens Canc Ctr, Dept Oncol, Sch Med, Baltimore, MD 21287 USA; [Botsis, Taxiarchis] Johns Hopkins Univ, Sidney Kimmel Comprehens Canc Ctr, Sch Med, Canc Res Bldg 2,Rm 153,1550 Orleans St, Baltimore, MD 21287 USA</t>
  </si>
  <si>
    <t>Johns Hopkins University; Johns Hopkins Medicine; Johns Hopkins University; Johns Hopkins Medicine</t>
  </si>
  <si>
    <t>Botsis, T (corresponding author), Johns Hopkins Univ, Sidney Kimmel Comprehens Canc Ctr, Sch Med, Canc Res Bldg 2,Rm 153,1550 Orleans St, Baltimore, MD 21287 USA.</t>
  </si>
  <si>
    <t>tbotsis1@jhmi.edu</t>
  </si>
  <si>
    <t>1474-0338</t>
  </si>
  <si>
    <t>1744-764X</t>
  </si>
  <si>
    <t>EXPERT OPIN DRUG SAF</t>
  </si>
  <si>
    <t>Expert Opin. Drug Saf.</t>
  </si>
  <si>
    <t>10.1080/14740338.2023.2228197</t>
  </si>
  <si>
    <t>Q1ND0</t>
  </si>
  <si>
    <t>WOS:001020010300001</t>
  </si>
  <si>
    <t>Chevalier, DA</t>
  </si>
  <si>
    <t>Chevalier, Darializa Avila</t>
  </si>
  <si>
    <t>The securitisation of immigration through the Tactical Terrorism Response Team</t>
  </si>
  <si>
    <t>CRITICAL STUDIES ON TERRORISM</t>
  </si>
  <si>
    <t>Tactical Terrorism Response Team; immigration; counterterrorism; securitisation; border enforcement; Customs and Border Protection; &gt;</t>
  </si>
  <si>
    <t>This article considers a significant stage in the convergence of US counterterrorism policy and immigration enforcement exemplified by the emergence of a Customs and Border Protection (CBP) unit known as the Tactical Terrorism Response Team (TTRT). In my analysis I show: (i) that TTRT agents engage in a process I call social homicide which subjects travellers to a condition of bare life; (ii) that the increasing production of border violence highlights that the convergence of securitisation and immigration enforcement is a praxis of anti-Blackness and Islamophobia; (iii) that securitisation and exclusionary immigration policy have made use of invisibility to create and expand a permanent state of exception; and (iv) that border enforcement through securitisation is used as a mechanism for the surveillance and control of social movements inside the United States. Given the limited public information on TTRT's operations, this study explores the matter through a case study of Abdikadir Mohamed's 2017 encounter with the unit, his subsequent immigration proceedings, and the FOIA lawsuit filed against CBP for more information on the TTRT.</t>
  </si>
  <si>
    <t>[Chevalier, Darializa Avila] CUNY, Grad Ctr, Dept Sociol, New York, NY 10005 USA</t>
  </si>
  <si>
    <t>City University of New York (CUNY) System</t>
  </si>
  <si>
    <t>Chevalier, DA (corresponding author), CUNY, Grad Ctr, Dept Sociol, New York, NY 10005 USA.</t>
  </si>
  <si>
    <t>davilachevalier@gradcenter.cuny.edu</t>
  </si>
  <si>
    <t>1753-9153</t>
  </si>
  <si>
    <t>1753-9161</t>
  </si>
  <si>
    <t>CRIT STUD TERROR</t>
  </si>
  <si>
    <t>Crit. Stud. Terror.</t>
  </si>
  <si>
    <t>10.1080/17539153.2023.2229618</t>
  </si>
  <si>
    <t>N8MV8</t>
  </si>
  <si>
    <t>WOS:001018759900001</t>
  </si>
  <si>
    <t>Glover, G</t>
  </si>
  <si>
    <t>Glover, George</t>
  </si>
  <si>
    <t>The Challenge of Understanding Terrorism in a New Era of Threat</t>
  </si>
  <si>
    <t>RUSI JOURNAL</t>
  </si>
  <si>
    <t>A new approach is needed to manage the UK's increasingly nebulous terrorism threat, argues George Glover. The UK's terrorism definition relies on a determination of what ideological or political cause an individual or group is trying to advance. However, the predominance of self-initiated terrorists and the omnipresence of the internet in everyday life are challenging this approach. A better approach would more clearly demarcate terrorism from extremism, to provide the UK counterterrorism community with more robust tools to challenge a threat that is harder to understand.</t>
  </si>
  <si>
    <t>0307-1847</t>
  </si>
  <si>
    <t>1744-0378</t>
  </si>
  <si>
    <t>RUSI J</t>
  </si>
  <si>
    <t>RUSI J.</t>
  </si>
  <si>
    <t>10.1080/03071847.2023.2229652</t>
  </si>
  <si>
    <t>L7GJ9</t>
  </si>
  <si>
    <t>WOS:001024903900001</t>
  </si>
  <si>
    <t>Huynh, AC; Gonzalez, RAR</t>
  </si>
  <si>
    <t>Huynh, Alex C. C.; Gonzalez, Rosalva A. Romero A.</t>
  </si>
  <si>
    <t>The fine line between intellectual humility and arrogance: Perceiving humility among the intellectually humble and narcissistic</t>
  </si>
  <si>
    <t>JOURNAL OF POSITIVE PSYCHOLOGY</t>
  </si>
  <si>
    <t>Intellectual humility; intellectual arrogance; virtue; narcissism; wisdom; &gt;</t>
  </si>
  <si>
    <t>PERCEPTIONS; SERVILITY; WARMTH; SELF</t>
  </si>
  <si>
    <t>Prior research suggests that acknowledging limitations in one's knowledge - i.e. intellectual humility, is generally positively perceived. However, findings presented here demonstrate that individual differences in trait intellectual humility and trait narcissism moderate how positively it is viewed, as well as how intellectually humble or intellectually arrogant it is perceived to be. Across three studies (N = 734) participants rated others expressing intellectual humility (vs. intellectual arrogance) as higher in warmth and competence, with trait intellectual humility amplifying the effect and trait narcissism minimizing the effect. Moreover, statements acknowledging limitations in one's knowledge were perceived as lower in intellectual humility as trait intellectual humility decreased and as trait narcissism increased. In contrast to perceiving others, experimental evidence suggest that people expected themselves to be perceived as lower in warmth and competence when discussing how they could learn more about a topic, compared to discussing why they are knowledgeable about a topic.</t>
  </si>
  <si>
    <t>[Huynh, Alex C. C.; Gonzalez, Rosalva A. Romero A.] Calif State Univ San Marcos, Psychol Dept, 333 South Twin Oaks Valley Rd, San Marcos, CA 92096 USA; [Gonzalez, Rosalva A. Romero A.] San Diego State Univ, Dept Psychol, San Diego, CA USA</t>
  </si>
  <si>
    <t>California State University System; California State University San Marcos; California State University System; San Diego State University</t>
  </si>
  <si>
    <t>Huynh, AC (corresponding author), Calif State Univ San Marcos, Psychol Dept, 333 South Twin Oaks Valley Rd, San Marcos, CA 92096 USA.</t>
  </si>
  <si>
    <t>ahuynh@csusm.edu</t>
  </si>
  <si>
    <t>1743-9760</t>
  </si>
  <si>
    <t>1743-9779</t>
  </si>
  <si>
    <t>J POSIT PSYCHOL</t>
  </si>
  <si>
    <t>J. Posit. Psychol.</t>
  </si>
  <si>
    <t>10.1080/17439760.2023.2230455</t>
  </si>
  <si>
    <t>L0CV1</t>
  </si>
  <si>
    <t>WOS:001020029000001</t>
  </si>
  <si>
    <t>John, Y</t>
  </si>
  <si>
    <t>John, Yuslida</t>
  </si>
  <si>
    <t>Does ERP make a difference in public sector organisations' data management? Lessons from the Ministry of Lands, Housing and Human Settlements Development in Tanzania</t>
  </si>
  <si>
    <t>AFRICAN GEOGRAPHICAL REVIEW</t>
  </si>
  <si>
    <t>ERP; public sector; data management; Ministry of Lands; Housing and Human Settlements Development; &gt;</t>
  </si>
  <si>
    <t>TECHNOLOGY ACCEPTANCE MODEL; BIG DATA; IMPLEMENTATION; DIFFUSION; EXTENSION; FRAMEWORK; SYSTEMS; IMPACT</t>
  </si>
  <si>
    <t>This study aimed to find out how public sector organizations in Tanzania, through the Ministry of Lands, Housing, and Human Settlements Development, can manage data using the characteristics of enterprise resource planning systems, such as perceived ease of use, relative advantage, compatibility, observability, and trialability. The study discovered that only two of the five ERP characteristics are applicable through using structural equation modeling. These are relative advantages and observability. To better achieve its goals, the ministry should make sure that methodological approaches are thoroughly examined before implementation.</t>
  </si>
  <si>
    <t>[John, Yuslida] Univ Dodoma, Dept Business Adm &amp; Management, Dodoma Tanzania, Tanzania</t>
  </si>
  <si>
    <t>John, Y (corresponding author), Univ Dodoma, Dept Business Adm &amp; Management, Dodoma Tanzania, Tanzania.</t>
  </si>
  <si>
    <t>kabjanjas@yahoo.com</t>
  </si>
  <si>
    <t>1937-6812</t>
  </si>
  <si>
    <t>2163-2642</t>
  </si>
  <si>
    <t>AFR GEOGR REV</t>
  </si>
  <si>
    <t>Afr. Geogr. Rev.</t>
  </si>
  <si>
    <t>10.1080/19376812.2023.2232779</t>
  </si>
  <si>
    <t>K8GC0</t>
  </si>
  <si>
    <t>WOS:001018756900001</t>
  </si>
  <si>
    <t>Kassler, K; Hinderaker, A</t>
  </si>
  <si>
    <t>Kassler, Katie; Hinderaker, Amorette</t>
  </si>
  <si>
    <t>Problematic Integrations of Baptist Mothers' Nested Identities During Sex Talks with Children</t>
  </si>
  <si>
    <t>Parent-Child Sex Talks; Problematic Integration Theory; Religious Identity</t>
  </si>
  <si>
    <t>UNCERTAINTY; COMMUNICATION; EXIT</t>
  </si>
  <si>
    <t>This study examines the identity performance of Baptist mothers during sex talks with children using a problematic integration and nested identities integrated framework. The findings of this study suggest that mothers experienced a tension between their Biblical ontologies of sex and secular treatments of sex, which informed the strategies they used to communicate with their children. Sex talks with children, then, emerged as problematic integrations of ambiguity and dissonance. The findings of this study advance the notion that religious identities bleed into other kinds of identity performances, inform and resolve problematic integrations, and intensify stress associated with ambiguity.</t>
  </si>
  <si>
    <t>[Kassler, Katie] Univ Nebraska Lincoln, Commun Studies Dept, Lincoln, NE USA; [Hinderaker, Amorette] Texas Christian Univ, Dept Commun Studies, Convener Debates, Ft Worth, TX 76109 USA; [Kassler, Katie] Univ Nebraska Lincoln, Lincoln, NE 68588 USA</t>
  </si>
  <si>
    <t>University of Nebraska System; University of Nebraska Lincoln; Texas Christian University; University of Nebraska System; University of Nebraska Lincoln</t>
  </si>
  <si>
    <t>Kassler, K (corresponding author), Univ Nebraska Lincoln, Lincoln, NE 68588 USA.</t>
  </si>
  <si>
    <t>kkassler2@huskers.unl.edu</t>
  </si>
  <si>
    <t>10.1080/10570314.2023.2230950</t>
  </si>
  <si>
    <t>L4KQ8</t>
  </si>
  <si>
    <t>WOS:001022969600001</t>
  </si>
  <si>
    <t>King, N; Wiley, M; Rose, A; Fergus, A</t>
  </si>
  <si>
    <t>King, Natalie; Wiley, Michele; Rose, Alexa; Fergus, Andrea</t>
  </si>
  <si>
    <t>Delivery of School-based Physical Therapy via Telehealth: Perceptions and Attitudes of School-based Physical Therapists</t>
  </si>
  <si>
    <t>Pediatrics; qualitative; school-based physical therapy; telehealth; telerehabilitation; &gt;</t>
  </si>
  <si>
    <t>EARLY INTERVENTION; VIRTUAL-REALITY; TELEREHABILITATION; TELEMEDICINE; FAMILY; PHYSIOTHERAPY; MEDICINE; COVID-19; SERVICES; CHILDREN</t>
  </si>
  <si>
    <t>AimsSchool-based physical therapists (SBPTs) rapidly transitioned to telehealth during the pandemic. This study explored the perceptions of, and strategies utilized by, SBPTs delivering therapy via telehealth.MethodsUsing a grounded theory qualitative design, semi-structured interviews were completed with 13 SBPTs. Interviews were transcribed and theme coded until saturation was achieved.ResultsThe following themes emerged: supports and education, challenges, strategies promoting success, and the outcomes of telehealth. SBPTs overcame challenges including those associated with technology, communication, space, equipment, and examination. Coaching techniques, incorporation into the daily routine, and the sharing of demonstrations promoted success. Telehealth service delivery was perceived to improve communication with educational teams and families, improve efficiency and productivity, increase access to students, promote an appreciation of the family and home context, and enhance family engagement. SBPTs believe incorporating elements of telehealth in conjunction with in-person delivery is ideal.ConclusionsWhile the COVID-19 pandemic forced a rapid transition to telehealth for SBPTs, lessons learned could have a long-lasting positive impact on school-based services. The benefits of telehealth should be considered in the delivery of school-based physical therapy services.</t>
  </si>
  <si>
    <t>[King, Natalie; Wiley, Michele; Rose, Alexa; Fergus, Andrea] Shenandoah Univ, Div Phys Therapy, Winchester, VA 22601 USA</t>
  </si>
  <si>
    <t>Shenandoah University</t>
  </si>
  <si>
    <t>King, N (corresponding author), Shenandoah Univ, Div Phys Therapy, Winchester, VA 22601 USA.</t>
  </si>
  <si>
    <t>nking19@su.edu</t>
  </si>
  <si>
    <t>10.1080/01942638.2023.2228898</t>
  </si>
  <si>
    <t>O1GW4</t>
  </si>
  <si>
    <t>WOS:001041382900001</t>
  </si>
  <si>
    <t>Lai, MH; Shi, L; Lam, IF</t>
  </si>
  <si>
    <t>Lai, Manhong; Shi, Lan; Lam, Iatfei</t>
  </si>
  <si>
    <t>How academics interpret and deal with performance measures: a case study of two universities in Mainland China</t>
  </si>
  <si>
    <t>Performance measures; academic work; Mainland China</t>
  </si>
  <si>
    <t>POLICY; RESISTANCE; LABOR</t>
  </si>
  <si>
    <t>In recent years, the Chinese government has launched several policies to facilitate universities to develop performance measures closely related to national university rankings and resources allocation. Directed by these performance measures, academics employ various strategies to deal with the increasing requirements and pressure. Using a qualitative research method, we interviewed 32 informants in one top-tier and one second-tier university in Mainland China. Our study observed that first, academics mainly comply or adjust/adapt to the situation but obtain very limited space to contest. Second, academics decode that high-stakes rewards and punishment, frequently changing indicators, and governing tools that strongly stress visibility constitute the complicated pressure on them. Third, to try to obtain more opportunities, academics are eager to join research teams. However, the social context is such that social connections (guanxi) and inbreeding constrain academics' space to recode or translate their situation.</t>
  </si>
  <si>
    <t>[Lai, Manhong; Lam, Iatfei] Chinese Univ Hong Kong, Dept Educ Adm &amp; Policy, Hong Kong, Peoples R China; [Shi, Lan] Tsinghua Univ, Inst Educ, Beijing, Peoples R China</t>
  </si>
  <si>
    <t>Chinese University of Hong Kong; Tsinghua University</t>
  </si>
  <si>
    <t>Shi, L (corresponding author), Tsinghua Univ, Inst Educ, Beijing, Peoples R China.</t>
  </si>
  <si>
    <t>shilan_sl@126.com</t>
  </si>
  <si>
    <t>University of Hong Kong</t>
  </si>
  <si>
    <t>University of Hong Kong(University of Hong Kong)</t>
  </si>
  <si>
    <t>The research for this article was partially supported by the Teacher Studies and Development Project at the Education University of Hong Kong and the International Centre for Teacher Studies and Development at Beijing Normal University. Their support has facilitated the collection and analysis of data for this article.</t>
  </si>
  <si>
    <t>10.1080/07294360.2023.2228229</t>
  </si>
  <si>
    <t>K9UJ9</t>
  </si>
  <si>
    <t>WOS:001019809700001</t>
  </si>
  <si>
    <t>Mercun, A; DrobniC, M; Zlak, N; Krajnc, Z</t>
  </si>
  <si>
    <t>Mercun, Aljaz; DrobniC, Matej; Zlak, Nik; Krajnc, Zmago</t>
  </si>
  <si>
    <t>Knee osteoarthritis in the former elite football players and the ordinary population: a comparative cross-sectional study</t>
  </si>
  <si>
    <t>SCIENCE AND MEDICINE IN FOOTBALL</t>
  </si>
  <si>
    <t>Knee; football; osteoarthritis; injury; prevention</t>
  </si>
  <si>
    <t>PROFESSIONAL FOOTBALL; SOCCER PLAYERS; INJURY; JOINT; RISK; SPORTS; HIP; ARTHROPLASTY; PREVALENCE; LEVEL</t>
  </si>
  <si>
    <t>A cross-sectional case-control study compared subjective knee function, quality of life and radiographic knee osteoarthritis (OA) between 45 former elite football players and an age-matched general male population. Participants completed the Knee OA Outcome Score (KOOS), a quality-of-life assessment (EQ-5D-3 L) and standing knee radiographs. Among the players, 24 (53%) sustained at least one moderate or severe knee injury, while 21 (47%) did not recall any injury. Players with previous knee injuries reported significantly lower knee-specific and general quality-of-life scores (KOOS 69; EQ-5D-3 L 0.69 (0.2)) compared to the non-injured players (KOOS 92; EQ-5D-3 L 0.81 (0.2)) or the control population (KOOS 90; EQ-5D-3 L 0.83 (0.2)). The injured knees had higher radiographic OA Kellgren-Lawrence (KL) scale grades 1.7 (1.3) than the knees of the non-injured players 0.8 (1.0) or the control knees 0.8 (1.0)Former elite football players who had previously sustained a moderate or severe knee injury reported inferior knee function and lower quality of life. Injured knees had higher levels of radiographic OA. Non-injured players reported similar knee and general function and their knees had similar grades of OA to those in the control group. The defining moment for long-term knee preservation in football should be injury prevention protocols.</t>
  </si>
  <si>
    <t>[Mercun, Aljaz; DrobniC, Matej; Zlak, Nik] Univ Med Ctr Ljubljana, Dept Orthoped Surg, Ljubljana, Slovenia; [Mercun, Aljaz; DrobniC, Matej; Zlak, Nik] Univ Ljubljana, Fac Med, Chair Orthoped, Ljubljana, Slovenia; [Krajnc, Zmago] Univ Med Ctr Maribor, Dept Orthoped Surg, Maribor, Slovenia; [Mercun, Aljaz] Univ Med Ctr Ljubljana, Dept orthopaed Surg, Zaloska ul 9, SI-1000 Ljubljana, Slovenia</t>
  </si>
  <si>
    <t>University Medical Centre Ljubljana; University of Ljubljana; University of Maribor; University Medical Centre Ljubljana</t>
  </si>
  <si>
    <t>Mercun, A (corresponding author), Univ Med Ctr Ljubljana, Dept orthopaed Surg, Zaloska ul 9, SI-1000 Ljubljana, Slovenia.</t>
  </si>
  <si>
    <t>aljaz.mercun@kclj.si</t>
  </si>
  <si>
    <t>2473-3938</t>
  </si>
  <si>
    <t>2473-4446</t>
  </si>
  <si>
    <t>SCI MED FOOTBALL</t>
  </si>
  <si>
    <t>Sci. Med. Football</t>
  </si>
  <si>
    <t>10.1080/24733938.2023.2228279</t>
  </si>
  <si>
    <t>L0DE5</t>
  </si>
  <si>
    <t>WOS:001020038400001</t>
  </si>
  <si>
    <t>Mi, X</t>
  </si>
  <si>
    <t>Mi, Xue</t>
  </si>
  <si>
    <t>Mapping Continuity and Change in German Strategic Culture, 1999-2022</t>
  </si>
  <si>
    <t>FOREIGN-POLICY; UKRAINE CRISIS</t>
  </si>
  <si>
    <t>This article investigates German foreign and security policy from 1999 to 2022 through the prism of strategic culture. In contrast with previous studies on German strategic culture, this article employs a mixed research design to examine areas showing major changes and areas of relative continuity. By using NVivo's two analytical tools (word frequency analysis and matrix coding analysis), the article conducts a computer-based content analysis of German official strategic discourses in the foreign and security realm. The findings reveal that although some of the foundational elements have been preserved and further strengthened, German strategic culture appears to have exhibited more changes since 2014, particularly in terms of the geographical scope of security concerns, perceptions of key threats and Russia. The article argues that Germany's understanding of security has shifted towards a normative dimension that places greater emphasis on values and rules, and that Germany's security concerns are no longer confined to European regional security but rather extend further afield.</t>
  </si>
  <si>
    <t>xue.mi@yahoo.com</t>
  </si>
  <si>
    <t>10.1080/09644008.2023.2232308</t>
  </si>
  <si>
    <t>K9UD0</t>
  </si>
  <si>
    <t>WOS:001019802800001</t>
  </si>
  <si>
    <t>Nagle, J; Mabon, S</t>
  </si>
  <si>
    <t>Nagle, John; Mabon, Simon</t>
  </si>
  <si>
    <t>Fierce and accommodationist divided cities: understanding right-to-the-city protests in Beirut and Manama</t>
  </si>
  <si>
    <t>PEACEBUILDING</t>
  </si>
  <si>
    <t>Right-to-the-city; Beirut; Manama; Peacebuilding; Protest</t>
  </si>
  <si>
    <t>Divided cities have attracted mounting scholarly attention. Yet, while the focus has largely been on how divisions are constructed, we examine the potentiality of waves of non-sectarian protest movements as urban peacebuilding actors. Towards this, we draw on comparative research on protests in two divided cities in the MENA region, Beirut (Lebanon) and Manama (Bahrain). These two cities, we argue, represent contrasting forms of divided city, marked by different approaches to dealing with sectarian pluralism that ultimately entrench sectarianism and inequality. Protest movements thus represent right-to-the-city mobilisations oriented towards demands for inclusive urban living. These movements foster 'insurgent citizenship, an articulation of urban belonging and citizenship that focusses on confronting and destabilising the entrenched regimes of citizen inequality. However, while these protests are important peacebuilding actors, we note the profound structural and agential forces that limit the movement's goals.</t>
  </si>
  <si>
    <t>[Nagle, John] Queens Univ Belfast, Sch Social Sci Educ &amp; Social Work, Belfast, North Ireland; [Mabon, Simon] Univ Lancaster, Dept Polit Philosophy &amp; Relig, Lancaster, England</t>
  </si>
  <si>
    <t>Queens University Belfast; Lancaster University</t>
  </si>
  <si>
    <t>Nagle, J (corresponding author), Queens Univ Belfast, Sch Social Sci Educ &amp; Social Work, Belfast, North Ireland.</t>
  </si>
  <si>
    <t>j.nagle@abdn.ac.uk</t>
  </si>
  <si>
    <t>Nagle, John/0000-0001-8836-9942</t>
  </si>
  <si>
    <t>Carnegie Corporation of New York</t>
  </si>
  <si>
    <t>Part of this research has been funded by Carnegie Corporation of New York, whose ongoing support for SEPAD is invaluable.</t>
  </si>
  <si>
    <t>2164-7259</t>
  </si>
  <si>
    <t>2164-7267</t>
  </si>
  <si>
    <t>Peacebuilding</t>
  </si>
  <si>
    <t>10.1080/21647259.2023.2219119</t>
  </si>
  <si>
    <t>L6QA0</t>
  </si>
  <si>
    <t>WOS:001024475700001</t>
  </si>
  <si>
    <t>Nickerson, E; Schmidt, C</t>
  </si>
  <si>
    <t>Nickerson, Emily; Schmidt, Christian</t>
  </si>
  <si>
    <t>Database review: EconBiz</t>
  </si>
  <si>
    <t>JOURNAL OF BUSINESS &amp; FINANCE LIBRARIANSHIP</t>
  </si>
  <si>
    <t>Business; database; EconBiz; economics; open access</t>
  </si>
  <si>
    <t>EconBiz is a specialized academic information portal hosted by the Leibniz Information Center for Economics in Germany. It is freely accessible and facilitates discovery to a wide range of research publications, learning, and professional resources. This article will review EconBiz in the context of business and economics research and from an openness perspective.</t>
  </si>
  <si>
    <t>[Nickerson, Emily; Schmidt, Christian] Univ Victoria, Victoria, BC, Canada; [Nickerson, Emily] Univ Victoria, law &amp; Business librarian, Victoria, BC, Canada</t>
  </si>
  <si>
    <t>University of Victoria; University of Victoria</t>
  </si>
  <si>
    <t>Nickerson, E (corresponding author), Univ Victoria, law &amp; Business librarian, Victoria, BC, Canada.</t>
  </si>
  <si>
    <t>enickerson@uvic.ca</t>
  </si>
  <si>
    <t>Schmidt, Christian/0000-0001-9116-223X</t>
  </si>
  <si>
    <t>0896-3568</t>
  </si>
  <si>
    <t>1547-0644</t>
  </si>
  <si>
    <t>J BUS FINANC LIBR</t>
  </si>
  <si>
    <t>J. Bus. Financ. Libr.</t>
  </si>
  <si>
    <t>10.1080/08963568.2023.2233837</t>
  </si>
  <si>
    <t>N1EP1</t>
  </si>
  <si>
    <t>WOS:001034532300001</t>
  </si>
  <si>
    <t>O'Halloran, O; Cook, N</t>
  </si>
  <si>
    <t>O'Halloran, Olivia; Cook, Nancy</t>
  </si>
  <si>
    <t>Breaking the silence: exploring women's experiences of participating in the #MeToo movement</t>
  </si>
  <si>
    <t>FEMINIST MEDIA STUDIES</t>
  </si>
  <si>
    <t>YouTube; #metoo; sexual violence; silencing; vlogs</t>
  </si>
  <si>
    <t>#MeToo is a digital social movement that has garnered significant attention from feminist scholars since the hashtag obtained viral fame in 2017. Nonetheless, how survivors of sexual violence experience participating in #MeToo remains an understudied question. In this paper we analyze vlogs posted on YouTube under the hashtag to understand how women represent the affordances and drawbacks of participating in the movement, and how they imagine their experiential narratives may affect other survivors. We argue that vloggers represent #MeToo as a forum for breaking the culture of silence that structures sexual violence. As they narrate their experiences, vloggers challenge silencing mechanisms by cultivating voice, resistance strategies, and survivor solidarity, while encouraging viewers to similarly examine their own experiences. Vloggers also identify the emotional burdens associated with disclosure and the damages incurred by confronting rape myths and the entrenched denial of perpetrator guilt as drawbacks of participation.</t>
  </si>
  <si>
    <t>[O'Halloran, Olivia; Cook, Nancy] Brock Univ, Dept Sociol, St Catharines, ON, Canada; [Cook, Nancy] Brock Univ, Dept Sociol, 1812 Sir Isaac Brock Way, St Catharines, ON L2S 3A1, Canada</t>
  </si>
  <si>
    <t>Brock University; Brock University</t>
  </si>
  <si>
    <t>Cook, N (corresponding author), Brock Univ, Dept Sociol, 1812 Sir Isaac Brock Way, St Catharines, ON L2S 3A1, Canada.</t>
  </si>
  <si>
    <t>ncook@brocku.ca</t>
  </si>
  <si>
    <t>Cook, Nancy/0000-0002-4308-668X</t>
  </si>
  <si>
    <t>1468-0777</t>
  </si>
  <si>
    <t>1471-5902</t>
  </si>
  <si>
    <t>FEM MEDIA STUD</t>
  </si>
  <si>
    <t>Fem. Media Stud.</t>
  </si>
  <si>
    <t>10.1080/14680777.2023.2231656</t>
  </si>
  <si>
    <t>Communication; Women's Studies</t>
  </si>
  <si>
    <t>L4KR7</t>
  </si>
  <si>
    <t>WOS:001022970500001</t>
  </si>
  <si>
    <t>Petras, N; Meiser, T</t>
  </si>
  <si>
    <t>Petras, Nils; Meiser, Thorsten</t>
  </si>
  <si>
    <t>Problems of Domain Factors with Small Factor Loadings in Bi-Factor Models</t>
  </si>
  <si>
    <t>MULTIVARIATE BEHAVIORAL RESEARCH</t>
  </si>
  <si>
    <t>bi-factor model; statistical power; specific factors; bi-factor(S-1) model</t>
  </si>
  <si>
    <t>GENERAL PSYCHOPATHOLOGY FACTOR; EXPLORATORY FACTOR-ANALYSIS; LIKELIHOOD RATIO; BIFACTOR; SCOLIOSIS; VALIDATION; TUTORIAL; SIZE</t>
  </si>
  <si>
    <t>Many measurement designs produce domain factors with small variances and factor loadings. The current study investigates the cause, prevalence, and problematic consequences of such domain factors. We collected a meta-analytic sample of empirical applications, conducted a simulation study on statistical power and estimation precision, and provide a reanalysis of an empirical example. The meta-analysis shows that about a quarter of all standardized domain factor loadings is in the range of -.2 &lt; ? &lt;.2 and about a third of all domains is measured by five or fewer indicators, resulting in small factor variances. The simulation study examines the associated difficulties concerning statistical power, trait recovery, irregular estimates, and estimation precision for a range of such realistic cases. The empirical example illustrates the challenge to develop measures that produce clearly interpretable domain factors. Study planning and interpretation need to take the (expected) sum of squared factor loadings per domain factor into account. This is relevant even if influences of domain factors are desired to be small, and equally applies to different model variants. We propose several strategies for how researchers may better unlock the bifactor model's full potential and clarify its interpretation.</t>
  </si>
  <si>
    <t>[Petras, Nils; Meiser, Thorsten] Univ Mannheim, Mannheim, Germany; [Petras, Nils] Univ Mannheim, Sch Social Sci, Dept Psychol, L13,15, D-68161 Mannheim, Germany</t>
  </si>
  <si>
    <t>University of Mannheim; University of Mannheim</t>
  </si>
  <si>
    <t>Petras, N (corresponding author), Univ Mannheim, Sch Social Sci, Dept Psychol, L13,15, D-68161 Mannheim, Germany.</t>
  </si>
  <si>
    <t>nils.petras@uni-mannheim.de</t>
  </si>
  <si>
    <t>Deutsche Forschungsgemeinschaft (DFG, German Research Foundation) [GRK 2277]</t>
  </si>
  <si>
    <t>Deutsche Forschungsgemeinschaft (DFG, German Research Foundation)(German Research Foundation (DFG))</t>
  </si>
  <si>
    <t>This work was supported by the Deutsche Forschungsgemeinschaft (DFG, German Research Foundation)- GRK 2277 Statistical Modeling in Psychology.</t>
  </si>
  <si>
    <t>0027-3171</t>
  </si>
  <si>
    <t>1532-7906</t>
  </si>
  <si>
    <t>MULTIVAR BEHAV RES</t>
  </si>
  <si>
    <t>Multivariate Behav. Res.</t>
  </si>
  <si>
    <t>10.1080/00273171.2023.2228757</t>
  </si>
  <si>
    <t>Mathematics, Interdisciplinary Applications; Social Sciences, Mathematical Methods; Psychology, Experimental; Statistics &amp; Probability</t>
  </si>
  <si>
    <t>Mathematics; Mathematical Methods In Social Sciences; Psychology</t>
  </si>
  <si>
    <t>R1EH9</t>
  </si>
  <si>
    <t>WOS:001061837700001</t>
  </si>
  <si>
    <t>Rather, RA</t>
  </si>
  <si>
    <t>Rather, Raouf Ahmad</t>
  </si>
  <si>
    <t>Metaverse marketing and consumer research: theoretical framework and future research agenda in tourism and hospitality industry</t>
  </si>
  <si>
    <t>Metaverse tourism marketing; real-time multisensory-social-interactions; virtual reality; consumer research; tourism and hospitality; future research agenda</t>
  </si>
  <si>
    <t>VIRTUAL-REALITY; ENGAGEMENT</t>
  </si>
  <si>
    <t>While research on metaverse (MV) has expanded, the domain of real-time multisensory-social-interactions (RTMSIs) in metaverse-tourism has not been recognized so far in travel, tourism and hospitality marketing. This research note develops a theoretical-framework that recommends nine set of important research propositions in MV-tourism. An extensive literature review was conducted to examine the conceptual developments on virtual reality (VR) and metaverse in tourism, hospitality, marketing and psychology. The proposed framework suggests if RTMSIs in MV, once accessed via VR-headsets can produce more significance for consumers/tourists relating to interaction-based outcomes (e.g. performance/emotions/evaluation) than 2D-internet through intermediate-conditions (e.g. social presence, engagement, immersion and exhaustion). As such, this article recommends theoretical/management implications to offer an important future research agenda on metaverse and consumer research in tourism, hospitality, branding and marketing contexts.</t>
  </si>
  <si>
    <t>r.raouf18@gmail.com</t>
  </si>
  <si>
    <t>10.1080/02508281.2023.2216525</t>
  </si>
  <si>
    <t>L8AC2</t>
  </si>
  <si>
    <t>WOS:001025422000001</t>
  </si>
  <si>
    <t>Srinivas, A; Shaha, AJ; Jakka, SCB</t>
  </si>
  <si>
    <t>Srinivas, Atti; Shaha, Ajish Jivanlal; Jakka, Sarat Chandra Babu</t>
  </si>
  <si>
    <t>Studies on application of Petcoke-based graphene membranes for CO2 separation</t>
  </si>
  <si>
    <t>SEPARATION SCIENCE AND TECHNOLOGY</t>
  </si>
  <si>
    <t>CO2 separation; graphene; graphene-based membranes; ink-jet printing</t>
  </si>
  <si>
    <t>MIXED MATRIX MEMBRANE; CO2/N-2 SEPARATION; NANOPARTICLES; PERFORMANCE; CO2/CH4</t>
  </si>
  <si>
    <t>Graphene-based separation membranes exhibit high separation potential to separate ions and molecules by the interlayer spacing with high surface area, porosity and tunable nanosized channels. The large-scale manufacturing of graphene-based membranes for gas separation is limited and challenging. Deposition of uniform, and selective ultrathin films as membrane is a big challenge for scalable separation with existing methods. In present study, solvent-ink-jet printing technique is applied for dispersing and uniform coating of graphene layers onto the membrane support. Preparation of graphene-based ink is the core objective of the operation for evaluating stability, coating and followed by separation studies. As prepared, graphene ink is filled in the cartridge of HP Desk-Jet-1110 series, which is available and slightly modified for the printing on the RO-membrane as support. The prepared membranes are characterized and analyzed for gas separation performance study. The decrease in gas composition of CO2 in permeate is observed and around 93% &amp; PLUSMN; 0.5 of CO2 is separated from the gaseous mixtures.</t>
  </si>
  <si>
    <t>[Srinivas, Atti; Shaha, Ajish Jivanlal; Jakka, Sarat Chandra Babu] Natl Inst Technol Tiruchirappalli, Dept Chem Engn, Tiruchirappalli 620015, India</t>
  </si>
  <si>
    <t>National Institute of Technology (NIT System); National Institute of Technology Tiruchirappalli</t>
  </si>
  <si>
    <t>Jakka, SCB (corresponding author), Natl Inst Technol Tiruchirappalli, Dept Chem Engn, Tiruchirappalli 620015, India.</t>
  </si>
  <si>
    <t>sarat@nitt.edu</t>
  </si>
  <si>
    <t>Ministry of Education, Government of India; Department of Chemical Engineering NIT-Trichy</t>
  </si>
  <si>
    <t>We would like to thank the Ministry of Education, Government of India, and the Department of Chemical Engineering NIT-Trichy for their economical and infrastructural support. We are very thankful to department of Material &amp; Metallurgical Engineering and Physics for characterization facility. We would like to thank scholars of chemical department and SRMS team for their support. We are thankful to SESTEC-2022, for inviting and providing platform to share our findings at Tenth Biennial Symposium on Emerging Trends in Separation Science and Technology.</t>
  </si>
  <si>
    <t>0149-6395</t>
  </si>
  <si>
    <t>1520-5754</t>
  </si>
  <si>
    <t>SEP SCI TECHNOL</t>
  </si>
  <si>
    <t>Sep. Sci. Technol.</t>
  </si>
  <si>
    <t>10.1080/01496395.2023.2232533</t>
  </si>
  <si>
    <t>Chemistry, Multidisciplinary; Engineering, Chemical</t>
  </si>
  <si>
    <t>Chemistry; Engineering</t>
  </si>
  <si>
    <t>L2EE3</t>
  </si>
  <si>
    <t>WOS:001021431400001</t>
  </si>
  <si>
    <t>Xiao, HJ; Yu, WJ; Li, LH; Yin, XQ; Zhai, QN; Hu, D; Zhang, XF; Wang, F</t>
  </si>
  <si>
    <t>Xiao, Haijun; Yu, Weijian; Li, Lihua; Yin, Xiaoqin; Zhai, Qingna; Hu, Die; Zhang, Xiufa; Wang, Feng</t>
  </si>
  <si>
    <t>Trimester-specific reference intervals of hemostasis biomarkers for healthy pregnancy</t>
  </si>
  <si>
    <t>TAT; PIC; TM; tPAI-C; healthy pregnancy; reference intervals; &gt;</t>
  </si>
  <si>
    <t>DISSEMINATED INTRAVASCULAR COAGULATION; VENOUS THROMBOEMBOLISM; ANTITHROMBIN; MARKERS; FIBRINOLYSIS; PREECLAMPSIA; ACTIVATION; COMPLEX; SEPSIS</t>
  </si>
  <si>
    <t>Physiological changes in hemostasis during pregnancy have been reported by several authors. This study aimed at establishing reference intervals for the hemostasis biomarkers thrombin-antithrombin complex (TAT), &amp; alpha;2-plasmininhibitor-plasmin complex (PIC), thrombomodulin (TM) and tissue plasminogen activator-inhibitor complex (tPAI-C), in healthy pregnancies. After excluding outliers, a total of 496 healthy pregnant women (128 first-trimester, 142 second-trimester, 107 third-trimester and 119 pre-labor) and 103 healthy nonpregnant women were enrolled from Shenzhen Bao'an Women's and Children's Hospital. Hemostasis biomarkers, TAT, PIC, TM and tPAI-C, were measured by using a quantitative chemiluminescence enzyme immunoassay performed on HISCL automated analysers. The median and reference intervals (the 2.5th and 97.5th percentiles) were calculated to establish trimester-specific reference intervals for healthy pregnant women. The reference intervals for TAT, PIC, TM and tPAI-C in the first trimester were 0.7-7.6 1 &amp; mu;g/L, 0.2-0.9 mg/L, 2.8-11.0 TU/ml, and 1.2-6.5 1 &amp; mu;g/L, respectively. The reference intervals in the second trimester were 1.7-12.0 1 &amp; mu;g/L, 0.2-1.0 mg/L, 3.7-11.6 TU/ml, and 2.8-8.8 1 &amp; mu;g/L, respectively. The reference intervals in the third trimester were 2.7-16.1 1 &amp; mu;g/L, 0.1-1.4 mg/L, 2.9-12.9 TU/ml, and 1.9-8.0 1 &amp; mu;g/L, respectively. At pre-labor, the reference intervals were 4.8-32.9 1 &amp; mu;g/L, 0.2-1.9 mg/L, 4.2-12.6 TU/ml, and 2.8-15.4 1 &amp; mu;g/L, respectively. Gestational reference intervals for TAT, PIC, TM and tPAI-C in healthy pregnancies are provided, but only for TAT with increasing concentrations throughout pregnancy, the reference intervals for non-pregnant were not applicable.</t>
  </si>
  <si>
    <t>[Xiao, Haijun; Yu, Weijian; Li, Lihua; Zhai, Qingna; Hu, Die; Zhang, Xiufa; Wang, Feng] Shenzhen Baoan Womens &amp; Childrens Hosp, Shenzhen, Guangdong, Peoples R China; [Yin, Xiaoqin] Shenzhen Longhua New Dist Peoples Hosp, Shenzhen, Peoples R China</t>
  </si>
  <si>
    <t>Wang, F (corresponding author), Shenzhen Baoan Womens &amp; Childrens Hosp, Shenzhen, Guangdong, Peoples R China.</t>
  </si>
  <si>
    <t>Shenzhen Science and Technology Plan Project [JCYJ20220530160015033]; Bao'an District Medical and Health Basic Research Project [2020JD436]</t>
  </si>
  <si>
    <t>Shenzhen Science and Technology Plan Project; Bao'an District Medical and Health Basic Research Project</t>
  </si>
  <si>
    <t>The work was funded by Shenzhen Science and Technology Plan Project JCYJ20220530160015033 and Bao'an District Medical and Health Basic Research Project 2020JD436.</t>
  </si>
  <si>
    <t>10.1080/00365513.2023.2233903</t>
  </si>
  <si>
    <t>M8SD7</t>
  </si>
  <si>
    <t>WOS:001032850500001</t>
  </si>
  <si>
    <t>Xu, K; Wang, HQ; Liu, PX</t>
  </si>
  <si>
    <t>Xu, Ke; Wang, Huanqing; Xiaoping Liu, Peter</t>
  </si>
  <si>
    <t>Adaptive fixed-time output feedback formation control for nonstrict-feedback nonlinear multi-agent systems</t>
  </si>
  <si>
    <t>Adaptive technique; nonlinear multi-agent systems; fixed-time; output-feedback; &gt;</t>
  </si>
  <si>
    <t>BACKSTEPPING CONTROL; CONTAINMENT CONTROL; STABILIZATION</t>
  </si>
  <si>
    <t>In this paper, an adaptive fixed-time output feedback formation control problem is investigated for nonlinear multi-agent systems with a nonstrict-feedback structure. In the controller design procedure, the neural network state observer is designed to estimate the unmeasurable state variables. Dynamic surface control (DSC) technique is applied to avoid the repeated differentiation for the virtual control signals. The dynamic surface compensation signals can realise the practical fixed-time bounded. Utilising the classified discussion method, the difficulty of controller design caused by the existence of observer error term is addressed. The technique of transformation of the index set is employed to cope with the related variables of the neighbour states, which simplifies the controller design. Under the presented control mechanism, all closed-loop signals remain bound for a fixed period of time, the formation control performance target between all followers and leader can be achieved. And the formation errors and state observers errors are both bounded such that can converge to a little domain around zero. Simulation results are provided to test the availability of the presented strategy.</t>
  </si>
  <si>
    <t>[Xu, Ke] Beijing Jiaotong Univ, Sch Mech Elect &amp; Control Engn, Beijing, Peoples R China; [Wang, Huanqing] Bohai Univ, Sch Math Sci, Jinzhou, Peoples R China; [Xiaoping Liu, Peter] Carleton Univ, Dept Syst &amp; Comp Engn, Ottawa, ON, Canada; [Xu, Ke] Beijing Jiaotong Univ, Sch Mech Elect &amp; Control Engn, Beijing 100044, Peoples R China; [Xiaoping Liu, Peter] Carleton Univ, Dept Syst &amp; Comp Engn, Ottawa, ON K1S 5B6, Canada</t>
  </si>
  <si>
    <t>Beijing Jiaotong University; Bohai University; Carleton University; Beijing Jiaotong University; Carleton University</t>
  </si>
  <si>
    <t>Xu, K (corresponding author), Beijing Jiaotong Univ, Sch Mech Elect &amp; Control Engn, Beijing 100044, Peoples R China.;Liu, PX (corresponding author), Carleton Univ, Dept Syst &amp; Comp Engn, Ottawa, ON K1S 5B6, Canada.</t>
  </si>
  <si>
    <t>bhuxuke@163.com; xpliu@sce.carleton.ca</t>
  </si>
  <si>
    <t>Liu, Peter Xiaoping/E-5684-2014</t>
  </si>
  <si>
    <t>Liu, Peter Xiaoping/0000-0002-8703-6967; Xu, Ke/0000-0002-2191-0332</t>
  </si>
  <si>
    <t>Fundamental Research Funds for the Central Universities [2023YJS002]; National Natural Science Foundation of China [62173046]</t>
  </si>
  <si>
    <t>Fundamental Research Funds for the Central Universities(Fundamental Research Funds for the Central Universities); National Natural Science Foundation of China(National Natural Science Foundation of China (NSFC))</t>
  </si>
  <si>
    <t>This work was supported in part by the Fundamental Research Funds for the Central Universities Grant 2023YJS002, and in part by the National Natural Science Foundation of China under Grant number 62173046.</t>
  </si>
  <si>
    <t>10.1080/00207721.2023.2228809</t>
  </si>
  <si>
    <t>L4DV7</t>
  </si>
  <si>
    <t>WOS:001022151000001</t>
  </si>
  <si>
    <t>Allen, B</t>
  </si>
  <si>
    <t>Allen, Blake</t>
  </si>
  <si>
    <t>Coleridge and the Materiality of Translucence</t>
  </si>
  <si>
    <t>EUROPEAN ROMANTIC REVIEW</t>
  </si>
  <si>
    <t>Paul de Man's thoroughgoing critique of Samuel Taylor Coleridge's symbol, which has had a lasting impact on Romantic scholarship, is based upon the supposed incompatibility of materiality and translucence. This article sets out to deconstruct de Man's argument on the basis of a specific appeal to materiality. But it also takes his critique as a virtuous provocation to clarify the relationship between materiality and the metaphysics and phenomenology of translucence. Towards this end, the article develops a material history of translucence, focusing on Coleridge's early notebook descriptions of weather phenomena, light, and water, and his representations of light in his poem, This Lime-Tree Bower My Prison.</t>
  </si>
  <si>
    <t>[Allen, Blake] Univ Cambridge, Fac Divin, Cambridge, England</t>
  </si>
  <si>
    <t>Allen, B (corresponding author), Univ Cambridge, Fac Divin, Cambridge, England.</t>
  </si>
  <si>
    <t>bta27@cam.ac.uk</t>
  </si>
  <si>
    <t>1050-9585</t>
  </si>
  <si>
    <t>1740-4657</t>
  </si>
  <si>
    <t>EUR ROMANT REV</t>
  </si>
  <si>
    <t>Eur. Romant. Rev.</t>
  </si>
  <si>
    <t>10.1080/10509585.2023.2225443</t>
  </si>
  <si>
    <t>Q0LC8</t>
  </si>
  <si>
    <t>WOS:001054504200002</t>
  </si>
  <si>
    <t>Ardito, MP; Rihm, AI</t>
  </si>
  <si>
    <t>Ardito, Maria Paz; Rihm, Andrea I.</t>
  </si>
  <si>
    <t>A Wish for an Implicated Psychoanalysis: Some Notes from Chile</t>
  </si>
  <si>
    <t>PSYCHOANALYTIC DIALOGUES</t>
  </si>
  <si>
    <t>Ardito, Maria Paz/0009-0008-8959-8438</t>
  </si>
  <si>
    <t>1048-1885</t>
  </si>
  <si>
    <t>1940-9222</t>
  </si>
  <si>
    <t>PSYCHOANAL DIALOGUES</t>
  </si>
  <si>
    <t>Psychoanal. Dialogues</t>
  </si>
  <si>
    <t>10.1080/10481885.2023.2236529</t>
  </si>
  <si>
    <t>Psychology, Psychoanalysis</t>
  </si>
  <si>
    <t>R4HG4</t>
  </si>
  <si>
    <t>WOS:001063967100007</t>
  </si>
  <si>
    <t>Ayman, KM; Hare, W; Lucet, Y</t>
  </si>
  <si>
    <t>Ayman, Khandoker Md; Hare, Warren; Lucet, Yves</t>
  </si>
  <si>
    <t>A multi-road quasi network flow model for the vertical alignment optimization of a road network</t>
  </si>
  <si>
    <t>Road network optimization; vertical alignment; mixed integer linear programming; quasi network</t>
  </si>
  <si>
    <t>LINEAR-PROGRAMMING MODEL; SPLINE TECHNIQUE; GRADES; PROFILE; DESIGN; COST</t>
  </si>
  <si>
    <t>Minimizing earthwork costs is crucial in the optimization of vertical alignment. In this article, the previous quasi network flow model for the vertical alignment optimization of a single road is extended to a multi-road network. A 'one-at-a-time' method is first examined to solve the optimization problem and it is noted that this method is effectively what is currently used in practice. Two academic test problems are used to demonstrate that this method is not optimal. This leads to the development of three novel methods to solve the optimization problem: no-flow, with-flow and divide-and-conquer. It is noted that the with-flow method guarantees global optimality. All methods are compared on two real-world case studies. On small road networks, the with-flow method decreases costs by 7.4%, and achieves a 20 times speedup over the one-at-a-time method. On long road networks, the divide-and-conquer method is faster than all other methods without any notable cost difference. However, the divide-and-conquer method is an heuristic and cannot guarantee that it returns a global minimum.</t>
  </si>
  <si>
    <t>[Ayman, Khandoker Md; Lucet, Yves] Univ British Columbia, Dept Comp Sci, Okanagan Campus, Kelowna, BC, Canada; [Hare, Warren] Univ British Columbia, Dept Math, Okanagan Campus, Kelowna, BC, Canada</t>
  </si>
  <si>
    <t>University of British Columbia; University of British Columbia</t>
  </si>
  <si>
    <t>Hare, W (corresponding author), Univ British Columbia, Dept Math, Okanagan Campus, Kelowna, BC, Canada.</t>
  </si>
  <si>
    <t>Warren.Hare@ubc.ca</t>
  </si>
  <si>
    <t>Natural Sciences and Engineering Research Council of Canada (NSERC)</t>
  </si>
  <si>
    <t>Natural Sciences and Engineering Research Council of Canada (NSERC)(Natural Sciences and Engineering Research Council of Canada (NSERC))</t>
  </si>
  <si>
    <t>This work was supported by the Natural Sciences and Engineering Research Council of Canada (NSERC) [Collaborative Research and Development Grant #CRDPJ 479316-15 sponsored by Softree Technical Systems Inc.]. Part of the research was performed in the Computer-Aided Convex Analysis (CA $ &lt;^&gt;2 $ 2) laboratory funded by a Leaders Opportunity Fund [LOF, John R. Evans Leaders Fund, Funding for research infrastructure] from the Canada Foundation for Innovation (CFI) and by the British Columbia Knowledge Development Fund (BCKDF).</t>
  </si>
  <si>
    <t>2023 JUL 4</t>
  </si>
  <si>
    <t>10.1080/0305215X.2023.2227841</t>
  </si>
  <si>
    <t>L0DD0</t>
  </si>
  <si>
    <t>WOS:001020036900001</t>
  </si>
  <si>
    <t>Bellows, DA; Chen, JJ; Cheng, HC; Vaphiades, MS; Zhang, XJ</t>
  </si>
  <si>
    <t>Bellows, David A.; Chen, John J.; Cheng, Hui-Chen; Vaphiades, Michael S.; Zhang, Xiaojun</t>
  </si>
  <si>
    <t>Neuro-Ophthalmic Literature Review</t>
  </si>
  <si>
    <t>NEURO-OPHTHALMOLOGY</t>
  </si>
  <si>
    <t>[Bellows, David A.] Med Eye Ctr, Manchester, NH USA; [Chen, John J.] Mayo Clin, Dept Ophthalmol, 200 First St, Rochester, MN 55905 USA; [Chen, John J.] Mayo Clin, Dept Neurol, Rochester, MN 55905 USA; [Cheng, Hui-Chen] Taipei Vet Gen Hosp, Dept Ophthalmol, Taipei, Taiwan; [Cheng, Hui-Chen] Natl Yang Ming Chiao Tung Univ, Sch Med, Dept Ophthalmol, Taipei, Taiwan; [Vaphiades, Michael S.] UAB Callahan Eye Hosp, Dept Ophthalmol, Birmingham, AL USA; [Vaphiades, Michael S.] UAB Callahan Eye Hosp, Dept Neurol, Birmingham, AL USA; [Vaphiades, Michael S.] UAB Callahan Eye Hosp, Dept Neurosurg, Birmingham, AL USA; [Zhang, Xiaojun] Ohio State Univ, Dept Neurol, Med Ctr, Columbus, OH USA; [Zhang, Xiaojun] Capital Med Univ, Beijing Tongren Hosp, Dept Neurol, Beijing, Peoples R China</t>
  </si>
  <si>
    <t>Mayo Clinic; Mayo Clinic; Taipei Veterans General Hospital; National Yang Ming Chiao Tung University; University System of Ohio; Ohio State University; Capital Medical University</t>
  </si>
  <si>
    <t>Chen, JJ (corresponding author), Mayo Clin, Dept Ophthalmol, 200 First St, Rochester, MN 55905 USA.</t>
  </si>
  <si>
    <t>Chen.john@mayo.edu</t>
  </si>
  <si>
    <t>0165-8107</t>
  </si>
  <si>
    <t>1744-506X</t>
  </si>
  <si>
    <t>Neuro-Ophthalmol.</t>
  </si>
  <si>
    <t>10.1080/01658107.2023.2216613</t>
  </si>
  <si>
    <t>Clinical Neurology; Ophthalmology</t>
  </si>
  <si>
    <t>Neurosciences &amp; Neurology; Ophthalmology</t>
  </si>
  <si>
    <t>L7XG8</t>
  </si>
  <si>
    <t>WOS:001025348300008</t>
  </si>
  <si>
    <t>Berges, S</t>
  </si>
  <si>
    <t>Berges, Sandrine</t>
  </si>
  <si>
    <t>Reviewing women's philosophical works during the French revolution: the case of P.-L. Roederer</t>
  </si>
  <si>
    <t>HISTORY OF EUROPEAN IDEAS</t>
  </si>
  <si>
    <t>P; -L Roederer; Mary Wollstonecraft; Sophie de Grouchy; Germaine de Stael; reviews; &gt;</t>
  </si>
  <si>
    <t>This paper looks at selected reviews of women's philosophical (and literary) works by Revolutionary author and politician Pierre-Louis Roederer. This study occasions the following remarks. Women's works, when they raised political radical and sometimes feminist agendas were not only read and reviewed, but considered part of the general Revolutionary effort to relieve social and political inequalities. Secondly Roederer appears, from these reviews, as committed to convincing the French intellectual community that works by women ought to be taken as seriously as works by men, and to combat the prejudices which meant that they often were not. I will highlight in particular his reading of Mary Wollstonecraft's Maria, or the Wrongs of Woman as both a fictionalized continuation of the philosophical programme of her Vindication of the Rights of Woman, and as a contribution to the philosophy of emotions - for which he compares it to Sophie de Grouchy's Letters on Sympathy. I will also look at an unpublished draft in which he compares and contrasts Grouchy, Germaine de Stael, Emilie du Chatelet and Suzanne Necker's writings on love.</t>
  </si>
  <si>
    <t>[Berges, Sandrine] Bilkent Univ, Dept Philosophy, Ankara, Turkiye; [Berges, Sandrine] Bilkent Univ, Dept Philosophy, TR-06800 Ankara, Turkiye</t>
  </si>
  <si>
    <t>Ihsan Dogramaci Bilkent University; Ihsan Dogramaci Bilkent University</t>
  </si>
  <si>
    <t>Berges, S (corresponding author), Bilkent Univ, Dept Philosophy, TR-06800 Ankara, Turkiye.</t>
  </si>
  <si>
    <t>sandrineberges@gmail.edu.tr</t>
  </si>
  <si>
    <t>0191-6599</t>
  </si>
  <si>
    <t>1873-541X</t>
  </si>
  <si>
    <t>HIST EUR IDEA</t>
  </si>
  <si>
    <t>Hist. European Ideas</t>
  </si>
  <si>
    <t>10.1080/01916599.2023.2230572</t>
  </si>
  <si>
    <t>L0CK8</t>
  </si>
  <si>
    <t>WOS:001020018700001</t>
  </si>
  <si>
    <t>Bhutani, M</t>
  </si>
  <si>
    <t>Bhutani, Mohit</t>
  </si>
  <si>
    <t>The future is now!</t>
  </si>
  <si>
    <t>CANADIAN JOURNAL OF RESPIRATORY CRITICAL CARE AND SLEEP MEDICINE</t>
  </si>
  <si>
    <t>[Bhutani, Mohit] Canadian Thorac Soc, Toronto, ON, Canada</t>
  </si>
  <si>
    <t>Bhutani, M (corresponding author), Canadian Thorac Soc, Toronto, ON, Canada.</t>
  </si>
  <si>
    <t>2474-5332</t>
  </si>
  <si>
    <t>2474-5340</t>
  </si>
  <si>
    <t>CAN J RESP CRIT CARE</t>
  </si>
  <si>
    <t>Can. J. Respir. Crit. Care Sleep Med.</t>
  </si>
  <si>
    <t>10.1080/24745332.2023.2228641</t>
  </si>
  <si>
    <t>Respiratory System</t>
  </si>
  <si>
    <t>S4RH7</t>
  </si>
  <si>
    <t>WOS:001071050500001</t>
  </si>
  <si>
    <t>Cristaudo, W</t>
  </si>
  <si>
    <t>Cristaudo, Wayne</t>
  </si>
  <si>
    <t>The Most Human Right: Why Free Speech is Everything</t>
  </si>
  <si>
    <t>EUROPEAN LEGACY-TOWARD NEW PARADIGMS</t>
  </si>
  <si>
    <t>[Cristaudo, Wayne] Charles Darwin Univ, Sch Creat Arts &amp; Humanities, Casuarina Campus, Casuarina, NT 0909, Australia</t>
  </si>
  <si>
    <t>Charles Darwin University</t>
  </si>
  <si>
    <t>Cristaudo, W (corresponding author), Charles Darwin Univ, Sch Creat Arts &amp; Humanities, Casuarina Campus, Casuarina, NT 0909, Australia.</t>
  </si>
  <si>
    <t>Wayne.Cristaudo@cdu.edu.au</t>
  </si>
  <si>
    <t>1084-8770</t>
  </si>
  <si>
    <t>1470-1316</t>
  </si>
  <si>
    <t>EUR LEG</t>
  </si>
  <si>
    <t>Eur. Leg.-Towar. New Paradig.</t>
  </si>
  <si>
    <t>10.1080/10848770.2023.2180876</t>
  </si>
  <si>
    <t>M7FQ8</t>
  </si>
  <si>
    <t>WOS:001031841700004</t>
  </si>
  <si>
    <t>Elischer, S; Hoyle, J</t>
  </si>
  <si>
    <t>Elischer, Sebastian; Hoyle, Justin</t>
  </si>
  <si>
    <t>Electoral contests in the aftermath of military coups: how domestic constraints motivate praetorian conduct</t>
  </si>
  <si>
    <t>CONTEMPORARY POLITICS</t>
  </si>
  <si>
    <t>civil military relations; democracy; coups and conflict; electoral authoritarianism; qualitative comparative methods</t>
  </si>
  <si>
    <t>EGYPT; DEMOCRATIZATION; TRANSITIONS; BREAKDOWN; DEMOCRACY; STATES; NIGER; BACK</t>
  </si>
  <si>
    <t>Inspired by recent studies about the effects of coups on future regime trajectories, the article examines the conduct of praetorian armies in electoral contests that occur in the aftermath of military coups. In some countries, putschist militaries refrain from interfering in post-coup elections and withdraw from executive power. In others, they rig elections in favour of their preferred candidate and become entrenched in executive power. In each outcome, coup makers play a different role in subsequent regime dynamics. To explain these different outcomes, the article designs an integrative framework and applies it to countries displaying different post-coup electoral outcomes over time. The findings reinforce skepticism about the democratisation potential of militaries and highlight the importance of intra-military factionalism on praetorian leaders. The article encourages scholars to engage in case-based and processual research linking coup makers to long-term regime dynamics and provides hypotheses guiding such research agendas.</t>
  </si>
  <si>
    <t>[Elischer, Sebastian] Univ Florida, Associate Prof Polit Sci, Gainesville, FL 32611 USA; [Hoyle, Justin] Univ Florida, Polit Sci, Gainesville, FL USA</t>
  </si>
  <si>
    <t>State University System of Florida; University of Florida; State University System of Florida; University of Florida</t>
  </si>
  <si>
    <t>Elischer, S (corresponding author), Univ Florida, Associate Prof Polit Sci, Gainesville, FL 32611 USA.</t>
  </si>
  <si>
    <t>selischer@ufl.edu</t>
  </si>
  <si>
    <t>1356-9775</t>
  </si>
  <si>
    <t>1469-3631</t>
  </si>
  <si>
    <t>CONTEMP POLIT</t>
  </si>
  <si>
    <t>Contemp. Politics</t>
  </si>
  <si>
    <t>10.1080/13569775.2023.2230718</t>
  </si>
  <si>
    <t>L4LW9</t>
  </si>
  <si>
    <t>WOS:001023004600001</t>
  </si>
  <si>
    <t>Forsler, I; Guyard, C</t>
  </si>
  <si>
    <t>Forsler, Ingrid; Guyard, Carina</t>
  </si>
  <si>
    <t>Screens, teens and their brains. Discourses about digital media, learning and cognitive development in popular science neuroeducation</t>
  </si>
  <si>
    <t>Neuroeducation; school digitalization; digital distractions; brain-training; self-regulation</t>
  </si>
  <si>
    <t>NEUROSCIENCE; EDUCATION</t>
  </si>
  <si>
    <t>Contemporary education in Sweden is characterized by two parallel processes: the implementation of digital tools in the classroom, on the one hand, and an increased emphasis on brain-based learning, on the other. Proponents of the latter strand of 'neuroeducation' claim that digital media might have harmful effects on learning and cognitive development. How do they then deal with school digitalization? By examining popular science books by influential neuroscience actors in the Swedish educational context, this study identifies two diverging discourses where digital technologies are discussed both as distractions in the classroom and as promising tools for personalized and self-optimizing learning. This ambiguity reflects a cautious criticism against school digitalization as overhastly, a critique that is also emphasized in recent policy changes in the Swedish school system. The article concludes that the impact of brain-based perspectives on educational digitalization policy have positioned neuroscience actors as a new kind of digital experts.</t>
  </si>
  <si>
    <t>[Forsler, Ingrid; Guyard, Carina] Sodertorn Univ, Sch Culture &amp; Educ, Stockholm, Sweden</t>
  </si>
  <si>
    <t>Sodertorn University</t>
  </si>
  <si>
    <t>Forsler, I (corresponding author), Sodertorn Univ, Sch Culture &amp; Educ, Stockholm, Sweden.</t>
  </si>
  <si>
    <t>ingrid.forsler@sh.se</t>
  </si>
  <si>
    <t>Forsler, Ingrid/0000-0002-1548-1981</t>
  </si>
  <si>
    <t>10.1080/17439884.2023.2230893</t>
  </si>
  <si>
    <t>K6YU4</t>
  </si>
  <si>
    <t>WOS:001017887000001</t>
  </si>
  <si>
    <t>Harper, JL</t>
  </si>
  <si>
    <t>Harper, John L.</t>
  </si>
  <si>
    <t>Seeking the Essential Kennan</t>
  </si>
  <si>
    <t>SURVIVAL</t>
  </si>
  <si>
    <t>Cold War; containment; European strategic autonomy; Frank Costigliola; George Kennan; John Lewis Gaddis; Long Telegram; Marshall Plan; NATO; Policy Planning Staff; 'X' article</t>
  </si>
  <si>
    <t>The latest full-length study of the life of US diplomat and historian George F. Kennan (1904-2005) attempts to rectify what its author, Professor Frank Costigliola, believes to be the shortcomings of John Lewis Gaddis's authorised biography, published in 2011. As a treatment of Kennan's early life and career, of his post-State Department role as a commentator and 'sage', and in particular of its subject's personal life and character, the book is unlikely to be matched. For all its virtues, however, it has a striking and rather surprising deficiency: readers must look elsewhere for a full account of its protagonist's role as a policymaker in the years 1946-50. One need not agree with Costigliola's assessment of Kennan's historical stature to believe there is profit to be had in imagining what his message would be today on a range of subjects: the environment, the future of Ukraine and US-Russia relations, European strategic autonomy and the fragility of American democracy.</t>
  </si>
  <si>
    <t>[Harper, John L.] Johns Hopkins Univ SAIS Europe, Amer Foreign Policy, Bologna, Italy</t>
  </si>
  <si>
    <t>Harper, JL (corresponding author), Johns Hopkins Univ SAIS Europe, Amer Foreign Policy, Bologna, Italy.</t>
  </si>
  <si>
    <t>0039-6338</t>
  </si>
  <si>
    <t>1468-2699</t>
  </si>
  <si>
    <t>Survival</t>
  </si>
  <si>
    <t>10.1080/00396338.2023.2239067</t>
  </si>
  <si>
    <t>Q0KN5</t>
  </si>
  <si>
    <t>WOS:001054487500011</t>
  </si>
  <si>
    <t>Hashimoto, T</t>
  </si>
  <si>
    <t>Hashimoto, Tom</t>
  </si>
  <si>
    <t>30 Years of transition in Europe: looking back and looking beyond in CESEE countries</t>
  </si>
  <si>
    <t>[Hashimoto, Tom] Vistula Univ, ISM Univ Management &amp; Econ, Warsaw, Poland</t>
  </si>
  <si>
    <t>Vistula University</t>
  </si>
  <si>
    <t>Hashimoto, T (corresponding author), Vistula Univ, ISM Univ Management &amp; Econ, Warsaw, Poland.</t>
  </si>
  <si>
    <t>tomhas@ism.lt</t>
  </si>
  <si>
    <t>Hashimoto, Tom/0000-0001-6534-9375</t>
  </si>
  <si>
    <t>10.1080/15387216.2021.2002171</t>
  </si>
  <si>
    <t>L2JQ3</t>
  </si>
  <si>
    <t>WOS:001021576300011</t>
  </si>
  <si>
    <t>Hawkins, G; Healy, S</t>
  </si>
  <si>
    <t>Hawkins, Gay; Healy, Stephen</t>
  </si>
  <si>
    <t>Waste/economy/ecology: redrawing the circular economy</t>
  </si>
  <si>
    <t>JOURNAL OF CULTURAL ECONOMY</t>
  </si>
  <si>
    <t>[Hawkins, Gay; Healy, Stephen] Western Sydney Univ, Inst Culture &amp; Soc, Parramatta South Campus,Locked Bag 1797, Penrith, NSW 2751, Australia</t>
  </si>
  <si>
    <t>Western Sydney University</t>
  </si>
  <si>
    <t>Hawkins, G (corresponding author), Western Sydney Univ, Inst Culture &amp; Soc, Parramatta South Campus,Locked Bag 1797, Penrith, NSW 2751, Australia.</t>
  </si>
  <si>
    <t>g.hawkins@westernsydney.edu.au</t>
  </si>
  <si>
    <t>Healy, Stephen/0000-0002-2394-3488; Hawkins, Gay/0000-0002-9057-6729</t>
  </si>
  <si>
    <t>Australian Research Council</t>
  </si>
  <si>
    <t>Australian Research Council(Australian Research Council)</t>
  </si>
  <si>
    <t>This work was supported by Australian Research Council.</t>
  </si>
  <si>
    <t>1753-0350</t>
  </si>
  <si>
    <t>1753-0369</t>
  </si>
  <si>
    <t>J CULT ECON-UK</t>
  </si>
  <si>
    <t>J. Cult. Econ.</t>
  </si>
  <si>
    <t>10.1080/17530350.2023.2240349</t>
  </si>
  <si>
    <t>Cultural Studies; Economics; Sociology</t>
  </si>
  <si>
    <t>Cultural Studies; Business &amp; Economics; Sociology</t>
  </si>
  <si>
    <t>R7VG3</t>
  </si>
  <si>
    <t>WOS:001046146600001</t>
  </si>
  <si>
    <t>Hemand, EP; Mohandass, G; Shajin, FH; Kirubakaran, D</t>
  </si>
  <si>
    <t>Hemand, E. P.; Mohandass, G.; Shajin, Francis H.; Kirubakaran, D.</t>
  </si>
  <si>
    <t>AlexNet-based deep convolutional neural network optimized with group teaching optimization algorithm (GTOA) for paediatric bone age assessment from hand X-ray images</t>
  </si>
  <si>
    <t>IMAGING SCIENCE JOURNAL</t>
  </si>
  <si>
    <t>AlexNet-based deep convolutional neural network (ADCNN); Bayesian fuzzy clustering; bone age assessment; group teaching optimization algorithm (GTOA); Wavelet Packet Transform Cochlear Filter Bank; region of Interest; RSNA paediatric bone age dataset; X-ray images</t>
  </si>
  <si>
    <t>Bone age assessment is used to diagnose paediatric growth because some types of bone diseases occur in childhood. To overcome these issues, AlexNet-Based Deep Convolutional Neural Network Optimized with the Group Teaching Optimization Algorithm is proposed. First, input images are gathered via RSNA paediatric bone age dataset. These images are preprocessed using Wavelet Packet Transform Cochlear Filter Bank. Then input hand X-ray images' ROI is segmented using Bayesian fuzzy clustering. Then segmented ROI region is fed to ADCNN that accurately predicts BAA. In general, ADCNN does not divulge any optimization techniques adopted for determining the optimal parameters and ensuring accurate classification. Therefore, the GTOA is used to optimize the ADCNN weight parameters. The proposed approach is done in MATLAB and various performance metrics such as accuracy, F-score, sensitivity, precision, specificity, CCC and CC. The BAA-ADCNN-GTOA method provides higher accuracy 23.75%, 17.97%, 31.65% compared with existing methods, like BAA-CNN-RRNN, BAA-RNN-AF-SFO, BAA-U-Net-CTO- WOA, respectively.</t>
  </si>
  <si>
    <t>[Hemand, E. P.] NIT Calicut, Dept Comp Sci &amp; Engn, Kozhikode, Kerala, India; [Mohandass, G.] Agni Coll Technol, Dept Biomed Engn, Chennai, India; [Shajin, Francis H.] Xpertmindz Innovat Solut Pvt Ltd, Res &amp; Dev, Kuzhithurai, Tamil Nadu, India; [Kirubakaran, D.] St Josephs Inst Technol, Dept Elect &amp; Elect Engn, Chennai, India</t>
  </si>
  <si>
    <t>National Institute of Technology (NIT System); National Institute of Technology Calicut</t>
  </si>
  <si>
    <t>Hemand, EP (corresponding author), NIT Calicut, Dept Comp Sci &amp; Engn, Kozhikode, Kerala, India.</t>
  </si>
  <si>
    <t>hemandep@gmail.com</t>
  </si>
  <si>
    <t>1368-2199</t>
  </si>
  <si>
    <t>1743-131X</t>
  </si>
  <si>
    <t>IMAGING SCI J</t>
  </si>
  <si>
    <t>Imaging Sci. J.</t>
  </si>
  <si>
    <t>10.1080/13682199.2023.2204669</t>
  </si>
  <si>
    <t>Imaging Science &amp; Photographic Technology</t>
  </si>
  <si>
    <t>L2EB6</t>
  </si>
  <si>
    <t>WOS:001021428700001</t>
  </si>
  <si>
    <t>Huang, WH; He, JJ; Li, LQ; Jia, R</t>
  </si>
  <si>
    <t>Huang, Wenhan; He, Jingjing; Li, Liuqing; Jia, Rong</t>
  </si>
  <si>
    <t>Improving hydrogen peroxide stability of a dye-decolorising peroxidase from Irpex lacteus F17 by site-directed mutagenesis</t>
  </si>
  <si>
    <t>BIOCATALYSIS AND BIOTRANSFORMATION</t>
  </si>
  <si>
    <t>Aromatic oxidation; dye-decolorizing peroxidase; enzymatic activity; H2O2 stability; Irpex lacteus; site-directed mutagenesis</t>
  </si>
  <si>
    <t>SUICIDE INACTIVATION; HEME; OXIDATION; MECHANISM</t>
  </si>
  <si>
    <t>Il-DyP4, a dye-decolorizing peroxidase (DyP) from Irpex lacteus F17, has a strong ability to oxidise harmful aromatic compounds, implying application potential in the field of environmental protection. However, the low H2O2 stability of Il-DyP4 hinders its practical application. To improve the H2O2 stability of Il-DyP4, oxidation-sensitive amino acids including three Met, one Cys and ten Tyr residues were mutated to less easily oxidizable residues such as Leu, Val and Phe by site-specific mutagenesis. Mutation of the M207 site, located on the surface of the enzyme and far away from the haem group, improved H2O2 stability by 5.3-fold or more. In addition, Y234, also on the enzyme surface, was replaced with Phe and the Y234F mutant displayed 7.3-fold increased H2O2 stability. Furthermore, mutants M207V and Y234F were selected for the decolorization of various types of synthetic dyes, revealing high decolorization activities, especially for M207V with enhanced catalytic activity. The stable DyP mutant M207V has the potential for decolorization of industrial dye wastewater.</t>
  </si>
  <si>
    <t>[Huang, Wenhan; He, Jingjing; Li, Liuqing; Jia, Rong] Anhui Univ, Sch Life Sci, Hefei, Anhui, Peoples R China; [Huang, Wenhan; He, Jingjing; Li, Liuqing; Jia, Rong] Anhui Univ, Anhui Key Lab Modern Biomfg, Hefei, Anhui, Peoples R China; [Jia, Rong] Anhui Univ, Sch Life Sci, 111 Jiulong Rd, Hefei 230601, Anhui, Peoples R China</t>
  </si>
  <si>
    <t>Anhui University; Anhui University; Anhui University</t>
  </si>
  <si>
    <t>Jia, R (corresponding author), Anhui Univ, Sch Life Sci, 111 Jiulong Rd, Hefei 230601, Anhui, Peoples R China.</t>
  </si>
  <si>
    <t>ahdxjiarong@126.com</t>
  </si>
  <si>
    <t>National Natural Science Foundation of China [31970100]</t>
  </si>
  <si>
    <t>The study was supported by the National Natural Science Foundation of China (31970100).</t>
  </si>
  <si>
    <t>1024-2422</t>
  </si>
  <si>
    <t>1029-2446</t>
  </si>
  <si>
    <t>BIOCATAL BIOTRANSFOR</t>
  </si>
  <si>
    <t>Biocatal. Biotransform.</t>
  </si>
  <si>
    <t>10.1080/10242422.2023.2231122</t>
  </si>
  <si>
    <t>K9UM1</t>
  </si>
  <si>
    <t>WOS:001019811900001</t>
  </si>
  <si>
    <t>Jacobs, R; Barnard, A</t>
  </si>
  <si>
    <t>Jacobs, Rochelle; Barnard, Antoni</t>
  </si>
  <si>
    <t>Empowering women in South African law enforcement: Developing authenticity as best-self</t>
  </si>
  <si>
    <t>JOURNAL OF PSYCHOLOGY IN AFRICA</t>
  </si>
  <si>
    <t>authenticity; best-self; women; law enforcement; hermeneutic phenomenology; identity work</t>
  </si>
  <si>
    <t>WORK; LEADERSHIP; WORKPLACE; SATISFACTION; EXPERIENCES; TRAUMA; MODEL</t>
  </si>
  <si>
    <t>This hermeneutic phenomenological study explored the authenticity experiences of South African women in law enforcement from a best-self perspective. Narrative interviews were conducted with 12 women from police and traffic services, aged between 26 and 55 (25% black, 58% mixed race and 17% white). Using thematic analysis, three themes were generated, namely, developing self-awareness, growing self-determination, and practising self-appraisal. By developing their self-awareness, they engaged in a self-reflective recognition of negative stress responses and realised alternative responses. Growing self-determination denotes consciously and actively applying best-self enhancing strategies to realign with the best-self. The women said to consistently apply self-appraisal to assess and confirm congruence with the best-self. The findings suggest three self-processing elements that are key to authenticity development. Opportunities to engage in authenticity development interventions aimed at empowering women should focus on sense of realignment with the best-self.</t>
  </si>
  <si>
    <t>[Jacobs, Rochelle; Barnard, Antoni] Univ South Africa, Dept Ind &amp; Org Psychol, Pretoria, South Africa</t>
  </si>
  <si>
    <t>Barnard, A (corresponding author), Univ South Africa, Dept Ind &amp; Org Psychol, Pretoria, South Africa.</t>
  </si>
  <si>
    <t>barnaha@unisa.ac.za</t>
  </si>
  <si>
    <t>Barnard, Antoni/G-1835-2014</t>
  </si>
  <si>
    <t>Barnard, Antoni/0000-0003-0371-9486</t>
  </si>
  <si>
    <t>1433-0237</t>
  </si>
  <si>
    <t>1815-5626</t>
  </si>
  <si>
    <t>J PSYCHOL AFR</t>
  </si>
  <si>
    <t>J. Psychol. Afr.</t>
  </si>
  <si>
    <t>10.1080/14330237.2023.2233229</t>
  </si>
  <si>
    <t>R4WM3</t>
  </si>
  <si>
    <t>WOS:001064367800005</t>
  </si>
  <si>
    <t>Levy, R</t>
  </si>
  <si>
    <t>Levy, Rachael</t>
  </si>
  <si>
    <t>Home-school communication: what we have learned from the pandemic</t>
  </si>
  <si>
    <t>Resolved communication; partnership; home-school</t>
  </si>
  <si>
    <t>PARENTAL INVOLVEMENT; EDUCATION</t>
  </si>
  <si>
    <t>Drawing on interview data with school staff and parents from seven primary schools across England, this paper explores how schools and homes worked together during the Covid-19 pandemic, and the impact this had on their relationships with one another. Given that research before the pandemic has indicated that much of the communication taking place between home and school tends to be 'one way' - from the school to home (Meier and Lemmer 2015; Leenders et al. 2019), this paper demonstrates how enforced school closure meant that schools had to find new, or modified ways of communicating and interacting with children and their families. Forty-nine interviews were conducted with participants including headteachers, classroom teachers, teaching assistants, school office workers and parents. Participants were asked to talk about their own experiences of the pandemic including how they communicated with one another. Findings revealed that the pandemic facilitated a great deal more collaboration and 'partnership' between teachers and parents. Participants reported that they had developed a better understanding of one another and that this had positive implications for the children's education. Given the lessons learned from this study, this has important implications for all schools about promoting effective communication practices.</t>
  </si>
  <si>
    <t>[Levy, Rachael] UCL Inst Educ, London, England</t>
  </si>
  <si>
    <t>University of London; University College London; UCL Institute of Education</t>
  </si>
  <si>
    <t>Levy, R (corresponding author), UCL Inst Educ, London, England.</t>
  </si>
  <si>
    <t>r.levy@ucl.ac.uk</t>
  </si>
  <si>
    <t>UKRI/ESRC [ES/W002086/1]</t>
  </si>
  <si>
    <t>UKRI/ESRC(UK Research &amp; Innovation (UKRI)Economic &amp; Social Research Council (ESRC))</t>
  </si>
  <si>
    <t>The project reported in this paper is: Learning Through Disruption: Rebuilding Primary Education Using Local Knowledge, Funder: UKRI/ESRC. Reference number: ES/W002086/1. The researchers were: Gemma Moss, Alice Bradbury, Annette Braun, SamDuncan and Rachael Levy, UCL Institute of Education.</t>
  </si>
  <si>
    <t>10.1080/03004279.2023.2186972</t>
  </si>
  <si>
    <t>F4DB7</t>
  </si>
  <si>
    <t>WOS:000981855800001</t>
  </si>
  <si>
    <t>Montgomery, C; Trahar, S</t>
  </si>
  <si>
    <t>Montgomery, Catherine; Trahar, Sheila</t>
  </si>
  <si>
    <t>Learning to unlearn: exploring the relationship between internationalisation and decolonial agendas in higher education</t>
  </si>
  <si>
    <t>Internationalisation; decolonising the university; narrative approaches</t>
  </si>
  <si>
    <t>In this article we consider the resonances between internationalisation and decolonising initiatives in the university. Based on our own experiences, as white, British, female scholars, of engaging with both internationalisation and decolonising agendas through our two decades of research and practice in these fields, we consider the parallels between these two strong initiatives. We feel that there are many resonances and opportunities for learning across them and that there is potential strength and solidarity in outlining the ways in which these two agendas can be mutually supportive. Using a discursive approach embedded in literature in the field, we argue that setting internationalisation and decoloniality alongside each other may enable an understanding of culture, race and whiteness; knowledge production; positions and positionality which could inform ways forward for both agendas. Through our reflexive conversations in this article, we aim to illustrate the ways in which internationalisation may perpetuate coloniality and yet how it can advance the decolonial possibilities of higher education, suggesting that the circularity may be broken by learning to unlearn and finding a common language between the two agendas.</t>
  </si>
  <si>
    <t>[Montgomery, Catherine] Univ Durham, Sch Educ, Durham, England; [Trahar, Sheila] Univ Bristol, Sch Educ, Bristol, England; [Montgomery, Catherine] Univ Durham, Sch Educ, Durham DH1 1TA, England</t>
  </si>
  <si>
    <t>Durham University; University of Bristol; Durham University</t>
  </si>
  <si>
    <t>Montgomery, C (corresponding author), Univ Durham, Sch Educ, Durham DH1 1TA, England.</t>
  </si>
  <si>
    <t>catherine.montgomery@durham.ac.uk</t>
  </si>
  <si>
    <t>Trahar, Sheila/0000-0003-4559-7501</t>
  </si>
  <si>
    <t>10.1080/07294360.2023.2194054</t>
  </si>
  <si>
    <t>J8RB1</t>
  </si>
  <si>
    <t>WOS:001012230200003</t>
  </si>
  <si>
    <t>Orr, K; Sheeran, N; Douglas, H</t>
  </si>
  <si>
    <t>Orr, Kerry; Sheeran, Nicola; Douglas, Heather</t>
  </si>
  <si>
    <t>The psychological impact on mothers who have experienced domestic violence when navigating the family court system: a scoping review</t>
  </si>
  <si>
    <t>PSYCHIATRY PSYCHOLOGY AND LAW</t>
  </si>
  <si>
    <t>coercive control; domestic violence; family court; family violence; intimate partner violence; legal; mother; psychological impact; systems abuse</t>
  </si>
  <si>
    <t>INTIMATE PARTNER VIOLENCE; MENTAL-HEALTH; POST-SEPARATION; RAPE SURVIVORS; ABUSED MOTHERS; SEXUAL ASSAULT; LEGAL-SYSTEM; CUSTODY; WOMEN; CONTACT</t>
  </si>
  <si>
    <t>The aim of this scoping review was to synthesise the literature to identify what the psychological impacts of family court processes were on mothers who had experienced DFV. Twenty-five articles met inclusion criteria with four themes capturing the findings: Perpetrators using the system as a mode of coercive control; Secondary victimisation as a result of interacting with the system; Required to relive their abuse; and, Long-term psychological consequences of having engaged with the system. Key findings were that perpetrators manipulated the system to perpetrate further abuse and continue/reassert their control. Secondary re-victimisation was common, with poor knowledge of DFV and limited understanding of coercive control tactics and how these were employed by perpetrators by legal professionals identified as contributing factors. This review suggests that mothers who engage with the family court system experience a range of short- and long-term psychological impacts and court processes facilitate ongoing abuse by the perpetrator.</t>
  </si>
  <si>
    <t>[Orr, Kerry; Sheeran, Nicola] Griffith Univ, Sch Appl Psychol, Mt Gravatt, Qld, Australia; [Douglas, Heather] Univ Melbourne, Melbourne Law Sch, Melbourne, Vic, Australia; [Sheeran, Nicola] Griffith Univ, Sch Appl Psychol, Mt Gravatt Campus,176 Messines Ridge Rd, Mt Gravatt, Qld 4122, Australia</t>
  </si>
  <si>
    <t>Griffith University; University of Melbourne; Griffith University</t>
  </si>
  <si>
    <t>Sheeran, N (corresponding author), Griffith Univ, Sch Appl Psychol, Mt Gravatt Campus,176 Messines Ridge Rd, Mt Gravatt, Qld 4122, Australia.</t>
  </si>
  <si>
    <t>n.sheeran@griffith.edu.au</t>
  </si>
  <si>
    <t>DOUGLAS, Heather/0000-0002-0420-3820; Sheeran, Nicola/0000-0003-0527-8549</t>
  </si>
  <si>
    <t>1321-8719</t>
  </si>
  <si>
    <t>1934-1687</t>
  </si>
  <si>
    <t>PSYCHIAT PSYCHOL LAW</t>
  </si>
  <si>
    <t>Psychiatr. Psychol. Law</t>
  </si>
  <si>
    <t>10.1080/13218719.2023.2214927</t>
  </si>
  <si>
    <t>Criminology &amp; Penology; Law; Psychiatry; Psychology, Multidisciplinary</t>
  </si>
  <si>
    <t>Criminology &amp; Penology; Government &amp; Law; Psychiatry; Psychology</t>
  </si>
  <si>
    <t>L4LR4</t>
  </si>
  <si>
    <t>WOS:001022997200001</t>
  </si>
  <si>
    <t>Priyansh</t>
  </si>
  <si>
    <t>'When we were here, there were no documents': the national question at a Kolkata football Derby</t>
  </si>
  <si>
    <t>NATIONAL IDENTITIES</t>
  </si>
  <si>
    <t>Politics of sport; nationalism; Indian football; Kolkata Derby; Citizenship Amendment Act; East Bengal</t>
  </si>
  <si>
    <t>This paper will study a recent protest in Indian football against the Citizenship Amendment Act, a law championed by the Hindu nationalist Bharatiya Janata Party that threatens to render millions of Indian citizens stateless. Recent scholarship on supporter activism in football tends to focus on the local conditions that drive fan-led actions. Yet, as witnessed at the Kolkata demonstration against the amendment in early 2020, the horizon of politics as imagined by fans remains much wider in its scope. Through this study, we can discern a mode of political articulation by football supporters that combines the local and the national.</t>
  </si>
  <si>
    <t>[Priyansh] Univ Toronto, Toronto, ON, Canada</t>
  </si>
  <si>
    <t>Priyansh (corresponding author), Univ Toronto, Toronto, ON, Canada.</t>
  </si>
  <si>
    <t>priyansh.p@mail.utoronto.ca</t>
  </si>
  <si>
    <t>1460-8944</t>
  </si>
  <si>
    <t>1469-9907</t>
  </si>
  <si>
    <t>NATL IDENTITIES</t>
  </si>
  <si>
    <t>Natl. Identities</t>
  </si>
  <si>
    <t>10.1080/14608944.2023.2222659</t>
  </si>
  <si>
    <t>Q3UR5</t>
  </si>
  <si>
    <t>WOS:001017889300001</t>
  </si>
  <si>
    <t>Quinn, J; Gavin, P</t>
  </si>
  <si>
    <t>Quinn, John; Gavin, Philip</t>
  </si>
  <si>
    <t>The creditor duty post Sequana: lessons for legislative reform</t>
  </si>
  <si>
    <t>JOURNAL OF CORPORATE LAW STUDIES</t>
  </si>
  <si>
    <t>Creditor duty; BTI v Sequana; directors' duties</t>
  </si>
  <si>
    <t>UK common law recognises that directors owe a fiduciary duty to consider creditors' interests when a company is insolvent or in financial difficulty. However, the scope of this duty remains unclear, particularly the degree of financial difficulty necessary for it to arise. In 2022, in BTI v Sequana, the Supreme Court did little to resolve these uncertainties, retaining a context first approach, where the duty's triggering point is based on the facts and the risk borne by creditors in the specific case. In contrast, Ireland codified its creditor duty in 2022, setting out a series of legislatively defined financial situations where the duty applies and what the duty entails. This article argues that while a search for complete doctrinal certainty in this area is misguided, a degree of certainty over and above the position in Sequana can be achieved and that Ireland's codification offers valuable lessons for future UK reform.</t>
  </si>
  <si>
    <t>[Quinn, John] Dublin City Univ, Sch Law &amp; Govt, Dublin, Ireland; [Gavin, Philip] Technol Univ Dublin, Sch Social Sci Law &amp; Educ, Dublin, Ireland; [Quinn, John] Dublin City Univ, Dublin, Ireland</t>
  </si>
  <si>
    <t>Dublin City University; Dublin City University</t>
  </si>
  <si>
    <t>Quinn, J (corresponding author), Dublin City Univ, Dublin, Ireland.</t>
  </si>
  <si>
    <t>john.quinn@dcu.ie</t>
  </si>
  <si>
    <t>1473-5970</t>
  </si>
  <si>
    <t>1757-8426</t>
  </si>
  <si>
    <t>J CORP LAW STUD</t>
  </si>
  <si>
    <t>J. Corp. Law Stud.</t>
  </si>
  <si>
    <t>10.1080/14735970.2023.2226802</t>
  </si>
  <si>
    <t>L4FO3</t>
  </si>
  <si>
    <t>WOS:001022834600001</t>
  </si>
  <si>
    <t>Sahin, BB; Brooks, R</t>
  </si>
  <si>
    <t>Sahin, Betul Bulut; Brooks, Rachel</t>
  </si>
  <si>
    <t>Nation-bounded internationalization of higher education: a comparative analysis of two periphery countries</t>
  </si>
  <si>
    <t>Internationalization of higher education; Poland; Turkey; periphery countries; national boundedness</t>
  </si>
  <si>
    <t>MOBILITY</t>
  </si>
  <si>
    <t>Internationalization of higher education (IHE) has become one of the most prominent strategies in national policies and universities' agendas during the past three decades. IHE provides numerous benefits to nations, institutions, and higher education stakeholders and plays a vital role in improving the quality of education and research. However, it is difficult to argue that all countries equally benefit from IHE; that is, power inequalities between countries in the world are reflected in universities' efforts and outcomes regarding internationalization. To analyse the effects of national boundaries on IHE, this article presents qualitative research conducted in two European countries: Poland and Turkey. Thirty-six semi-structured interviews were conducted with international office professionals. The results revealed that IHE in Poland and Turkey, as examples of peripheral countries in terms of IHE, is restricted by political instability, economic impotency and socio-cultural legacies. These factors lead to a nation-bounded internationalization experience for higher education institutions and individual stakeholders in both countries. The results also revealed some differences between the two countries and it is argued that decentralized internationalization strategies designed based on nations' unique characteristics are needed to drive the progressive values of IHE forward.</t>
  </si>
  <si>
    <t>[Sahin, Betul Bulut] Middle East Tech Univ, Dept Educ Sci, Ankara, Turkiye; [Brooks, Rachel] Univ Surrey, Dept Sociol, Guildford, England</t>
  </si>
  <si>
    <t>Middle East Technical University; University of Surrey</t>
  </si>
  <si>
    <t>Sahin, BB (corresponding author), Middle East Tech Univ, Dept Educ Sci, Ankara, Turkiye.</t>
  </si>
  <si>
    <t>sbetul@metu.edu.tr</t>
  </si>
  <si>
    <t>SAHIN, BETÜL BULUT/AAY-9887-2021</t>
  </si>
  <si>
    <t>SAHIN, BETÜL BULUT/0000-0002-9365-6863</t>
  </si>
  <si>
    <t>10.1080/07294360.2023.2193723</t>
  </si>
  <si>
    <t>WOS:001012230200004</t>
  </si>
  <si>
    <t>Salcedo-Gómez, M; García, CL</t>
  </si>
  <si>
    <t>Salcedo-Gomez, M.; Garcia, Claudia-Lorena</t>
  </si>
  <si>
    <t>Functional systems as explanatory tools in psychiatry</t>
  </si>
  <si>
    <t>PHILOSOPHICAL EXPLORATIONS</t>
  </si>
  <si>
    <t>Variation; combinability; multiple realization; comorbidity; within-category heterogeneity; mental disorders; &gt;</t>
  </si>
  <si>
    <t>SOCIAL ANXIETY DISORDER; SUBSTANCE-ABUSE; MULTIPLE REALIZATION; NETWORK ANALYSIS; SCHIZOPHRENIA; MEMORY; NEUROSCIENCE; MECHANISMS; COGNITION; HOMOLOGY</t>
  </si>
  <si>
    <t>Here we defend the view that one ought to categorize and classify at least some mental disorders as clusters of interrelated dysfunctions of (usually, several) cognitive capacities - that is, the kinds of capacities that are postulated in cognitive science; capacities that are understood as entities that are primarily individuated in cognitive-functional terms (CF-systems); systems that have a set of peculiar properties in their manner of operation when processing information or representations. Usually, some of the mental disorders postulated in psychiatry are clinically heterogeneous with respect to their symptoms, and tend to be comorbid - that is, one disorder is often accompanied by other disorders - for example, schizophrenia often comes with major depression. We argue that describing the manner in which CF-systems operate within themselves and with other CF-systems as well as with stimuli and other kinds of information can best explain why certain mental disorders are very heterogeneous with respect to their symptoms, and why comorbidity is so frequent among these disorders. A consequence is that both within-category heterogeneity and comorbodity are not necessarily indications of defective classifications but are rather a consequence of the actual cognitive functional architecture itself and are therefore to be expected in these cases.</t>
  </si>
  <si>
    <t>[Salcedo-Gomez, M.] Univ Nacl Autonoma Mexico, Fac Psychol, Cdmx 04510, Mexico; [Garcia, Claudia-Lorena] Univ Nacl Autonoma Mexico, Inst Philosoph Res, Cdmx, Mexico</t>
  </si>
  <si>
    <t>Salcedo-Gómez, M (corresponding author), Univ Nacl Autonoma Mexico, Fac Psychol, Cdmx 04510, Mexico.</t>
  </si>
  <si>
    <t>awmsg2000@gmail.com</t>
  </si>
  <si>
    <t>1386-9795</t>
  </si>
  <si>
    <t>1741-5918</t>
  </si>
  <si>
    <t>PHILOS EXPLOR</t>
  </si>
  <si>
    <t>Philos. Explor.</t>
  </si>
  <si>
    <t>10.1080/13869795.2023.2229858</t>
  </si>
  <si>
    <t>L6ES8</t>
  </si>
  <si>
    <t>WOS:001024182200001</t>
  </si>
  <si>
    <t>Svistunova, IV; Gerasimenko, AV; Zavodianskii, MA</t>
  </si>
  <si>
    <t>Svistunova, I. V.; Gerasimenko, A. V.; Zavodianskii, M. A.</t>
  </si>
  <si>
    <t>Crystal structure of selenium-substituted acetylacetonates of boron difluoride</t>
  </si>
  <si>
    <t>PHOSPHORUS SULFUR AND SILICON AND THE RELATED ELEMENTS</t>
  </si>
  <si>
    <t>&amp; beta;-Diketonates of boron difluoride; 3-selenophenyl acetylacetonate; bis(3-selenoate-acetylacetonate); 3-seleno-acetylacetonate; crystal structure</t>
  </si>
  <si>
    <t>SENSORY PROPERTIES; LUMINESCENCE; SPECTRA</t>
  </si>
  <si>
    <t>The molecular and crystal structure of boron difluoride acetylacetonates containing selenophenyl (1), diselenide (2) and selenocyanate groups (3) at the central carbon atom (?) has been determined. As a result of comparing the structure of selenium- and sulfur-substituted complexes, it is shown that the replacement of a sulfur atom with a selenium atom practically does not change the relative position of substituents and chelate cycles, as well as the values of the main angles. The packing of complexes 2 and 3 in crystals repeats the packing of sulfur-containing analogues. For phenyl-substituted selenide and sulfide, the crystals are not isostructural. In the diselenide complex 2 molecules crystallize in pairs with one chelate cycle of each molecule participating in pair formation. The pairs are linked by an interaction similar to the stacking interaction. The second chelate cycle of each molecule in the pair does not participate in intermolecular interactions. In the acetylacetonate complexes studied, the chelate rings are not planar. These cycles have a boat conformation. The magnitude of bending of the cycle is determined by intermolecular interactions.{GRAPHIACAL ABSTRACT}</t>
  </si>
  <si>
    <t>[Svistunova, I. V.; Zavodianskii, M. A.] Far Eastern Fed Univ, Vladivostok, Russia; [Gerasimenko, A. V.] RAS, Inst Chem FEB, Vladivostok, Russia; [Svistunova, I. V.] Far Eastern Fed Univ, Vladivostok 690090, Russia</t>
  </si>
  <si>
    <t>Far Eastern Federal University; Russian Academy of Sciences; Far Eastern Federal University</t>
  </si>
  <si>
    <t>Svistunova, IV (corresponding author), Far Eastern Fed Univ, Vladivostok 690090, Russia.</t>
  </si>
  <si>
    <t>irasvist@gmail.com</t>
  </si>
  <si>
    <t>Svistunova, Irina Valentinovna/F-2563-2014</t>
  </si>
  <si>
    <t>Svistunova, Irina Valentinovna/0000-0002-6218-7814</t>
  </si>
  <si>
    <t>1042-6507</t>
  </si>
  <si>
    <t>1563-5325</t>
  </si>
  <si>
    <t>PHOSPHORUS SULFUR</t>
  </si>
  <si>
    <t>Phosphorus Sulfur Silicon Relat. Elem.</t>
  </si>
  <si>
    <t>10.1080/10426507.2023.2232920</t>
  </si>
  <si>
    <t>Chemistry, Inorganic &amp; Nuclear; Chemistry, Organic</t>
  </si>
  <si>
    <t>M2SG6</t>
  </si>
  <si>
    <t>WOS:001028724200001</t>
  </si>
  <si>
    <t>Wang, YH; Gao, YD; Jiang, BN</t>
  </si>
  <si>
    <t>Wang, Yuanheng; Gao, Yidan; Jiang, Bingnan</t>
  </si>
  <si>
    <t>Weak and strong convergence of a modified adaptive generalized Popov's algorithm for solving variational inequality problems</t>
  </si>
  <si>
    <t>Quasi-monotone operator; strongly pseudo-monotone property; variational inequality problem; generalized Popov's method; weak and strong convergence</t>
  </si>
  <si>
    <t>SUBGRADIENT EXTRAGRADIENT METHOD</t>
  </si>
  <si>
    <t>In this paper, we introduce a modified adaptive step-size algorithm by basing a generalized Popov's method to solve variational inequality problems in a real Hilbert space. The algorithm only needs to act on the operator once time in each iteration, which greatly reduces the calculation time and calculation difficulty. Of particular interesting, by using our new same generalized Popov's method, we also weaken the conditions of the operator about weak continuity and quasi-monotone property. Of particular interesting, by using our new same generalized Popov's method, we can obtain a weak convergence result under the condition that the operator A is quasi-monotone and a R-linear convergence result under the condition that the operator A is strongly pseudo-monotone in the variational inequality, respectively. Finally, the feasibility and effectiveness of the algorithm are verified by some numerical experiments.</t>
  </si>
  <si>
    <t>[Wang, Yuanheng; Gao, Yidan; Jiang, Bingnan] Zhejiang Normal Univ, Coll Math &amp; Comp Sci, Jinhua, Peoples R China</t>
  </si>
  <si>
    <t>Zhejiang Normal University</t>
  </si>
  <si>
    <t>Wang, YH (corresponding author), Zhejiang Normal Univ, Coll Math &amp; Comp Sci, Jinhua, Peoples R China.</t>
  </si>
  <si>
    <t>yhwang@zjnu.cn</t>
  </si>
  <si>
    <t>Wang, Yuanheng/0000-0003-4079-2850</t>
  </si>
  <si>
    <t>National Natural Science Foundation of China [12171435]</t>
  </si>
  <si>
    <t>This work was supposed by the National Natural Science Foundation of China (Grant No. 12171435).</t>
  </si>
  <si>
    <t>10.1080/02331934.2023.2231213</t>
  </si>
  <si>
    <t>K8GK2</t>
  </si>
  <si>
    <t>WOS:001018765100001</t>
  </si>
  <si>
    <t>Zarwell, M; Patton, A; Gunn, LH; Benziger, A; Witt, B; Robinson, PA; Terrell, DF</t>
  </si>
  <si>
    <t>Zarwell, Meagan; Patton, Alexandra; Gunn, Laura H.; Benziger, Alyssa; Witt, Brian; Robinson, Patrick A.; Terrell, Debra F.</t>
  </si>
  <si>
    <t>PrEP awareness, willingness, and likelihood to use future HIV prevention methods among undergraduate college students in an ending the HIV epidemic jurisdiction</t>
  </si>
  <si>
    <t>JOURNAL OF AMERICAN COLLEGE HEALTH</t>
  </si>
  <si>
    <t>HIV prevention; PrEP; sexual health; undergraduate college students; &gt;</t>
  </si>
  <si>
    <t>KNOWLEDGE</t>
  </si>
  <si>
    <t>ObjectiveIdentify factors associated with PrEP awareness, willingness, and future prevention modalities among undergraduate college students.ParticipantsUndergraduates (N = 701) were recruited from a private university, a public research university, and a private historically Black college and university for an online survey.MethodsUpon multiple imputations, a multivariate logistic model, a multivariate multinomial model, and independent multivariate ordinal logistic models were used to calculate Rubin's rules-pooled adjusted odds ratios for PrEP awareness, willingness, and future HIV prevention methods.ResultsOnly 33.4% of students had heard of and 32.4% were willing to take PrEP. PrEP willingness was higher among sexual minority students compared to heterosexual/straight students (OR = 1.65; 95% CI: 1.03-2.63); p = .036). The likelihood to take a future vaccine or antibody prophylaxis treatment was higher than the likelihood to take injectable PrEP or implants.ConclusionsInterventions to increase PrEP uptake and willingness among undergraduates should emphasize equity in HIV education and include future prevention modalities.</t>
  </si>
  <si>
    <t>[Zarwell, Meagan; Patton, Alexandra; Gunn, Laura H.; Benziger, Alyssa; Robinson, Patrick A.] Univ N Carolina, Dept Publ Hlth Sci, Charlotte, NC USA; [Zarwell, Meagan; Patton, Alexandra; Benziger, Alyssa; Witt, Brian; Robinson, Patrick A.] Univ N Carolina, Acad Populat Hlth Innovat, Dept Publ Hlth Sci, Charlotte, NC USA; [Zarwell, Meagan; Patton, Alexandra; Benziger, Alyssa; Witt, Brian; Robinson, Patrick A.] Mecklenburg Cty Publ Hlth, Charlotte, NC USA; [Gunn, Laura H.] Univ N Carolina, Sch Data Sci, Charlotte, NC USA; [Gunn, Laura H.] Imperial Coll London, Sch Publ Hlth, Dept Primary Care &amp; Publ Hlth, London, England; [Witt, Brian] Mecklenburg Cty Publ Hlth, Dept HIV STD Community Serv, Charlotte, NC USA; [Terrell, Debra F.] Johnson C Smith Univ, Dept Nat &amp; Behav Sci, Charlotte, NC USA; [Zarwell, Meagan] Univ N Carolina, Dept Publ Hlth Sci, 9201 Univ city Blvd, Charlotte, NC 28233 USA</t>
  </si>
  <si>
    <t>University of North Carolina; University of North Carolina Charlotte; University of North Carolina; University of North Carolina Charlotte; University of North Carolina; University of North Carolina Charlotte; Imperial College London; Johnson C Smith University; University of North Carolina; University of North Carolina Charlotte</t>
  </si>
  <si>
    <t>Zarwell, M (corresponding author), Univ N Carolina, Dept Publ Hlth Sci, 9201 Univ city Blvd, Charlotte, NC 28233 USA.</t>
  </si>
  <si>
    <t>mzarwell@charlotte.edu</t>
  </si>
  <si>
    <t>Zarwell, Meagan/0000-0002-3562-7415</t>
  </si>
  <si>
    <t>0744-8481</t>
  </si>
  <si>
    <t>1940-3208</t>
  </si>
  <si>
    <t>J AM COLL HEALTH</t>
  </si>
  <si>
    <t>J. Am. Coll. Health</t>
  </si>
  <si>
    <t>10.1080/07448481.2023.2232885</t>
  </si>
  <si>
    <t>M3WG9</t>
  </si>
  <si>
    <t>WOS:001029522600001</t>
  </si>
  <si>
    <t>Alam, J; Basrur, R</t>
  </si>
  <si>
    <t>Alam, Javed; Basrur, Rajesh</t>
  </si>
  <si>
    <t>Subcontinental drift: domestic politics and India's foreign policy</t>
  </si>
  <si>
    <t>CONTEMPORARY SOUTH ASIA</t>
  </si>
  <si>
    <t>[Alam, Javed] Jamia Millia Islamia, New Delhi, India</t>
  </si>
  <si>
    <t>Alam, J (corresponding author), Jamia Millia Islamia, New Delhi, India.</t>
  </si>
  <si>
    <t>Javed.alam0005@gmail.com</t>
  </si>
  <si>
    <t>Alam, Javed/JEP-3567-2023</t>
  </si>
  <si>
    <t>Alam, Javed/0000-0001-6736-0754</t>
  </si>
  <si>
    <t>0958-4935</t>
  </si>
  <si>
    <t>1469-364X</t>
  </si>
  <si>
    <t>CONTEMP SOUTH ASIA</t>
  </si>
  <si>
    <t>Contemp. South Asia</t>
  </si>
  <si>
    <t>10.1080/09584935.2023.2240624</t>
  </si>
  <si>
    <t>Area Studies; Asian Studies</t>
  </si>
  <si>
    <t>Q1NA2</t>
  </si>
  <si>
    <t>WOS:001055242800004</t>
  </si>
  <si>
    <t>Ballock, TJ</t>
  </si>
  <si>
    <t>Ballock, Tracie J.</t>
  </si>
  <si>
    <t>Collection Management In The Cloud: A Guide For Using Cloud Computing Technologies In Libraries</t>
  </si>
  <si>
    <t>TECHNICAL SERVICES QUARTERLY</t>
  </si>
  <si>
    <t>[Ballock, Tracie J.] Duquesne Univ, Collect &amp; Metadata Serv, Pittsburgh, PA 15282 USA</t>
  </si>
  <si>
    <t>Duquesne University</t>
  </si>
  <si>
    <t>Ballock, TJ (corresponding author), Duquesne Univ, Collect &amp; Metadata Serv, Pittsburgh, PA 15282 USA.</t>
  </si>
  <si>
    <t>ballockt@duq.edu</t>
  </si>
  <si>
    <t>0731-7131</t>
  </si>
  <si>
    <t>1555-3337</t>
  </si>
  <si>
    <t>TECH SERV Q</t>
  </si>
  <si>
    <t>Tech. Serv. Q.</t>
  </si>
  <si>
    <t>Q0MM1</t>
  </si>
  <si>
    <t>WOS:001054540500016</t>
  </si>
  <si>
    <t>Banerjee, S</t>
  </si>
  <si>
    <t>Banerjee, Supurna</t>
  </si>
  <si>
    <t>South Asian migrations in global history: labour, laws and wayward lives</t>
  </si>
  <si>
    <t>SOUTH ASIAN HISTORY AND CULTURE</t>
  </si>
  <si>
    <t>[Banerjee, Supurna] Inst Dev Studies, Kolkata, India</t>
  </si>
  <si>
    <t>Banerjee, S (corresponding author), Inst Dev Studies, Kolkata, India.</t>
  </si>
  <si>
    <t>banerjee.supurna@gmail.com</t>
  </si>
  <si>
    <t>1947-2498</t>
  </si>
  <si>
    <t>1947-2501</t>
  </si>
  <si>
    <t>SOUTH ASIAN HIST CUL</t>
  </si>
  <si>
    <t>South Asian Hist. Cult.</t>
  </si>
  <si>
    <t>10.1080/19472498.2023.2228084</t>
  </si>
  <si>
    <t>N8XS8</t>
  </si>
  <si>
    <t>WOS:001024480700001</t>
  </si>
  <si>
    <t>Carabelli, A</t>
  </si>
  <si>
    <t>Carabelli, Anna</t>
  </si>
  <si>
    <t>On Keynes's probability and uncertainty</t>
  </si>
  <si>
    <t>JOURNAL OF POST KEYNESIAN ECONOMICS</t>
  </si>
  <si>
    <t>Keynes; probability; complexity; uncertainty; ignorance; rational and moral dilemmas; defeasible reasoning; &gt;</t>
  </si>
  <si>
    <t>There has been great confusion on Keynes's notions of probability and uncertainty in recent years. Keynes believes that probability (his logical probability) is the guide of life, i.e., it is having some reasons to believe and to act. So probability is a theory of reasonable partial belief and a logic of non-demonstrative reasoning, upon which decision and action in conditions of limited knowledge, are based. (His) probability is, for Keynes, a positive, constructive, and forward-looking element of life. Limited knowledge is not a bar to decision and action. According to him, (his) probability helps us in almost all ordinary situations of life. This is the main reason why Keynes believes that ignorance and uncertainty are the two most difficult issues to tackle in life and in economics in particular. Both are related to a lack of limited knowledge. Ignorance is a lack of known reasons; Keynes writes we do not know. Keynes's uncertainty is a much more intriguing concept than mere ignorance. Uncertainty is due to various reasons, one of them is the intrinsic incommensurability of probabilities. So, uncertainty is related to Keynes's philosophy of measurement, a philosophy that also pervades his complex economics.</t>
  </si>
  <si>
    <t>[Carabelli, Anna] Univ Piemonte Orientale, Novara, Italy</t>
  </si>
  <si>
    <t>University of Eastern Piedmont Amedeo Avogadro</t>
  </si>
  <si>
    <t>Carabelli, A (corresponding author), Univ Piemonte Orientale, Novara, Italy.</t>
  </si>
  <si>
    <t>0160-3477</t>
  </si>
  <si>
    <t>1557-7821</t>
  </si>
  <si>
    <t>J POST KEYNESIAN EC</t>
  </si>
  <si>
    <t>J. Post Keynes. Econ.</t>
  </si>
  <si>
    <t>10.1080/01603477.2023.2224029</t>
  </si>
  <si>
    <t>O0ZO5</t>
  </si>
  <si>
    <t>WOS:001041192300007</t>
  </si>
  <si>
    <t>Franceschelli, MC</t>
  </si>
  <si>
    <t>Franceschelli, Maria Chiara</t>
  </si>
  <si>
    <t>Fluid Russia. Between the Global and the National in the Post-Soviet Era</t>
  </si>
  <si>
    <t>EUROPE-ASIA STUDIES</t>
  </si>
  <si>
    <t>[Franceschelli, Maria Chiara] Scuola Normale Super, Polit Sci &amp; Sociol, Florence, Italy</t>
  </si>
  <si>
    <t>Scuola Normale Superiore di Pisa</t>
  </si>
  <si>
    <t>Franceschelli, MC (corresponding author), Scuola Normale Super, Polit Sci &amp; Sociol, Florence, Italy.</t>
  </si>
  <si>
    <t>mariachiara.franceschelli@sns.it</t>
  </si>
  <si>
    <t>0966-8136</t>
  </si>
  <si>
    <t>1465-3427</t>
  </si>
  <si>
    <t>EUROPE-ASIA STUD</t>
  </si>
  <si>
    <t>Eur.-Asia Stud.</t>
  </si>
  <si>
    <t>10.1080/09668136.2023.2224171</t>
  </si>
  <si>
    <t>Area Studies; Economics; Political Science</t>
  </si>
  <si>
    <t>Area Studies; Business &amp; Economics; Government &amp; Law</t>
  </si>
  <si>
    <t>N2ON8</t>
  </si>
  <si>
    <t>WOS:001035469300010</t>
  </si>
  <si>
    <t>Garcia-Louzao, J; Jouvanceau, V</t>
  </si>
  <si>
    <t>Garcia-Louzao, Jose; Jouvanceau, Valentin</t>
  </si>
  <si>
    <t>Wage growth in Lithuania from 2008 to 2020: observed drivers and underlying shocks</t>
  </si>
  <si>
    <t>BALTIC JOURNAL OF ECONOMICS</t>
  </si>
  <si>
    <t>Wage growth; Phillips curve; structural BVAR; administrative data</t>
  </si>
  <si>
    <t>REAL WAGES; BUSINESS-CYCLE; IDENTIFICATION; CYCLICALITY; PRICE; UNEMPLOYMENT</t>
  </si>
  <si>
    <t>This paper studies the drivers of wage growth in Lithuania over the period 2008-2020. Using administrative data as well as aggregate measures reflecting the state of the economy, we estimate an extended version of a wage Phillips curve. Our reduced-form estimates indicate that nominal wage growth was tightly linked to labor market fluctuation over this period. Labor productivity, changes in the minimum wage, and the composition of employment also contributed to wage dynamics. However, we find little evidence that past inflation has been a push factor. To understand the underlying economic primitives behind our findings, we estimate a structural Bayesian autoregressive model. Our structural analysis reveals a significant contribution from aggregate supply shocks, reflecting a stronger relationship between productivity and wages than implied by our reduced-form estimates. Moreover, a historical decomposition reveals that since 2013, wages grew over and above productivity due to rising aggregate demand and labor market disturbances.</t>
  </si>
  <si>
    <t>[Garcia-Louzao, Jose; Jouvanceau, Valentin] Bank Lithuania, Vilnius, Lithuania; [Garcia-Louzao, Jose] Vilnius Univ, Vilnius, Lithuania; [Jouvanceau, Valentin] Bank Lithuania, Totoriu g 4, LT-01121 Vilnius, Lithuania</t>
  </si>
  <si>
    <t>Bank of Lithuania; Vilnius University; Bank of Lithuania</t>
  </si>
  <si>
    <t>Jouvanceau, V (corresponding author), Bank Lithuania, Totoriu g 4, LT-01121 Vilnius, Lithuania.</t>
  </si>
  <si>
    <t>vjouvanceau@lb.lt</t>
  </si>
  <si>
    <t>1406-099X</t>
  </si>
  <si>
    <t>2334-4385</t>
  </si>
  <si>
    <t>BALT J ECON</t>
  </si>
  <si>
    <t>Balt. J. Econ.</t>
  </si>
  <si>
    <t>10.1080/1406099X.2023.2254488</t>
  </si>
  <si>
    <t>S3EC9</t>
  </si>
  <si>
    <t>WOS:001070025300001</t>
  </si>
  <si>
    <t>Halcrow, S; Zhang, Q</t>
  </si>
  <si>
    <t>Halcrow, Sian; Zhang, Qian</t>
  </si>
  <si>
    <t>Oxford Textbook of the Newborn, a Cultural and Medical History</t>
  </si>
  <si>
    <t>CHILDHOOD IN THE PAST</t>
  </si>
  <si>
    <t>[Halcrow, Sian] Univ Otago, Dunedin, New Zealand; [Zhang, Qian] Shandong Univ, Qingdao, Peoples R China</t>
  </si>
  <si>
    <t>University of Otago; Shandong University</t>
  </si>
  <si>
    <t>Halcrow, S (corresponding author), Univ Otago, Dunedin, New Zealand.</t>
  </si>
  <si>
    <t>sian.halcrow@otago.ac.nz</t>
  </si>
  <si>
    <t>Zhang, Qian/0009-0004-3866-2007; Halcrow, Sian/0000-0001-6038-7997</t>
  </si>
  <si>
    <t>1758-5716</t>
  </si>
  <si>
    <t>2040-8528</t>
  </si>
  <si>
    <t>CHILD PAST</t>
  </si>
  <si>
    <t>Child. Past</t>
  </si>
  <si>
    <t>10.1080/17585716.2023.2235743</t>
  </si>
  <si>
    <t>Anthropology; Archaeology; History</t>
  </si>
  <si>
    <t>O5JQ7</t>
  </si>
  <si>
    <t>WOS:001035642700001</t>
  </si>
  <si>
    <t>Hassanein, H</t>
  </si>
  <si>
    <t>Hassanein, Hamada</t>
  </si>
  <si>
    <t>Rendition of Noncanonical Opposition: A Case Study of Qur'anic Composition in Bilingual Transposition</t>
  </si>
  <si>
    <t>WORD-JOURNAL OF THE INTERNATIONAL LINGUISTIC ASSOCIATION</t>
  </si>
  <si>
    <t>rendition; noncanonical opposition; Qur'anic composition; English; case study; &gt;</t>
  </si>
  <si>
    <t>DISCOURSE FUNCTIONS; ANTONYM COOCCURRENCES</t>
  </si>
  <si>
    <t>Grammar and meaning, form and function, are two linguistic levels intrinsic and indispensable to reading and rendering the Qur'an, the Divine Word of Islamic Scripture, in a foreign tongue. Nida and de Waard's (1986) 'functional equivalence', an amalgamation of formal equivalence and dynamic equivalence, posits that emphasis in translation activity and practice must also be laid on SL form which must be retained and maintained in TL where possible as long as it performs discourse functions and conciliates SL fidelity and TL legibility. The present study argues that the syntactic frames that host noncanonical oppositions in the Qur'an trigger distinct discourse functions that must be transposed as lexicosyntactic and lexicosemantic translation units into Qur'an translation. Building on a typological analysis of a representative dataset retrieved from Qur'anic Arabic Corpus (QAC), the study reveals remarkable variations among the translators in their renditions of noncanonical opposition frames and functions owing to explicitation and domestication. This study recommends revival and reuse of the grammar-translation method in Qur'an translation when SL meaning and function are based on SL grammar and form.</t>
  </si>
  <si>
    <t>[Hassanein, Hamada] Prince Sattam bin Abdulaziz Univ, Coll Sci &amp; Humanities, Dept English, Alkharj, Saudi Arabia; [Hassanein, Hamada] Mansoura Univ, Fac Educ, Dept Foreign Languages, Mansoura, Egypt</t>
  </si>
  <si>
    <t>Prince Sattam Bin Abdulaziz University; Egyptian Knowledge Bank (EKB); Mansoura University</t>
  </si>
  <si>
    <t>Hassanein, H (corresponding author), Prince Sattam bin Abdulaziz Univ, Coll Sci &amp; Humanities, Dept English, Alkharj, Saudi Arabia.;Hassanein, H (corresponding author), Mansoura Univ, Fac Educ, Dept Foreign Languages, Mansoura, Egypt.</t>
  </si>
  <si>
    <t>h.hassanein@psau.edu.sa</t>
  </si>
  <si>
    <t>Prince Sattam bin Abdulaziz University [PSAU/2023/R/1444]</t>
  </si>
  <si>
    <t>Prince Sattam bin Abdulaziz University</t>
  </si>
  <si>
    <t>This study is supported via funding from Prince Sattam bin Abdulaziz University project number (PSAU/2023/R/1444). I am grateful to PSAU, KSA, and Mansoura University, ARE, for giving me the opportunity and support to complete this article. A word of thanks is also due to the Editor in Chief and reviewers of WORD for their valuable comments on an earlier version of my article.</t>
  </si>
  <si>
    <t>0043-7956</t>
  </si>
  <si>
    <t>2373-5112</t>
  </si>
  <si>
    <t>WORD</t>
  </si>
  <si>
    <t>Word-J. Int. Ling. Assoc.</t>
  </si>
  <si>
    <t>10.1080/00437956.2023.2237271</t>
  </si>
  <si>
    <t>P1HB5</t>
  </si>
  <si>
    <t>WOS:001048208000002</t>
  </si>
  <si>
    <t>Kjolseth, MC; Siddiq, F</t>
  </si>
  <si>
    <t>Kjolseth, Martha Clabby; Siddiq, Fazilat</t>
  </si>
  <si>
    <t>A Case Study of International Business students' Experiences with Exploratory Talk Ground Rules in Online Group Work</t>
  </si>
  <si>
    <t>JOURNAL OF TEACHING IN INTERNATIONAL BUSINESS</t>
  </si>
  <si>
    <t>Exploratory talk; higher education; online teaching; collaborative learning; thematic analysis</t>
  </si>
  <si>
    <t>POSTSECONDARY EDUCATION; CLASSROOM; METAANALYSIS</t>
  </si>
  <si>
    <t>This study investigates how students experience and describe group work in an online course in international business (IB) after being introduced to Barnes' exploratory talk ground rules (ETGRs) which promote norms for dialog that encourage participants to share ideas and information and to think together. This study examines the dialog in groups of fourteen IB undergraduates attending a four-week online course in International Management. Initially, the students received briefings about the ETGRs and wrote self-reports throughout the course, on which we conducted a thematic analysis. Our findings show that students who engage with and apply the ETGRs describe more shared responsibility for collaborative learning in the group work, a greater interest in exploring the perspectives of group members, and overall, more positive learning experiences. This implies that making the ETGRs transparent is considered beneficial for social interactions in group work. However, the teacher plays a key role in creating a class environment conducive for collaborative learning, and preconditions for productive group work, including a good assignment structure and proper technology preparation, must be met. The findings and their implications are discussed herein.</t>
  </si>
  <si>
    <t>[Kjolseth, Martha Clabby; Siddiq, Fazilat] Univ South Eastern Norway, Notodden, Norway</t>
  </si>
  <si>
    <t>University College of Southeast Norway</t>
  </si>
  <si>
    <t>Kjolseth, MC (corresponding author), Univ South Eastern Norway, Notodden, Norway.</t>
  </si>
  <si>
    <t>Martha.Kjolseth@usn.no</t>
  </si>
  <si>
    <t>0897-5930</t>
  </si>
  <si>
    <t>1528-6991</t>
  </si>
  <si>
    <t>J TEACH INT BUS</t>
  </si>
  <si>
    <t>J. Teach. Int. Bus.</t>
  </si>
  <si>
    <t>10.1080/08975930.2023.2230367</t>
  </si>
  <si>
    <t>R7LC7</t>
  </si>
  <si>
    <t>WOS:001066122700004</t>
  </si>
  <si>
    <t>A Stirling Identity Proposal</t>
  </si>
  <si>
    <t>AMERICAN MATHEMATICAL MONTHLY</t>
  </si>
  <si>
    <t>[Kouba, Omran] Higher Inst Appl Sci &amp; Technol, Damascus, Syria</t>
  </si>
  <si>
    <t>Kouba, O (corresponding author), Higher Inst Appl Sci &amp; Technol, Damascus, Syria.</t>
  </si>
  <si>
    <t>0002-9890</t>
  </si>
  <si>
    <t>1930-0972</t>
  </si>
  <si>
    <t>AM MATH MON</t>
  </si>
  <si>
    <t>Am. Math. Mon.</t>
  </si>
  <si>
    <t>G7MW1</t>
  </si>
  <si>
    <t>WOS:000990965400021</t>
  </si>
  <si>
    <t>Kucharska, P</t>
  </si>
  <si>
    <t>Kucharska, Paulina</t>
  </si>
  <si>
    <t>Preparing for the Just Transition from Local Economies' Perspective: Belchatow Brown Coal Basin Case Study (Central Poland)</t>
  </si>
  <si>
    <t>JOURNAL OF ECONOMIC ISSUES</t>
  </si>
  <si>
    <t>coal-dependent community; just transition; Belchatow Brown Coal Basin; local authorities; investment expenditures; H72; L72; Q32; R58</t>
  </si>
  <si>
    <t>INSTITUTIONS; CRITERIA; IMPACT</t>
  </si>
  <si>
    <t>This article addresses the matter of investment decisions undertaken by the local authorities of coal-dependent economies in the context of oncoming transition resulting from the industrial facilities closure. The article offers an analysis of investment expenditures in three areas: technical infrastructure, social infrastructure, and environmental protection. The theoretical part of the article is focused on the issues of the just transition process and the role of institutions in effective planning for the post-coal future. Examples of concrete investments mitigating the negative effects of the coal phase-out are presented. The research is also completed by the recommendations and suggestions for policy makers.</t>
  </si>
  <si>
    <t>[Kucharska, Paulina] Univ Lodz, Fac Econ &amp; Sociol, Lodz, Poland</t>
  </si>
  <si>
    <t>University of Lodz</t>
  </si>
  <si>
    <t>Kucharska, P (corresponding author), Univ Lodz, Fac Econ &amp; Sociol, Lodz, Poland.</t>
  </si>
  <si>
    <t>0021-3624</t>
  </si>
  <si>
    <t>1946-326X</t>
  </si>
  <si>
    <t>J ECON ISSUES</t>
  </si>
  <si>
    <t>J. Econ. Issues</t>
  </si>
  <si>
    <t>10.1080/00213624.2023.2239687</t>
  </si>
  <si>
    <t>Q8OX6</t>
  </si>
  <si>
    <t>WOS:001060071400016</t>
  </si>
  <si>
    <t>Kvasnytsia, Y</t>
  </si>
  <si>
    <t>Kvasnytsia, Yuliia</t>
  </si>
  <si>
    <t>Post-war mourning and resolution: A Ukrainian perspective</t>
  </si>
  <si>
    <t>PSYCHOANALYSIS SELF AND CONTEXT</t>
  </si>
  <si>
    <t>Future; history; intergenerational; psychoanalysis; survival; trauma; Ukraine; war</t>
  </si>
  <si>
    <t>In this essay to her western colleagues, the author addresses a hope of a more resolute Ukraine who will after the current war do more than simply accept and move on. She expresses the hope that the future will see the establishment of a more resolute Ukraine, ready to defend and define itself as a fully autonomous society and nation, to go beyond survival mode even while recognizing the savage violence and loss her country has suffered.</t>
  </si>
  <si>
    <t>[Kvasnytsia, Yuliia] European Assoc Transact Anal, Ukrainian Assoc Transact Anal, Constance, Germany</t>
  </si>
  <si>
    <t>Kvasnytsia, Y (corresponding author), European Assoc Transact Anal, Ukrainian Assoc Transact Anal, Constance, Germany.</t>
  </si>
  <si>
    <t>juliapavlivnajulia@gmail.com</t>
  </si>
  <si>
    <t>2472-0038</t>
  </si>
  <si>
    <t>2472-0046</t>
  </si>
  <si>
    <t>PSYCHOANAL SELF CONT</t>
  </si>
  <si>
    <t>Psychoanal. Self Context</t>
  </si>
  <si>
    <t>10.1080/24720038.2023.2205778</t>
  </si>
  <si>
    <t>L4YK0</t>
  </si>
  <si>
    <t>WOS:001023334800017</t>
  </si>
  <si>
    <t>La Barrie, DL; Perry, EW; Packard, G; Hinrichs, R; Carter, SE; Self-Brown, S</t>
  </si>
  <si>
    <t>La Barrie, Dominique L.; Perry, Elizabeth W.; Packard, Grace; Hinrichs, Rebecca; Carter, Sierra E.; Self-Brown, Shannon</t>
  </si>
  <si>
    <t>The Initial Outcomes of SafeCare &amp; REG; on the Physiological and Behavioral Outcomes of Black Mothers Who Have Experienced Significant Trauma</t>
  </si>
  <si>
    <t>CHILD &amp; FAMILY BEHAVIOR THERAPY</t>
  </si>
  <si>
    <t>Black mothers; intervention; parenting; post-traumatic stress disorder; SafeCare; skin conductance; trauma exposure; &gt;</t>
  </si>
  <si>
    <t>POSTTRAUMATIC-STRESS-DISORDER; CHILD MALTREATMENT PREVENTION; PARENTING STRESS; LOW-INCOME; PSYCHOPHYSIOLOGICAL ASSESSMENT; STRUCTURAL RACISM; SKIN-CONDUCTANCE; KIDS PROGRAM; DSM-IV; IMPACT</t>
  </si>
  <si>
    <t>Trauma exposure, PTSD, and racial trauma among Black parents can negatively impact parenting stress and parent-child relationships. This pilot study explores the feasibility of the SafeCare Parent-Child Interaction module among Black mothers with high levels of trauma exposure, and initial intervention outcomes. Six mother-child dyads completed the 6-week SafeCare Parent-Child Interaction module, pre- and post- assessments (i.e., parenting skills, PTSD, and skin conductance), and semi-structured interviews. Findings suggest that SafeCare was feasible among this population, evidenced by a 100% retention rate and qualitative interviews. Most mothers demonstrated improved parenting skills, decreased PTSD symptoms, and reductions in their skin conductance response.</t>
  </si>
  <si>
    <t>[La Barrie, Dominique L.] Univ Georgia, Dept Psychol, Athens, GA USA; [Perry, Elizabeth W.; Self-Brown, Shannon] Georgia State Univ, Sch Publ Hlth, Atlanta, GA USA; [Packard, Grace; Carter, Sierra E.] Georgia State Univ, Dept Psychol, Atlanta, GA USA; [Hinrichs, Rebecca] Emory Univ, Dept Psychiat, Sch Med, Atlanta, GA USA; [La Barrie, Dominique L.] 125 Baldwin St, Athens, GA 30602 USA</t>
  </si>
  <si>
    <t>University System of Georgia; University of Georgia; University System of Georgia; Georgia State University; University System of Georgia; Georgia State University; Emory University</t>
  </si>
  <si>
    <t>La Barrie, DL (corresponding author), 125 Baldwin St, Athens, GA 30602 USA.</t>
  </si>
  <si>
    <t>Dominique.LaBarrie@uga.edu</t>
  </si>
  <si>
    <t>Center for Research on Interpersonal Violence (CRIV) at Georgia State University (GSU)</t>
  </si>
  <si>
    <t>Research reported in this paper was supported by the Center for Research on Interpersonal Violence (CRIV) at Georgia State University (GSU). The content is solely the responsibility of the authors and does not necessarily represent the official views of the GSU or CRIV.</t>
  </si>
  <si>
    <t>0731-7107</t>
  </si>
  <si>
    <t>1545-228X</t>
  </si>
  <si>
    <t>CHILD FAM BEHAV THER</t>
  </si>
  <si>
    <t>Child Fam. Behav. Ther.</t>
  </si>
  <si>
    <t>10.1080/07317107.2023.2231430</t>
  </si>
  <si>
    <t>Psychology, Clinical; Family Studies</t>
  </si>
  <si>
    <t>Psychology; Family Studies</t>
  </si>
  <si>
    <t>Q7UE4</t>
  </si>
  <si>
    <t>WOS:001022971400001</t>
  </si>
  <si>
    <t>Marshall, M; Waring, G</t>
  </si>
  <si>
    <t>Marshall, Marie; Waring, Gillian</t>
  </si>
  <si>
    <t>Youth Work in the Hospital Setting: A Narrative Review of the Literature</t>
  </si>
  <si>
    <t>COMPREHENSIVE CHILD AND ADOLESCENT NURSING-BUILDING EVIDENCE FOR PRACTICE</t>
  </si>
  <si>
    <t>Youth worker; young people; hospital</t>
  </si>
  <si>
    <t>MENTAL-HEALTH; YOUNG-PEOPLE; CHILDREN</t>
  </si>
  <si>
    <t>This paper presents a narrative literature review on the evidence relating to the youth worker role with young people in the hospital setting, within which the research gaps and inconsistencies within the body of knowledge available are highlighted. Medline, CINAHL, PsycINFO, AMED and British Nursing Index databases were searched and screened for papers which involved the youth worker role with young people in a hospital setting. Data relating to the youth workers who worked with young people in the hospital setting were extracted by two independent reviewers. A total of 11 papers were identified dating from 1971 to 2018, from a range of countries. In order to present the available body of knowledge, this narrative synthesis of the literature is presented under three headings: descriptive work, service evaluation and empirical research. The findings suggest that the youth worker role in the hospital setting has a positive impact upon the lives of young people and this was accomplished through the interventions the youth worker employed when working with young people. Equally, challenges were highlighted relating to the youth worker undertaking their role in the hospital setting. However, changes during this time period in attitudes towards adolescent health particularly within the United Kingdom, along with the loss of funding for youth work has had an impact on the research in this area of clinical practice. The number of descriptive papers in this review, highlights the necessity for empirical evidence in both quantitative and qualitative research in order to gain a greater understanding of what the youth worker role in the hospital provides to young people and the impact of their interventions from the perspectives of young people, parents, youth workers and members of the multi-disciplinary team.</t>
  </si>
  <si>
    <t>[Marshall, Marie] Univ Manchester, Manchester NHS Fdn Trust, Manchester Acad Hlth Sci Ctr, Manchester M13 9WL, England; [Waring, Gillian] Univ Huddersfield, Huddersfield, England</t>
  </si>
  <si>
    <t>University of Manchester; Wythenshawe Hospital NHS Foundation Trust; University of Huddersfield</t>
  </si>
  <si>
    <t>Marshall, M (corresponding author), Univ Manchester, Manchester NHS Fdn Trust, Manchester Acad Hlth Sci Ctr, Manchester M13 9WL, England.</t>
  </si>
  <si>
    <t>marie.marshall@mft.nhs.uk</t>
  </si>
  <si>
    <t>Manchester University Foundation Trust</t>
  </si>
  <si>
    <t>Manchester University Foundation Trust, Post-Doctoral Clinical Fellowship Award.</t>
  </si>
  <si>
    <t>2469-4193</t>
  </si>
  <si>
    <t>2469-4207</t>
  </si>
  <si>
    <t>COMPR CHILD ADOLES N</t>
  </si>
  <si>
    <t>Compr. Child Adolesc. Nurs.-Build. Evid. Pract.</t>
  </si>
  <si>
    <t>10.1080/24694193.2021.1936294</t>
  </si>
  <si>
    <t>Nursing</t>
  </si>
  <si>
    <t>Q4SG7</t>
  </si>
  <si>
    <t>WOS:001057429200005</t>
  </si>
  <si>
    <t>Mattner, C</t>
  </si>
  <si>
    <t>Mattner, Cosima</t>
  </si>
  <si>
    <t>Hannah Arendt's Transatlantic Walter Benjamin</t>
  </si>
  <si>
    <t>GERMANIC REVIEW</t>
  </si>
  <si>
    <t>Hannah Arendt; Walter Benjamin; transatlantic criticism; Merkur debate; Frankfurt School</t>
  </si>
  <si>
    <t>In 1968, twenty-eight years after Walter Benjamin's death, Hannah Arendt published a literary portrait of Benjamin that questioned the Frankfurt School's editorial infringements on and interpretive appropriations of Benjamin's work. In recent discussions of her intervention in the debate that had escalated upon Theodor W. Adorno and Gershom Scholem's publication of Benjamin's letters in 1966, it has been neglected that Arendt published two versions of her portrait, American and German. This article shows that the American version differs significantly from the German as it amplifies a characteristic citation method through which Arendt performatively preserves and promotes Benjamin's work. Thus, the American version indicates how Arendt transformed her strong editorial commitment to rescuing European Jewish cultural heritage after the Holocaust into a critical method. The initial occasion for Arendt's portrait was her American Benjamin edition Illuminations (1968), toward which she had begun working since her arrival in New York in 1941. The edition's continuing global distribution demonstrates the lasting impact of Arendt's intervention.</t>
  </si>
  <si>
    <t>[Mattner, Cosima] Columbia Univ, New York, NY USA; [Mattner, Cosima] Columbia Univ, Dept German Literatures &amp; Languages, New York, NY 10027 USA</t>
  </si>
  <si>
    <t>Columbia University; Columbia University</t>
  </si>
  <si>
    <t>Mattner, C (corresponding author), Columbia Univ, Dept German Literatures &amp; Languages, New York, NY 10027 USA.</t>
  </si>
  <si>
    <t>Cm3783@columbia.edu</t>
  </si>
  <si>
    <t>0016-8890</t>
  </si>
  <si>
    <t>1930-6962</t>
  </si>
  <si>
    <t>GER REV</t>
  </si>
  <si>
    <t>Ger. Rev.</t>
  </si>
  <si>
    <t>10.1080/00168890.2023.2232513</t>
  </si>
  <si>
    <t>Literature, German, Dutch, Scandinavian</t>
  </si>
  <si>
    <t>R1CK3</t>
  </si>
  <si>
    <t>WOS:001061787000004</t>
  </si>
  <si>
    <t>Meng, SX; Wang, B; Li, WT</t>
  </si>
  <si>
    <t>Meng, Shengxi; Wang, Bing; Li, Wentao</t>
  </si>
  <si>
    <t>LncRNA MALAT1 improves cerebral ischemia-reperfusion injury and cognitive dysfunction by regulating miR-142-3p/SIRT1 axis</t>
  </si>
  <si>
    <t>INTERNATIONAL JOURNAL OF NEUROSCIENCE</t>
  </si>
  <si>
    <t>Cerebral ischemia-reperfusion injury; oxygen-glucose deprivation/reoxygenation; lncRNA MALAT1; miR-142-3p/SIRT1 axis</t>
  </si>
  <si>
    <t>NONCODING RNA MALAT1; DOWN-REGULATION; GLUCOSE DEPRIVATION; CELL-DEATH; BRAIN; AUTOPHAGY; OXYGEN; ACTIVATION; EXPRESSION; PROTECTS</t>
  </si>
  <si>
    <t>Purpose: To investigate the regulation and related mechanisms of MALAT1 in cerebral ischemia-reperfusion (CI/R) injury. Materials and methods: 72 mice were divided into sham group (n=24), MCAO group (n=24), MCAO+pcDNA-NC group (n=12) and MCAO+MALAT1 group (n=12). At 12 h, 24 h and 48 h after reperfusion, 6 mice were randomly selected from the sham group and the MCAO group to detect the expression of MALAT1, miR-142-3p and SIRT1 in brain tissue. All mice were scored for neurobehavioral after 48 h of reperfusion. After the completion of the scoring, 6 mice were randomly selected from each group and brain tissue was obtained for TTC analysis. The remaining mice of each group were kept on the Morris water maze test after 3 days of feeding. TTC staining and cerebral infarct volume determination. The infarct size of each brain slice was calculated using Image J image analysis software. OGD/R model PC12 cells were prepared according to simulating CI/R injury in vitro. MALAT1 was cloned into the pcDNA3.1 to construct a MALAT1 overexpression vector with the empty vector NC as a control. Plasmid or oligonuceotides were transfected into PC12 cells. The content of TNF-alpha, IL-1 beta, IL-6, the content of reactive oxygen species (ROS), malondialdehyde (MDA) in brain tissue was detected. The activity of superoxide dismutase (SOD), catalase (CAT) activity was measured. Results: MALAT1 was down-regulated in a time-dependent manner in CI/R-damaged mouse cerebral cortex and OGD/R-induced PC12 cells, accompanied by an increase in the expression of miR-142-3p and a decrease in sirtuin 1 (SIRT1) expression. Overexpression of MALAT1 inhibited OGD/R-induced cell necrosis and apoptosis and promoted cell proliferation. Overexpression of MALAT1 reduced the levels of TNF-alpha, IL-6, IL-1 beta, ROS and MDA and increased the activities of SOD and CAT in OGD/R-injured PC12 cells. MALAT1 negatively regulated the expression of miR-142-3p, and SIRT1 was a target gene of miR-142-3p. The expression of SIRT1 induced by MALAT1 overexpression was obviously abolished by the introduction of miR-142-3p mimic. MALAT1 overexpression can exert its role by regulating the miR-142-3p/SIRT1 axis. Besides, overexpression of MALAT1 improved cerebral infarction, neurological impairment and cognitive dysfunction in CI/R mice. Conclusion: MALAT1 mediates SIRT1 expression by acting as a ceRNA of miR-142-3p to improve CI/R injury.</t>
  </si>
  <si>
    <t>[Meng, Shengxi; Wang, Bing] Shanghai Sixth Peoples Hosp, Dept Tradit Chinese Med, Shanghai, Peoples R China; [Li, Wentao] Shanghai Municipal Hosp Tradit Chinese Med, Dept Encephalopathy, Shanghai, Peoples R China</t>
  </si>
  <si>
    <t>Meng, SX (corresponding author), Shanghai Sixth Peoples Hosp, Dept Tradit Chinese Med, 600 Yishan Rd, Shanghai 200233, Peoples R China.</t>
  </si>
  <si>
    <t>mengsx163@163.com</t>
  </si>
  <si>
    <t>Project of Shanghai science and technology commission [19401932500]; Shanghai municipal government [ZY (2018-2020)-cccx-4010]; Innovation fund of integrated traditional Chinese and western medicine, school of medicine, Shanghai Jiao Tong university [18zxy002]; 2019 Teacher Training and Development Project of Medical School of Shanghai Jiao Tong University [JFXM201909]</t>
  </si>
  <si>
    <t>Project of Shanghai science and technology commission; Shanghai municipal government; Innovation fund of integrated traditional Chinese and western medicine, school of medicine, Shanghai Jiao Tong university; 2019 Teacher Training and Development Project of Medical School of Shanghai Jiao Tong University</t>
  </si>
  <si>
    <t>The authors were supported financially by (1) Project of Shanghai science and technology commission [19401932500]; (2) Shanghai municipal government will further accelerate the three-year action plan for the development of TCM (2018-2020) for major clinical research on TCM [ZY (2018-2020)-cccx-4010]; (3) Innovation fund of integrated traditional Chinese and western medicine, school of medicine, Shanghai Jiao Tong university [18zxy002]; and (4) 2019 Teacher Training and Development Project of Medical School of Shanghai Jiao Tong University [JFXM201909].</t>
  </si>
  <si>
    <t>0020-7454</t>
  </si>
  <si>
    <t>1563-5279</t>
  </si>
  <si>
    <t>INT J NEUROSCI</t>
  </si>
  <si>
    <t>Int. J. Neurosci.</t>
  </si>
  <si>
    <t>10.1080/00207454.2021.1972999</t>
  </si>
  <si>
    <t>Neurosciences</t>
  </si>
  <si>
    <t>K7XW2</t>
  </si>
  <si>
    <t>WOS:001018541900006</t>
  </si>
  <si>
    <t>Mori, K; Morgan, H; Parker, A; Mackintosh, C</t>
  </si>
  <si>
    <t>Mori, Kate; Morgan, Haydn; Parker, Andrew; Mackintosh, Christopher</t>
  </si>
  <si>
    <t>Examining the Impact of Austerity on Community Sport Development Workers and Their Professional Environment</t>
  </si>
  <si>
    <t>JOURNAL OF GLOBAL SPORT MANAGEMENT</t>
  </si>
  <si>
    <t>Community sport development; austerity; neoliberalism; sport management; &gt;</t>
  </si>
  <si>
    <t>GOVERNANCE; ERA; NEOLIBERALISM; POLICY; PARTICIPATION; PARTNERSHIPS; SERVICES; ENGLAND; ISSUES; UK</t>
  </si>
  <si>
    <t>In recent years, austerity measures in the UK have placed increasing emphasis on third sector organisations to address gaps in Central Government provision. Reflecting upon community sport services during this period, this paper presents the findings of a qualitative study of the everyday working practices of a group of community sport development workers (CSDWs) in the South of England, outlining how they adopted innovative and entrepreneurial practices as a response to fiscal constraint. We argue that, amidst an intensification of neoliberalism and new public management, the UK community sport development sector has become increasingly fragmented which, in turn, has presented a series of challenges that militate against the (re)establishment of community-based ideals. The paper concludes that there is potential to apply these findings globally to nations where austerity policies have been the primary response to the financial crisis and/or where a similar approach to community sport development exists.</t>
  </si>
  <si>
    <t>[Mori, Kate] Hartpury Univ, Qual Assurance Agcy Higher Educ, Gloucester, England; [Morgan, Haydn] Univ Bath, Dept Hlth, Bath, England; [Parker, Andrew] Univ West England, Bristol Business Sch, Bristol, England; [Mackintosh, Christopher] Manchester Metropolitan Univ, Dept Sport &amp; Exercise Sci, Manchester, England; [Morgan, Haydn] Univ Bath, Dept Hlth, Bath BA2 7AY, England</t>
  </si>
  <si>
    <t>University of Bath; University of West England; Manchester Metropolitan University; University of Bath</t>
  </si>
  <si>
    <t>Morgan, H (corresponding author), Univ Bath, Dept Hlth, Bath BA2 7AY, England.</t>
  </si>
  <si>
    <t>Hjm23@bath.ac.uk</t>
  </si>
  <si>
    <t>2470-4067</t>
  </si>
  <si>
    <t>2470-4075</t>
  </si>
  <si>
    <t>J GLOB SPORT MANAGE</t>
  </si>
  <si>
    <t>J. Glob. Sport Manage.</t>
  </si>
  <si>
    <t>10.1080/24704067.2021.1871803</t>
  </si>
  <si>
    <t>Hospitality, Leisure, Sport &amp; Tourism; Management</t>
  </si>
  <si>
    <t>Social Sciences - Other Topics; Business &amp; Economics</t>
  </si>
  <si>
    <t>P4HI8</t>
  </si>
  <si>
    <t>hybrid, Green Accepted</t>
  </si>
  <si>
    <t>WOS:001050268900002</t>
  </si>
  <si>
    <t>Morris, P</t>
  </si>
  <si>
    <t>Morris, Paul</t>
  </si>
  <si>
    <t>'Oh, Hello Word!' Boundary Crossing Between Swedish and English</t>
  </si>
  <si>
    <t>CHANGING ENGLISH-STUDIES IN CULTURE AND EDUCATION</t>
  </si>
  <si>
    <t>Creative writing; fanfiction; english as a global language; bilingualism; multilingualism</t>
  </si>
  <si>
    <t>This essay reports on the findings of a study of Swedish teenagers who have a free-time interest of creative writing in English. The essay includes extracts from interviews in which the participants explain their motivations to start their writing activity and continue with it over a longer period. Having been inspired initially by a desire to imitate and adapt stories they had read, the teenagers' interest in writing became a vehicle to help them understand experiences and deal with emotions. The essay includes some consideration of these findings in the light of Vygotskian ideas about art and literature. I also discuss the young people's choice of English as a language for their creativity. As well as highlighting the teenagers' insights, I reflect over my own move from England to Sweden and what it has taught me about learning languages and teaching English.</t>
  </si>
  <si>
    <t>[Morris, Paul] Ctr Multilingualism, Vasteras, Sweden</t>
  </si>
  <si>
    <t>Morris, P (corresponding author), Ctr Multilingualism, Vasteras, Sweden.</t>
  </si>
  <si>
    <t>paul.barry.morris@vasteras.se</t>
  </si>
  <si>
    <t>Morris, Paul/JCD-8063-2023</t>
  </si>
  <si>
    <t>1358-684X</t>
  </si>
  <si>
    <t>1469-3585</t>
  </si>
  <si>
    <t>CHANG ENGL</t>
  </si>
  <si>
    <t>Chang. Engl.</t>
  </si>
  <si>
    <t>10.1080/1358684X.2023.2202304</t>
  </si>
  <si>
    <t>L5FP9</t>
  </si>
  <si>
    <t>WOS:001023523700005</t>
  </si>
  <si>
    <t>Na, H</t>
  </si>
  <si>
    <t>Na, Hyemin</t>
  </si>
  <si>
    <t>Branding, Enduring Racial Logic, and Creation of Liturgical Places: Better World Logo as Heuristic Case Study</t>
  </si>
  <si>
    <t>LITURGY</t>
  </si>
  <si>
    <t>Visual culture; megachurch; Korean Protestantism; humanitarianism; development; branding; racial capitalism</t>
  </si>
  <si>
    <t>[Na, Hyemin] Wesley Theol Seminary, Washington, DC 20016 USA</t>
  </si>
  <si>
    <t>Na, H (corresponding author), Wesley Theol Seminary, Washington, DC 20016 USA.</t>
  </si>
  <si>
    <t>hna@wesleyseminary.edu</t>
  </si>
  <si>
    <t>0458-063X</t>
  </si>
  <si>
    <t>1557-3001</t>
  </si>
  <si>
    <t>Liturgy</t>
  </si>
  <si>
    <t>10.1080/0458063X.2023.2224718</t>
  </si>
  <si>
    <t>R4HX6</t>
  </si>
  <si>
    <t>WOS:001063984300003</t>
  </si>
  <si>
    <t>Olsen, C</t>
  </si>
  <si>
    <t>Olsen, Catherine</t>
  </si>
  <si>
    <t>Sitting with Helplessness</t>
  </si>
  <si>
    <t>JOURNAL OF SOCIAL WORK IN END-OF-LIFE &amp; PALLIATIVE CARE</t>
  </si>
  <si>
    <t>[Olsen, Catherine] Weill Cornell Med, Dept Palliat Care, New York, NY USA; [Olsen, Catherine] New York Presbyterian Weill Cornell, Dept Palliat Care, 525 E 68th St, New York, NY 10065 USA</t>
  </si>
  <si>
    <t>Cornell University; Weill Cornell Medicine</t>
  </si>
  <si>
    <t>Olsen, C (corresponding author), New York Presbyterian Weill Cornell, Dept Palliat Care, 525 E 68th St, New York, NY 10065 USA.</t>
  </si>
  <si>
    <t>mir9233@nyp.org</t>
  </si>
  <si>
    <t>1552-4256</t>
  </si>
  <si>
    <t>1552-4264</t>
  </si>
  <si>
    <t>J SOC WORK END-LIFE</t>
  </si>
  <si>
    <t>J. Soc. Work End-Life Palliat. Care</t>
  </si>
  <si>
    <t>10.1080/15524256.2023.2231160</t>
  </si>
  <si>
    <t>Q1RE0</t>
  </si>
  <si>
    <t>WOS:001024543300001</t>
  </si>
  <si>
    <t>Park, H; Yoon, S; Cho, BS</t>
  </si>
  <si>
    <t>Park, Hyunggun; Yoon, Sungil; Cho, B. Shine</t>
  </si>
  <si>
    <t>How Direct Citizen Participation Affects the Local Government Financial Condition: A Case of Participatory Budgeting in South Korea</t>
  </si>
  <si>
    <t>JAVNOST-THE PUBLIC</t>
  </si>
  <si>
    <t>participatory budgeting; inclusive deliberation; public management; public engagement</t>
  </si>
  <si>
    <t>MODELS</t>
  </si>
  <si>
    <t>In theory, direct citizen engagement in budgeting helps local governments reflect the citizens' budget preferences more precisely, thereby enhancing citizen-government communication. However, the efficacies of budget participation remain ambiguous considering both its democratic values and the cost of deliberation. In this study, we test how direct citizen participation by means of participatory budgeting (PB) affects the financial condition of local governments. We use a sophisticated concept of financial condition that encompasses various abilities of local government. We measure the degree of citizen participation as the availability of institutional mechanisms associated with different levels of inclusiveness and authorities determined by South Korean local government ordinances of formal budget participation. Our empirical analysis based on South Korean local governments' data between 2012 and 2019 reveals that a PB institution with higher participation level further worsens the local financial condition. The adverse effects are mostly identified in the mid-term and long-term financial conditions, whereas the short-term financial condition remains unaffected. The findings imply that direct participation in theory corrects mismatches between bureaucratic and citizen priorities, but, in practice, the citizens may inappropriately direct mid- and long-term oriented public investment and debt management.</t>
  </si>
  <si>
    <t>[Park, Hyunggun] Myongji Univ, Dept Publ Adm, Seoul, South Korea; [Yoon, Sungil] Kangwon Natl Univ, Dept Publ Adm, Chunchon, South Korea; [Cho, B. Shine] Konkuk Univ, Dept Publ Adm, Seoul, South Korea</t>
  </si>
  <si>
    <t>Myongji University; Kangwon National University; Konkuk University</t>
  </si>
  <si>
    <t>Cho, BS (corresponding author), Konkuk Univ, Dept Publ Adm, Seoul, South Korea.</t>
  </si>
  <si>
    <t>bshine247@konkuk.ac.kr</t>
  </si>
  <si>
    <t>CHO, BYUNGWOO/X-8930-2019</t>
  </si>
  <si>
    <t>CHO, BYUNGWOO/0000-0002-4750-1609; Park, HyungGun/0000-0002-9046-1286; Yoon, Sungil/0000-0003-0186-3089</t>
  </si>
  <si>
    <t>1318-3222</t>
  </si>
  <si>
    <t>1854-8377</t>
  </si>
  <si>
    <t>JAVNOST-PUBLIC</t>
  </si>
  <si>
    <t>Javnost-Public</t>
  </si>
  <si>
    <t>2023 JUL 3</t>
  </si>
  <si>
    <t>10.1080/13183222.2023.2201741</t>
  </si>
  <si>
    <t>H7PO1</t>
  </si>
  <si>
    <t>WOS:000997840200001</t>
  </si>
  <si>
    <t>Phillips, K</t>
  </si>
  <si>
    <t>Phillips, Kat</t>
  </si>
  <si>
    <t>Sunburn, Poison Ivy, and Ticks, OH MY! A Brief Listing of Consumer Resources for Safe Outdoors Fun</t>
  </si>
  <si>
    <t>JOURNAL OF CONSUMER HEALTH ON THE INTERNET</t>
  </si>
  <si>
    <t>Consumer health resources; insects; insect safety; nature; outdoors; outdoor safety; plants; plant safety; sun safety</t>
  </si>
  <si>
    <t>Multiple studies have proven the multiple health benefits of engaging children outdoors, and in activities such as gardening. Of utmost importance is staying safe while outside. This column addresses three, year round aspects of outdoor safety, sun, plants, and insects. The brief annotated bibliography covers sites focused on information and education for families, educators, and children.</t>
  </si>
  <si>
    <t>[Phillips, Kat] Penn State Univ, Nursing &amp; Allied Hlth Liaison, University Pk, PA USA; [Phillips, Kat] Penn State Univ, University Pk, PA 16802 USA</t>
  </si>
  <si>
    <t>Pennsylvania Commonwealth System of Higher Education (PCSHE); Pennsylvania State University; Pennsylvania State University - University Park; Pennsylvania Commonwealth System of Higher Education (PCSHE); Pennsylvania State University; Pennsylvania State University - University Park</t>
  </si>
  <si>
    <t>Phillips, K (corresponding author), Penn State Univ, University Pk, PA 16802 USA.</t>
  </si>
  <si>
    <t>kec5013@psu.edu</t>
  </si>
  <si>
    <t>1539-8285</t>
  </si>
  <si>
    <t>1539-8293</t>
  </si>
  <si>
    <t>J CONS HLTH INTERNET</t>
  </si>
  <si>
    <t>J. Consum. Health Internet</t>
  </si>
  <si>
    <t>10.1080/15398285.2023.2245314</t>
  </si>
  <si>
    <t>Q5FK5</t>
  </si>
  <si>
    <t>WOS:001057775700006</t>
  </si>
  <si>
    <t>Psycharakis, SG; Coleman, SGS</t>
  </si>
  <si>
    <t>Psycharakis, Stelios G.; Coleman, Simon G. S.</t>
  </si>
  <si>
    <t>Which Phases of the Stroke Cycle Are Propulsive in Front Crawl Swimming?</t>
  </si>
  <si>
    <t>RESEARCH QUARTERLY FOR EXERCISE AND SPORT</t>
  </si>
  <si>
    <t>Acceleration; Biomechanics; kinematics; kinetics; performance</t>
  </si>
  <si>
    <t>NON-BREATHING CONDITIONS; CENTER-OF-MASS; KINEMATIC DIFFERENCES; VELOCITY VARIATION; HIP; PERFORMANCE; SHOULDER; SPRINT</t>
  </si>
  <si>
    <t>Purpose: The aim of this study was fourfold: (1) to quantify acceleration, velocity, and phase overlap for each phase of the stroke cycle (SC) during 200 m front crawl; (2) for each variable, to identify any differences between the four SC phases; (3) to investigate changes in variables during the 200 m; (4) to explore any association between performance and each variable. Methods: Ten swimmers performed a 200 m maximum swim. Four SCs were analyzed, one for each 50 m, using three-dimensional methods. Each SC was split into four phases: entry, pull, push, and recovery. Center of mass (CM) acceleration; maximum, minimum, and average CM velocity; phase duration, and, overlap of a phase of one arm with each phase of the opposite arm were calculated. Results and Conclusion: Phase velocities were positively correlated with performance and decreased during the 200 m. The acceleration data showed high within and between-swimmer variability. When the entry of one arm overlapped with the pull, and sometimes push, phase of the opposite arm, it was propulsive for the whole body. The pull was the slowest phase and overlapped predominantly with the opposite arm's recovery. The push phase was often propulsive for the whole body, regardless of the overlaps with the other arm, and together with the entry were the fastest phases. The recovery of each arm was mostly resistive for the whole body, except the short period of overlap with the opposite arm's push phase.</t>
  </si>
  <si>
    <t>[Psycharakis, Stelios G.; Coleman, Simon G. S.] Univ Edinburgh, Edinburgh, Scotland; [Psycharakis, Stelios G.] Univ Edinburgh, St Leonards Land,Holyrood Rd, Edinburgh EH8 8AQ, Scotland</t>
  </si>
  <si>
    <t>University of Edinburgh; University of Edinburgh</t>
  </si>
  <si>
    <t>Psycharakis, SG (corresponding author), Univ Edinburgh, St Leonards Land,Holyrood Rd, Edinburgh EH8 8AQ, Scotland.</t>
  </si>
  <si>
    <t>Stelios.Psycharakis@ed.ac.uk</t>
  </si>
  <si>
    <t>Greece's State Scholarships Foundation</t>
  </si>
  <si>
    <t>This study was partially supported financially by Greece's State Scholarships Foundation.</t>
  </si>
  <si>
    <t>0270-1367</t>
  </si>
  <si>
    <t>2168-3824</t>
  </si>
  <si>
    <t>RES Q EXERCISE SPORT</t>
  </si>
  <si>
    <t>Res. Q. Exerc. Sport</t>
  </si>
  <si>
    <t>10.1080/02701367.2023.2203724</t>
  </si>
  <si>
    <t>Hospitality, Leisure, Sport &amp; Tourism; Psychology, Applied; Psychology; Sport Sciences</t>
  </si>
  <si>
    <t>L6XH6</t>
  </si>
  <si>
    <t>WOS:001024665500001</t>
  </si>
  <si>
    <t>Ryan, C; Brunsting, K; Harrington, C; Scott, RE</t>
  </si>
  <si>
    <t>Ryan, Catherine; Brunsting, Karen; Harrington, Caitlin; Scott, Rachel E.</t>
  </si>
  <si>
    <t>Open access literature in libraries: principles and practices</t>
  </si>
  <si>
    <t>JOURNAL OF THE AUSTRALIAN LIBRARY AND INFORMATION ASSOCIATION</t>
  </si>
  <si>
    <t>[Ryan, Catherine] Good News Lutheran Coll, Tarneit, Australia</t>
  </si>
  <si>
    <t>Ryan, C (corresponding author), Good News Lutheran Coll, Tarneit, Australia.</t>
  </si>
  <si>
    <t>ryanc@goodnews.vic.edu.au</t>
  </si>
  <si>
    <t>2475-0158</t>
  </si>
  <si>
    <t>2475-0166</t>
  </si>
  <si>
    <t>J AUST LIB INF ASSOC</t>
  </si>
  <si>
    <t>J. Aust. Libr. Inf. Assoc.</t>
  </si>
  <si>
    <t>10.1080/24750158.2023.2238347</t>
  </si>
  <si>
    <t>P9PS9</t>
  </si>
  <si>
    <t>WOS:001053932700003</t>
  </si>
  <si>
    <t>Schroeder, T; Duttlinger, C</t>
  </si>
  <si>
    <t>Schroeder, Tyler; Duttlinger, Caroline</t>
  </si>
  <si>
    <t>Attention &amp; Distraction in Modern German Literature, Thought, &amp; Culture.</t>
  </si>
  <si>
    <t>10.1080/00168890.2023.2240111</t>
  </si>
  <si>
    <t>WOS:001061787000008</t>
  </si>
  <si>
    <t>Singh, KK; Tewari, G; Bisht, M; Tiwary, RK; Kumar, S; Patni, K; Gangwar, A; Kanyal, B</t>
  </si>
  <si>
    <t>Singh, Kshitindra Kumar; Tewari, Geeta; Bisht, Mamta; Tiwary, R. K.; Kumar, Suresh; Patni, Kiran; Gangwar, Aabha; Kanyal, Bhawana</t>
  </si>
  <si>
    <t>Hydrogeochemical characteristics and multivariate statistical approach for monitoring groundwater quality scenario in the vicinity of industrial area of western Himalaya, India</t>
  </si>
  <si>
    <t>CHEMISTRY AND ECOLOGY</t>
  </si>
  <si>
    <t>Factor analysis; geochemistry; groundwater; physicochemical parameters; Piper diagram; water quality index</t>
  </si>
  <si>
    <t>RIVER-BASIN; WATER; CONTAMINATION; GEOCHEMISTRY; CHEMISTRY; EVOLUTION; DISTRICT; DRINKING; TERRAIN; GUNTUR</t>
  </si>
  <si>
    <t>In the present investigation, 50 groundwater samples were collected from Udham Singh Nagar District of Kumaun Himalaya in the pre-monsoon season and 15 physicochemical parameters were analysed using standard procedures. Here, we represent the chemistry of major cations and anions to know the overall water quality and hydrogeochemical characteristics controlling the solute acquisition processes and sources of elements in the study area. The analytical results revealed that in the groundwater samples, Ca2+ and Mg2+ were the dominant cations and HCO(3)was the most dominant anion in the study area. In all the groundwater samples, the content of alkaline earth metals (Ca2++ Mg2+) exceeded the mean content of alkalis (Na+ +K+). In 62% of groundwater samples, the value of weak acid (HCO3-) exceeded the content of strong acid (Cl- + SO 4 2-). Piper diagram, molar ratios and statistical techniques indicated that weathering of carbonate and silicate minerals mostly managed the solute acquisition process with very less involvement of human activities. Most of the groundwater samples were found suitable for potable and domestic purposes except for a few locations nearby SIKDKUL or other industries (the eastern and western part of the study area). Correlation analysis revealed the dependency of WQI values on Fe and Mn content.</t>
  </si>
  <si>
    <t>[Singh, Kshitindra Kumar; Tewari, Geeta; Gangwar, Aabha; Kanyal, Bhawana] Kumaun Univ, Dept Chem, DSB Campus, Naini Tal, India; [Singh, Kshitindra Kumar; Tiwary, R. K.] Cent Inst Min &amp; Fuel Res, Nat Resource &amp; Environm Management Grp, Dhanbad, India; [Bisht, Mamta] Uttaranchal Univ, Sch Appl &amp; Life Sci, Dept Chem, Dehra Dun, India; [Kumar, Suresh] Cent Groundwater Board, Patna, India; [Patni, Kiran] Graph Era Hill Univ, Sch Allied Sci, Bhimtal Campus, Bhimtal, India; [Tewari, Geeta] Kumaun Univ, Fac Dept Chem, DSB Campus, Naini Tal 263001, Uttarakhand, India</t>
  </si>
  <si>
    <t>Kumaun University; Council of Scientific &amp; Industrial Research (CSIR) - India; CSIR - Central Institute of Mining &amp; Fuel Research (CIMFR); Uttaranchal University; Kumaun University</t>
  </si>
  <si>
    <t>Tewari, G (corresponding author), Kumaun Univ, Fac Dept Chem, DSB Campus, Naini Tal 263001, Uttarakhand, India.</t>
  </si>
  <si>
    <t>geeta_k@rediffmail.com</t>
  </si>
  <si>
    <t>/0000-0003-0063-8672</t>
  </si>
  <si>
    <t>0275-7540</t>
  </si>
  <si>
    <t>1029-0370</t>
  </si>
  <si>
    <t>CHEM ECOL</t>
  </si>
  <si>
    <t>Chem. Ecol.</t>
  </si>
  <si>
    <t>10.1080/02757540.2023.2224794</t>
  </si>
  <si>
    <t>Biochemistry &amp; Molecular Biology; Ecology; Environmental Sciences</t>
  </si>
  <si>
    <t>Biochemistry &amp; Molecular Biology; Environmental Sciences &amp; Ecology</t>
  </si>
  <si>
    <t>N2AB3</t>
  </si>
  <si>
    <t>WOS:001029741600001</t>
  </si>
  <si>
    <t>Soon, L; McDowall, A; Teoh, KRH</t>
  </si>
  <si>
    <t>Soon, Lucinda; McDowall, Almuth; Teoh, Kevin R. H.</t>
  </si>
  <si>
    <t>Towards a context-specific approach to understanding lawyers' well-being: a synthesis review and future research agenda</t>
  </si>
  <si>
    <t>conservation of resources theory; lawyers; legal professionals; systematic review; work-related well-being</t>
  </si>
  <si>
    <t>LEGAL PROFESSION; ORGANIZATIONAL CONTEXT; OCCUPATIONAL STRESS; JOB DEMANDS; WORK; RESOURCES; HEALTH; SUPPORT; BURNOUT; TRAUMA</t>
  </si>
  <si>
    <t>Legal sector organisations face mounting pressure to protect and promote lawyers' well-being. However, knowledge is fragmented, hindering research and practice development. Our review investigated current conceptual understanding and empirical evidence of contextual influences. We systematically mapped the global scholarly and grey literature published since 1970, reviewing 145 relevant publications. Lawyers' well-being is conceptualised primarily as ill-being, despite well-being's positive facets. Empirical consideration of work context is mostly absent, though we deduce a focus on large commercial law firm practice and public service/legal aid. Our explanatory synthesis is abductive, coalescing Bourdieu's concepts of field and habitus with Hobfoll's conservation of resources theory to explain how context influences lawyers' well-being via distinct resource losses. We urge theoretical development to elucidate the role of context and theory-driven research on the cumulative effects of resource loss and gain. Recommendations for practice include a renewed focus on job design and line management upskilling.</t>
  </si>
  <si>
    <t>[Soon, Lucinda; McDowall, Almuth; Teoh, Kevin R. H.] Birkbeck Univ London, Dept Org Psychol, London, England; [Soon, Lucinda] Birkbeck Univ London, Dept Org Psychol, Malet St, London WC1E 7HX, England</t>
  </si>
  <si>
    <t>University of London; Birkbeck University London; University of London; Birkbeck University London</t>
  </si>
  <si>
    <t>Soon, L (corresponding author), Birkbeck Univ London, Dept Org Psychol, Malet St, London WC1E 7HX, England.</t>
  </si>
  <si>
    <t>l.soon@bbk.ac.uk</t>
  </si>
  <si>
    <t>Soon, Lucinda/0000-0003-0657-8498</t>
  </si>
  <si>
    <t>10.1080/13218719.2023.2206879</t>
  </si>
  <si>
    <t>L2EC0</t>
  </si>
  <si>
    <t>WOS:001021429100001</t>
  </si>
  <si>
    <t>Wang, HY; Feng, ZQ; Yang, XH; Zhou, LR; Tian, JL; Guo, QB</t>
  </si>
  <si>
    <t>Wang, Hongyue; Feng, Zhiquan; Yang, Xiaohui; Zhou, Liran; Tian, Jinglan; Guo, Qingbei</t>
  </si>
  <si>
    <t>MRLab: Virtual-Reality Fusion Smart Laboratory Based on Multimodal Fusion</t>
  </si>
  <si>
    <t>Smart glove; mixed reality; virtual-reality fusion interaction; multimodal fusion; intent understanding</t>
  </si>
  <si>
    <t>SYSTEM</t>
  </si>
  <si>
    <t>During the COVID-19 pandemic, online classes became the only option for many students. The main challenge for these classes was conducting risky and complex chemical or biological experiments in a domestic environment. To address this challenge, a smart experiment system called MRLab was developed. MRLab used wearables such as a smart glove and head-mounted device to record sensory data and a multimodal hybrid fusion model GVVS to interpret the user's experimental intent, which essentially transforms the user's abstract behavioral actions into a probabilistic set of experimental intent that can be computed. Different experiments in MRLab used different libraries of experimental intents. The SrNet model in GVVS was used to estimate the probability of the user's gesture behavior generated from the smart glove, while the SIPA algorithm compared speech information entered during the experiment with the experimental intent library to estimate the probability of the user's intent. At the same time, the scene visual channel monitored the information about the object the user intended to operate, with the SVF algorithm computing the probability of the intended object in real-time. The results from ANOVA and post-hoc comparative testing conducted on 21 volunteers revealed that MRLab outperformed other experiment modes, including WEB, AR, and VR, with a higher intention understanding rate, efficiency, and user satisfaction. Therefore, MRLab proved to be a useful alternative to traditional physics laboratory experiments during the pandemic, along with being an additional teaching tool for remote learning purposes.</t>
  </si>
  <si>
    <t>[Wang, Hongyue; Feng, Zhiquan; Yang, Xiaohui; Zhou, Liran; Tian, Jinglan; Guo, Qingbei] Univ Jinan, Sch Informat Sci &amp; Engn, Jinan, Peoples R China; [Wang, Hongyue; Feng, Zhiquan; Yang, Xiaohui; Zhou, Liran; Tian, Jinglan; Guo, Qingbei] Univ Jinan, Shandong Prov Key Lab Network Based Intelligent Co, Jinan, Peoples R China</t>
  </si>
  <si>
    <t>University of Jinan; University of Jinan</t>
  </si>
  <si>
    <t>Feng, ZQ (corresponding author), Univ Jinan, Sch Informat Sci &amp; Engn, Jinan, Peoples R China.</t>
  </si>
  <si>
    <t>ise_fengzq@ujn.edu.cn</t>
  </si>
  <si>
    <t>周, 丽然/GYU-4729-2022</t>
  </si>
  <si>
    <t>Independent Innovation Team Project of Jinan City [2019GXRC013]</t>
  </si>
  <si>
    <t>Independent Innovation Team Project of Jinan City</t>
  </si>
  <si>
    <t>This paper is supported by the Independent Innovation Team Project of Jinan City (No. 2019GXRC013).</t>
  </si>
  <si>
    <t>10.1080/10447318.2023.2227823</t>
  </si>
  <si>
    <t>L0CQ6</t>
  </si>
  <si>
    <t>WOS:001020024500001</t>
  </si>
  <si>
    <t>Wolfe, SD</t>
  </si>
  <si>
    <t>Wolfe, Sven Daniel</t>
  </si>
  <si>
    <t>Digital Activism in Russia. The Communication Tactics of Political Outsiders</t>
  </si>
  <si>
    <t>[Wolfe, Sven Daniel] Univ Zurich, Dept Geog, Zurich, Switzerland</t>
  </si>
  <si>
    <t>University of Zurich</t>
  </si>
  <si>
    <t>Wolfe, SD (corresponding author), Univ Zurich, Dept Geog, Zurich, Switzerland.</t>
  </si>
  <si>
    <t>dwolfe@geo.uzh.ch</t>
  </si>
  <si>
    <t>Wolfe, Sven Daniel/0000-0002-4517-6056</t>
  </si>
  <si>
    <t>10.1080/09668136.2023.2224191</t>
  </si>
  <si>
    <t>WOS:001035469300013</t>
  </si>
  <si>
    <t>Medical Teacher in Ten Minutes</t>
  </si>
  <si>
    <t>10.1080/0142159X.2023.2215621</t>
  </si>
  <si>
    <t>J5NN1</t>
  </si>
  <si>
    <t>WOS:001010084300001</t>
  </si>
  <si>
    <t>Dinhof, K; Neo, S; Bertram, I; Bouwman, R; de Boer, N; Szydlowski, G; Willems, J; Tummers, L</t>
  </si>
  <si>
    <t>Dinhof, Katharina; Neo, Sheeling; Bertram, Isa; Bouwman, Robin; de Boer, Noortje; Szydlowski, Gabriela; Willems, Jurgen; Tummers, Lars</t>
  </si>
  <si>
    <t>The threat of appearing lazy, inefficient, and slow? Stereotype threat in the public sector</t>
  </si>
  <si>
    <t>PUBLIC MANAGEMENT REVIEW</t>
  </si>
  <si>
    <t>stereotype threat; public sector stereotypes; job-related task-performance; experimental research</t>
  </si>
  <si>
    <t>TEST-PERFORMANCE; SERVICE; MODEL; GIRLS; MATH; METAANALYSIS; PERCEPTIONS; ENCOUNTERS; ENGAGEMENT; VARIABLES</t>
  </si>
  <si>
    <t>Public employees are stereotyped as lazy, inefficient, and slow. When made aware of such stereotypes, they may experience stereotype threat that impairs their task-performance. Across two pre-registered, large-scale between-subjects experiments (n(1) = 1,543; n(2) = 1,147), we found that performance in terms of task correctness, processing time, and effort was unaffected by information of negative public employee stereotypes. Our results do not indicate stereotype threat effects for public employees in terms of task-performance. This finding offers valuable theoretical and practical implications for the understanding of public sector stereotypes and public sector reputation.</t>
  </si>
  <si>
    <t>[Dinhof, Katharina; Willems, Jurgen] Vienna Univ Econ &amp; Business, Inst Publ Management &amp; Governance, Vienna, Austria; [Neo, Sheeling; Bertram, Isa; de Boer, Noortje; Szydlowski, Gabriela; Tummers, Lars] Univ Utrecht, Utrecht Sch Governance, Utrecht, Netherlands; [Bouwman, Robin] Erasmus Univ, Erasmus Sch Social &amp; Behav Sci, Rotterdam, Netherlands</t>
  </si>
  <si>
    <t>Vienna University of Economics &amp; Business; Utrecht University; Erasmus University Rotterdam - Excl Erasmus MC; Erasmus University Rotterdam</t>
  </si>
  <si>
    <t>Dinhof, K (corresponding author), Vienna Univ Econ &amp; Business, Inst Publ Management &amp; Governance, Vienna, Austria.</t>
  </si>
  <si>
    <t>katharina.dinhof@wu.ac.at</t>
  </si>
  <si>
    <t>Neo, Sheeling/0000-0002-7024-8971</t>
  </si>
  <si>
    <t>NWO</t>
  </si>
  <si>
    <t>NWO(Netherlands Organization for Scientific Research (NWO))</t>
  </si>
  <si>
    <t>Study 1 was supported by the NWO under Grant 016.VIDI.185.017. Study 2 was supported by the Austrian Science fund under Grant P36098-G; and by the Small Project Grant by WU Competence Center for Experiemental Research.</t>
  </si>
  <si>
    <t>1471-9037</t>
  </si>
  <si>
    <t>1471-9045</t>
  </si>
  <si>
    <t>PUBLIC MANAG REV</t>
  </si>
  <si>
    <t>Public Manag. Rev.</t>
  </si>
  <si>
    <t>2023 JUL 2</t>
  </si>
  <si>
    <t>10.1080/14719037.2023.2229326</t>
  </si>
  <si>
    <t>Management; Public Administration</t>
  </si>
  <si>
    <t>Business &amp; Economics; Public Administration</t>
  </si>
  <si>
    <t>K8FT4</t>
  </si>
  <si>
    <t>WOS:001018748300001</t>
  </si>
  <si>
    <t>Manrique-Guzman, S; Lerma, A; Larocque-Guzman, CM; Revilla-Pacheco, FR; Herrada-Pineda, T; Moscardini-Martelli, J; Lerma, C</t>
  </si>
  <si>
    <t>Manrique-Guzman, Salvador; Lerma, Abel; Larocque-Guzman, Caroline M. M.; Revilla-Pacheco, Francisco R. R.; Herrada-Pineda, Tenoch; Moscardini-Martelli, Julia; Lerma, Claudia</t>
  </si>
  <si>
    <t>Cross-cultural adaptation and validation of the Spanish version of the Oswestry disability index for Mexican population</t>
  </si>
  <si>
    <t>Low back pain; surveys and questionnaires; pain; cross-cultural comparison; disability evaluation; oswestry disability index; &gt;</t>
  </si>
  <si>
    <t>BACK-PAIN; OBESITY; RELIABILITY; PREVALENCE</t>
  </si>
  <si>
    <t>PurposeThis study aimed to adapt a Spanish translation of the Oswestry Disability Index (ODI) into a cross-cultural version for the Mexican population. The objectives were to verify the validity and reliability of the adapted ODI and to compare pain perception between patients with and without obesity.Material and methodsWe included 102 patients with low back pain from two neurosurgery departments in Mexico. The ODI questionnaire was translated and culturally adapted. Validity and construct were evaluated using exploratory factor analysis, and the external convergent validity was assessed by correlating ODI scores with pain intensity, age, and obesity. Test-retest reliability was calculated using the intraclass correlation coefficient, and confirmatory analysis was employed to validate the factorial structure.ResultsPatients with obesity were older and had higher pain scores than patients without obesity. The exploratory analysis of the ODI in Mexican Spanish showed good reliability (Cronbach's alpha of 0.923) and validity (factorial loading range, 0.681 - 0.818). The confirmatory analysis showed almost null or very low discrepancy between the proposed model and the real data.ConclusionsA Spanish translation of ODI was cross-culturally adapted for the Mexican population. The Mexican version of the ODI showed good reliability and validity in Mexican culture.</t>
  </si>
  <si>
    <t>[Manrique-Guzman, Salvador; Larocque-Guzman, Caroline M. M.; Revilla-Pacheco, Francisco R. R.; Herrada-Pineda, Tenoch] Angeles Interlomas Hosp, Neurosurg Dept, Huixquilucan, State of Mexico, Mexico; [Manrique-Guzman, Salvador; Lerma, Abel; Revilla-Pacheco, Francisco R. R.; Moscardini-Martelli, Julia; Lerma, Claudia] Anahuac Univ, Hlth Sci Fac, Ctr Hlth Sci Res CICSA, Merida, State of Mexico, Mexico; [Lerma, Abel] Autonomous Univ Hidalgo State, Hlth Sci Inst, Tilcuautla Hidalgo, Mexico; [Lerma, Claudia] Natl Inst Cardiol Ignacio Chavez, Dept Electromech Instrumentat, Mexico City, DF, Mexico</t>
  </si>
  <si>
    <t>Universidad Anahuac; National Institute of Cardiology - Mexico</t>
  </si>
  <si>
    <t>Lerma, C (corresponding author), Natl Inst Cardiol Ignacio Chavez, Dept Electromech Instrumentat, Mexico City, DF, Mexico.</t>
  </si>
  <si>
    <t>dr.claudialerma@gmail.com</t>
  </si>
  <si>
    <t>; Manrique-Guzman, Salvador/A-3840-2016</t>
  </si>
  <si>
    <t>Lerma, Claudia/0000-0002-4679-7751; Larocque Guzman, Caroline Maria Del Milagro/0000-0001-8511-6894; Manrique-Guzman, Salvador/0000-0001-5792-6363; Lerma, Abel/0000-0001-7212-641X; Moscardini Martelli, Julia/0000-0003-3468-5418</t>
  </si>
  <si>
    <t>10.1080/09638288.2023.2232303</t>
  </si>
  <si>
    <t>M0ZU5</t>
  </si>
  <si>
    <t>WOS:001027524200001</t>
  </si>
  <si>
    <t>Quezada, LE; Lopez-Ospina, HA; Valenzuela, JE; Oddershede, AM; Palominos, PI</t>
  </si>
  <si>
    <t>Quezada, Luis E.; Lopez-Ospina, Hector A.; Valenzuela, Juan E.; Oddershede, Astrid M.; Palominos, Pedro I.</t>
  </si>
  <si>
    <t>A Method for Formulating a Manufacturing Strategy Using Fuzzy DEMATEL and Fuzzy VIKOR</t>
  </si>
  <si>
    <t>ENGINEERING MANAGEMENT JOURNAL</t>
  </si>
  <si>
    <t>Manufacturing Strategy; Manufacturing Strategy; Formulation of Manufacturing Strategy; Formulation of Manufacturing Strategy; Action Plans Prioritization; Action Plans Prioritization; Multi-Criteria Decision Methods; Multi-Criteria Decision Methods; F-DEMATEL; F-DEMATEL; F-VIKOR; F-VIKOR; F-AHP; F-AHP</t>
  </si>
  <si>
    <t>PERFORMANCE; TAXONOMY; PRIORITIES; AHP</t>
  </si>
  <si>
    <t>The purpose of this paper is to propose a quantitative method for formulating a manufacturing strategy. It is based on the accepted framework for manufacturing strategy formation containing competitive priorities and manufacturing decisions. The existing literature shows a limited number of papers using quantitative methods for modeling the framework. The proposed method utilizes a combination of three multi-criteria decision making methods (MCDM) to formulate the strategy. They are the fuzzy version of DEMATEL, VIKOR, and AHP. The proposed method supports managers in generating action plans for manufacturing that are aligned with the company's overall strategy. It also produces a ranking of the plans, so managers can focus on those that are most important for achieving the company's goals. The contribution of the proposed method is that it captures the priorities and the complex relationships among the factors affecting the manufacturing strategy. From a practical point of view, its value is the support provided for managers in formulating manufacture. It was applied in one company, where managers stated that they found the resulting strategy useful in terms of supporting the company's objectives.</t>
  </si>
  <si>
    <t>[Quezada, Luis E.; Oddershede, Astrid M.; Palominos, Pedro I.] Univ Santiago Chile USACH, Dept Ind Engn, Santiago, Chile; [Lopez-Ospina, Hector A.] Univ Los Andes, Fac Ingn &amp; Ciencias Aplicadas, Santiago, Chile; [Valenzuela, Juan E.] Univ Santiago Chile USACH, Ind Engn, Santiago, Chile; [Palominos, Pedro I.] Univ Santiago Chile USACH, Smart City Program, Santiago, Chile; [Quezada, Luis E.] Univ Santiago Chile USACH, Dept Ind Engn, Ave Victor Jara 3769, Estn Cent, Santiago, Chile</t>
  </si>
  <si>
    <t>Universidad de Santiago de Chile; Universidad de los Andes - Chile; Universidad de Santiago de Chile; Universidad de Santiago de Chile; Universidad de Santiago de Chile</t>
  </si>
  <si>
    <t>Quezada, LE (corresponding author), Univ Santiago Chile USACH, Dept Ind Engn, Ave Victor Jara 3769, Estn Cent, Santiago, Chile.</t>
  </si>
  <si>
    <t>luis.quezada@usach.cl</t>
  </si>
  <si>
    <t>Quezada, Luis/0000-0003-1364-9266</t>
  </si>
  <si>
    <t>Direction of Science and Technological Research amp; Department of Industrial Engineering, Universidad de Santiago de Chile [061817QL]</t>
  </si>
  <si>
    <t>Direction of Science and Technological Research amp; Department of Industrial Engineering, Universidad de Santiago de Chile</t>
  </si>
  <si>
    <t>The work was supported by the~Direction of Science and Technological Research &amp; Department of Industrial Engineering, Universidad de Santiago de Chile [Project DICYT No 061817QL].</t>
  </si>
  <si>
    <t>1042-9247</t>
  </si>
  <si>
    <t>2377-0643</t>
  </si>
  <si>
    <t>ENG MANAG J</t>
  </si>
  <si>
    <t>EMJ-Eng. Manag. J.</t>
  </si>
  <si>
    <t>10.1080/10429247.2023.2224707</t>
  </si>
  <si>
    <t>Engineering, Industrial; Management</t>
  </si>
  <si>
    <t>Engineering; Business &amp; Economics</t>
  </si>
  <si>
    <t>L3ZI0</t>
  </si>
  <si>
    <t>WOS:001022670800001</t>
  </si>
  <si>
    <t>Taufiq, F</t>
  </si>
  <si>
    <t>Taufiq, Firmanda</t>
  </si>
  <si>
    <t>Terrorism and counter-terrorism in Saudi Arabia and Indonesia</t>
  </si>
  <si>
    <t>[Taufiq, Firmanda] UIN Sunan Kalijaga Yogyakarta, Grad Sch, Yogyakarta, Indonesia</t>
  </si>
  <si>
    <t>Sunan Kalijaga State Islamic University</t>
  </si>
  <si>
    <t>Taufiq, F (corresponding author), UIN Sunan Kalijaga Yogyakarta, Grad Sch, Yogyakarta, Indonesia.</t>
  </si>
  <si>
    <t>firmandataufiq@gmail.com</t>
  </si>
  <si>
    <t>Taufiq, Firmanda/0000-0002-6616-8493</t>
  </si>
  <si>
    <t>10.1080/17539153.2023.2231716</t>
  </si>
  <si>
    <t>WOS:001021915400001</t>
  </si>
  <si>
    <t>Arishi, A; Krishnan, K</t>
  </si>
  <si>
    <t>Arishi, Ali; Krishnan, Krishna</t>
  </si>
  <si>
    <t>A multi-agent deep reinforcement learning approach for solving the multi-depot vehicle routing problem</t>
  </si>
  <si>
    <t>JOURNAL OF MANAGEMENT ANALYTICS</t>
  </si>
  <si>
    <t>artificial intelligence; supply chain management; combinatorial optimization; multi-depot vehicle routing problem; multi-agent deep reinforcement learning; &gt;</t>
  </si>
  <si>
    <t>COMBINATORIAL OPTIMIZATION; ARTIFICIAL-INTELLIGENCE; ALGORITHM; HEURISTICS; FLEET</t>
  </si>
  <si>
    <t>The multi-depot vehicle routing problem (MDVRP) is one of the most essential and useful variants of the traditional vehicle routing problem (VRP) in supply chain management (SCM) and logistics studies. Many supply chains (SC) choose the joint distribution of multiple depots to cut transportation costs and delivery times. However, the ability to deliver quality and fast solutions for MDVRP remains a challenging task. Traditional optimization approaches in operation research (OR) may not be practical to solve MDVRP in real-time. With the latest developments in artificial intelligence (AI), it becomes feasible to apply deep reinforcement learning (DRL) for solving combinatorial routing problems. This paper proposes a new multi-agent deep reinforcement learning (MADRL) model to solve MDVRP. Extensive experiments are conducted to evaluate the performance of the proposed approach. Results show that the developed MADRL model can rapidly capture relative information embedded in graphs and effectively produce quality solutions in real-time.</t>
  </si>
  <si>
    <t>[Arishi, Ali] King Khalid Univ, Dept Ind Engn, Abha, Saudi Arabia; [Arishi, Ali; Krishnan, Krishna] Wichita State Univ, Dept Ind Syst &amp; Mfg Engn, Wichita, KS 67260 USA</t>
  </si>
  <si>
    <t>King Khalid University; Wichita State University</t>
  </si>
  <si>
    <t>Arishi, A (corresponding author), King Khalid Univ, Dept Ind Engn, Abha, Saudi Arabia.;Arishi, A (corresponding author), Wichita State Univ, Dept Ind Syst &amp; Mfg Engn, Wichita, KS 67260 USA.</t>
  </si>
  <si>
    <t>aaarishi@shockers.wichita.edu</t>
  </si>
  <si>
    <t>Arishi, Ali/JGL-6462-2023</t>
  </si>
  <si>
    <t>2327-0012</t>
  </si>
  <si>
    <t>2327-0039</t>
  </si>
  <si>
    <t>J MANAG ANAL</t>
  </si>
  <si>
    <t>J. Manag. Anal.</t>
  </si>
  <si>
    <t>10.1080/23270012.2023.2229842</t>
  </si>
  <si>
    <t>Business; Management; Social Sciences, Mathematical Methods</t>
  </si>
  <si>
    <t>Business &amp; Economics; Mathematical Methods In Social Sciences</t>
  </si>
  <si>
    <t>O4RQ7</t>
  </si>
  <si>
    <t>WOS:001018761200001</t>
  </si>
  <si>
    <t>Cencini, E; Sicuranza, A; Fabbri, A; Marzano, C; Pacelli, P; Caroni, F; Raspadori, D; Bocchia, M</t>
  </si>
  <si>
    <t>Cencini, Emanuele; Sicuranza, Anna; Fabbri, Alberto; Marzano, Cristina; Pacelli, Paola; Caroni, Federico; Raspadori, Donatella; Bocchia, Monica</t>
  </si>
  <si>
    <t>The prognostic role of gene polymorphisms in patients with indolent non-Hodgkin lymphomas and mantle-cell lymphoma receiving bendamustine and rituximab: results of the 5-year follow-up study</t>
  </si>
  <si>
    <t>Non-Hodgkin lymphoma; rituximab; bendamustine; single nucleotide polymorphisms; outcome</t>
  </si>
  <si>
    <t>CLINICAL-PRACTICE GUIDELINES; INTERLEUKIN-2; IL2; INFECTIONS; DIAGNOSIS; SURVIVAL; INNATE; IL-2</t>
  </si>
  <si>
    <t>The variability in disease outcome for indolent non-Hodgkin lymphomas (iNHL) and mantle-cell lymphoma (MCL) could be related to single nucleotide polymorphisms (SNPs) in genes that affect immune and inflammatory response. We investigated SNPs that could have a prognostic role for patients receiving bendamustine and rituximab (BR). All samples were genotyped for the IL-2 (rs2069762), IL-10 (rs1800890, rs10494879), VEGFA (rs3025039), IL-8 (rs4073), CFH (rs1065489) and MTHFR (rs1801131) SNPs by allelic discrimination assays using TaqMan SNP Genotyping Assays. We report a long-term follow-up analysis of 79 iNHL and MCL patients that received BR. Overall response rate was 97.5% (CR rate 70.9%). After a median follow-up of 63 months, median PFS and OS were not reached. We report a significant association between SNP in IL-2 (rs2069762) and reduced PFS and OS (p&lt;.0001). We suggest a role for cytokine SNPs in disease outcome, while SNPs seem not related to long-term toxicity or secondary malignancies.</t>
  </si>
  <si>
    <t>[Cencini, Emanuele; Sicuranza, Anna; Fabbri, Alberto; Marzano, Cristina; Pacelli, Paola; Caroni, Federico; Raspadori, Donatella; Bocchia, Monica] Azienda Osped Univ Senese, Unit Hematol, Siena, Italy; [Cencini, Emanuele; Sicuranza, Anna; Fabbri, Alberto; Marzano, Cristina; Pacelli, Paola; Caroni, Federico; Raspadori, Donatella; Bocchia, Monica] Univ Siena, Siena, Italy; [Cencini, Emanuele] Univ Hosp Siena, Unit Hematol, Viale Bracci, I-53100 Siena, Italy</t>
  </si>
  <si>
    <t>University of Siena; University Hospital of Siena; University of Siena; University of Siena; University Hospital of Siena</t>
  </si>
  <si>
    <t>Cencini, E (corresponding author), Univ Hosp Siena, Unit Hematol, Viale Bracci, I-53100 Siena, Italy.</t>
  </si>
  <si>
    <t>cencioema@libero.it</t>
  </si>
  <si>
    <t>Pacelli, Paola/0000-0001-5838-1123</t>
  </si>
  <si>
    <t>2023 JUL 1</t>
  </si>
  <si>
    <t>10.1080/10428194.2023.2232490</t>
  </si>
  <si>
    <t>L4OH2</t>
  </si>
  <si>
    <t>WOS:001023070000001</t>
  </si>
  <si>
    <t>Dias, D; Hatt, BE</t>
  </si>
  <si>
    <t>Dias, Dany; Hatt, Blaine E.</t>
  </si>
  <si>
    <t>Mapping the landscape of an ICE community of learnership</t>
  </si>
  <si>
    <t>PEDAGOGIES</t>
  </si>
  <si>
    <t>community of learnership; pedagogical relationality; Imagination Creativity Education (ICE); pedagogical praxis; gnoseologica</t>
  </si>
  <si>
    <t>Drawing upon the foundational principles of Imagination Creativity Education (ICE), our article examines the relational dimension in the context of classroom environments, as observed within the Canadian schooling system. We explore the landscape of a community of learnership - the lived and living practices of both students and teacher in the communal space in between, a space characterized as the transactional curriculum. We argue that teachers play a vital role in cultivating intentional relationships with students, one whose pedagogical responsibility focuses on establishing relationships, belonging, and dialogue; viewing students holistically for who they are and who they have the potential of becoming. Teachers who design such communities of learnership subscribe to pedagogical praxis, attending to their students' lived curricula in which deep, engaged, and innovative learning is enacted. In this article, we outline the principles of ICE, through which a community of learnership can be forged. Grounded in Freire's (1997) concept of gnoseologica of education, we expand on dialogic relationships that value curiosity, imagination, creativity, and innovation. We draw on one author's Grade 8(1) classroom inquiry to describe the lived experiences of an ICE community of learnership.</t>
  </si>
  <si>
    <t>[Dias, Dany] St Francis Xavier Univ, Nipissing Univ, Fac Educ, Antigonish, NS, Canada; [Hatt, Blaine E.] St Francis Xavier Univ, Schulich Sch Educ, North Bay, ON, Canada; [Dias, Dany] St Francis Xavier Univ, Fac Educ, 4545 Alumni Dr, Antigonish, NS B2G 2W5, Canada</t>
  </si>
  <si>
    <t>Saint Francis Xavier University - Canada; Nipissing University; Saint Francis Xavier University - Canada; Saint Francis Xavier University - Canada</t>
  </si>
  <si>
    <t>Dias, D (corresponding author), St Francis Xavier Univ, Fac Educ, 4545 Alumni Dr, Antigonish, NS B2G 2W5, Canada.</t>
  </si>
  <si>
    <t>ddias@stfx.ca</t>
  </si>
  <si>
    <t>Dias, Dany/0000-0002-9621-8957</t>
  </si>
  <si>
    <t>1554-480X</t>
  </si>
  <si>
    <t>1554-4818</t>
  </si>
  <si>
    <t>Pedagogies</t>
  </si>
  <si>
    <t>10.1080/1554480X.2023.2230954</t>
  </si>
  <si>
    <t>L2WM9</t>
  </si>
  <si>
    <t>WOS:001021914400001</t>
  </si>
  <si>
    <t>Gamso, J; Dimitrova, A</t>
  </si>
  <si>
    <t>Gamso, Jonas; Dimitrova, Anna</t>
  </si>
  <si>
    <t>Rewarding a friend: Does the World Bank direct non-commercial risk insurance to countries that support US foreign policy interests?</t>
  </si>
  <si>
    <t>World Bank Group; Multilateral Investment Guarantee Agency; political risk; foreign direct investment; non-commercial risk insurance</t>
  </si>
  <si>
    <t>INTERNATIONAL-ORGANIZATIONS; DIRECT-INVESTMENT; UNITED-STATES; AID; GOVERNANCE; MANAGEMENT; TERRORISM; ELECTIONS; POLITICS; IMPACT</t>
  </si>
  <si>
    <t>Many scholars have investigated the politics of World Bank Group (WBG) lending, often finding that WBG loans are distributed in ways that advance US policy interests. However, the organisation's other major activity, promoting foreign direct investment (FDI), has received little attention. This study fills this void in the literature, with attention to the Multilateral Investment Guarantee Agency (MIGA), the youngest of the five agencies that collectively make up the WBG. MIGA provides multinational companies with insurance to protect their investments from non-commercial risks in host countries, such as the outbreak of civil war or government expropriation. Given considerable evidence that WBG loans support US interests, MIGA's risk insurance may be similarly politicised. However, since MIGA is financially independent and prohibits political activity, we theorise that US influence operates informally through MIGA staff, who reward US-aligned countries to 'please the principal,' and hence ensure that the US continues to support the Agency. Empirical analysis based on over 1500 MIGA-insured investments covering 121 member countries over the 1990-2020 period shows that MIGA insurance is disproportionately rewarded to investments in host countries that support US policy interests. Our findings suggest that this politicisation is primarily staff-led.</t>
  </si>
  <si>
    <t>[Gamso, Jonas] Arizona State Univ, Thunderbird Sch Global Management, Phoenix, AZ 85004 USA; [Dimitrova, Anna] ESSCA Sch Management, Paris, France</t>
  </si>
  <si>
    <t>Arizona State University; Arizona State University-Downtown Phoenix; ESSCA Ecole de Management</t>
  </si>
  <si>
    <t>Gamso, J (corresponding author), Arizona State Univ, Thunderbird Sch Global Management, Phoenix, AZ 85004 USA.</t>
  </si>
  <si>
    <t>jonas.gamso@thunderbird.asu.edu</t>
  </si>
  <si>
    <t>10.1080/13563467.2023.2230557</t>
  </si>
  <si>
    <t>L4LI9</t>
  </si>
  <si>
    <t>WOS:001022987800001</t>
  </si>
  <si>
    <t>McClatchey, R; McClymont, K; Griffin, E; Carmichael, L</t>
  </si>
  <si>
    <t>McClatchey, Rachael; McClymont, Katie; Griffin, Emma; Carmichael, Laurence</t>
  </si>
  <si>
    <t>Community led housing, health and wellbeing: a comprehensive literature review</t>
  </si>
  <si>
    <t>INTERNATIONAL JOURNAL OF HOUSING POLICY</t>
  </si>
  <si>
    <t>Community led; housing; inequalities; health; wellbeing; &gt;</t>
  </si>
  <si>
    <t>LESSONS; SUPPORT; MODEL</t>
  </si>
  <si>
    <t>Community Led Housing (CLH) is an umbrella term encompassing several non-profit models of housing delivery, which is used internationally. There has been little comprehensive assessment of the health impacts of housing arrangements where people intentionally live or work together in a community. This systematic review provides the first overview of the health, wellbeing and heath inequality impacts of all forms of CLH. 4,091 literature items were identified from a structured search of eight databases and manual searching for grey literature. Literature published between January 2009 and June 2022, in OECD countries, were eligible. 34 academic and 11 grey literature items were included. The review identifies far more literature reporting that CLH has positive rather than negative impacts, on primary health outcomes and on neighbourhood level factors which impact on health (social contact, employment, safety, environmental sustainability, and affordability). There is a lack of research on CLH impacts on the health of children and young people, and on health inequalities. These findings provide an indication of largely positive impacts of CLH arrangements on health and wellbeing. They indicate the importance of further longitudinal, objective research, and of policies and actions to support this form of housing delivery.</t>
  </si>
  <si>
    <t>[McClatchey, Rachael] UWE Bristol, Sch Hlth &amp; Social Wellbeing, Bristol, England; [McClatchey, Rachael] Off Hlth Improvement &amp; Dispar, Dept Hlth &amp; Social Care, Bristol, England; [McClymont, Katie; Griffin, Emma; Carmichael, Laurence] UWE Bristol, Dept Geog &amp; Environm Management, Bristol, England</t>
  </si>
  <si>
    <t>University of West England; University of West England</t>
  </si>
  <si>
    <t>McClatchey, R (corresponding author), UWE Bristol, Sch Hlth &amp; Social Wellbeing, Bristol, England.;McClatchey, R (corresponding author), Off Hlth Improvement &amp; Dispar, Dept Hlth &amp; Social Care, Bristol, England.</t>
  </si>
  <si>
    <t>rachael.mcclatchey@uwe.ac.uk</t>
  </si>
  <si>
    <t>McClatchey, Rachael/0000-0001-9941-3582</t>
  </si>
  <si>
    <t>1949-1247</t>
  </si>
  <si>
    <t>1949-1255</t>
  </si>
  <si>
    <t>INT J HOUS POLICY</t>
  </si>
  <si>
    <t>Int. J. Hous. Policy</t>
  </si>
  <si>
    <t>10.1080/19491247.2023.2232200</t>
  </si>
  <si>
    <t>Environmental Studies; Regional &amp; Urban Planning; Urban Studies</t>
  </si>
  <si>
    <t>Environmental Sciences &amp; Ecology; Public Administration; Urban Studies</t>
  </si>
  <si>
    <t>P4QT0</t>
  </si>
  <si>
    <t>WOS:001050515400001</t>
  </si>
  <si>
    <t>Rabgay, T; Kidman, G</t>
  </si>
  <si>
    <t>Rabgay, Tshewang; Kidman, Gillian</t>
  </si>
  <si>
    <t>A culturally relevant action research model for Bhutanese secondary science teachers</t>
  </si>
  <si>
    <t>Action research; Bhutan; culture; science teaching; model</t>
  </si>
  <si>
    <t>MOTIVATIONS</t>
  </si>
  <si>
    <t>Action research has gained widespread recognition as a tool to improve teaching practices in many countries, and action research based on Kemmis and McTaggart's model was recently introduced in Bhutan to raise teaching quality. This study explored how Bhutanese secondary science teachers carried out the process of action research and the factors which supported or constrained them. Focusing on one case study school in Bhutan, data were collected progressively, using interviews, teachers' diaries, and classroom observations, as three science teachers carried out their first action research project over a period of seven weeks. Data were analysed using the coding procedures of grounded theory. The findings showed that the teachers used a messy process of action research which was not consistent with the linear process depicted in Kemmis and McTaggart's model. The constraints they faced included concerns about science curriculum coverage, lack of time, inadequate knowledge, the hierarchical education system, and the Buddhist value of Driglam Namzha. However, teachers' collaboration, motivation, and Buddhist values of Tha Dam Tshig and Zhenphen facilitated their progress. In response to the influence of cultural factors on action research in Bhutan, the study proposes a new context-sensitive model called the Sherig Action Research (SAR) model for Bhutanese teachers.</t>
  </si>
  <si>
    <t>[Rabgay, Tshewang; Kidman, Gillian] Monash Univ, Fac Educ, Melbourne, Australia</t>
  </si>
  <si>
    <t>Monash University</t>
  </si>
  <si>
    <t>Rabgay, T (corresponding author), Monash Univ, Fac Educ, Melbourne, Australia.</t>
  </si>
  <si>
    <t>tshewang48@yahoo.com</t>
  </si>
  <si>
    <t>Kidman, Gillian/0000-0001-5306-4284</t>
  </si>
  <si>
    <t>10.1080/09650792.2023.2230593</t>
  </si>
  <si>
    <t>K9YH9</t>
  </si>
  <si>
    <t>WOS:001019911700001</t>
  </si>
  <si>
    <t>Salvatore, MM; Nicoletti, R; Russo, MT; Mahamedi, AE; Berraf-Tebbal, A; DellaGreca, M; Anna, A</t>
  </si>
  <si>
    <t>Salvatore, Maria Michela; Nicoletti, Rosario; Russo, Maria Teresa; Mahamedi, Alla Eddine; Berraf-Tebbal, Akila; DellaGreca, Marina; Anna, Andolfi</t>
  </si>
  <si>
    <t>First report of 6-methylpyridione analogues from Dothiorella sarmentorum, a botryosphaeriaceous fungus associated with grapevine trunk diseases</t>
  </si>
  <si>
    <t>Natural products; fungal metabolites; Botryosphaeriaceae; metabolomics; &gt;</t>
  </si>
  <si>
    <t>MACROPHOMA FRUIT ROT; METABOLITES</t>
  </si>
  <si>
    <t>Dothiorella species are fungal plant pathogens associated with Botryosphaeria dieback of grapevine. Symptoms caused by these fungi on grapevines suggest possible implication of phytotoxic metabolites in the infection mechanisms. However, few studies were conducted to investigate the secondary metabolism of these fungi. In this study, 6-methylpyridione analogues were isolated and identified for the first time in liquid cultures of Dothiorella sarmentorum isolated from symptomatic grapevine in Algeria.</t>
  </si>
  <si>
    <t>[Salvatore, Maria Michela; Russo, Maria Teresa; DellaGreca, Marina; Anna, Andolfi] Univ Naples Federico II, Dept Chem Sci, Naples, Italy; [Salvatore, Maria Michela] CNR, Inst Sustainable Plant Protect, Portici, Italy; [Nicoletti, Rosario] Res Ctr Olive Fruit &amp; Citrus Crops, Council Agr Res &amp; Econ, Caserta, Italy; [Nicoletti, Rosario] Univ Naples Federico II, Dept Agr Sci, Portici, Italy; [Mahamedi, Alla Eddine] Univ Ghardaia, Fac Sci Nat &amp; Vie &amp; Sci Terre, Dept Biol, Ghardaia, Algeria; [Mahamedi, Alla Eddine] Ecole Normale Super Kouba, Lab Biol Syst Microbiens LBSM, Algiers, Algeria; [Berraf-Tebbal, Akila] Mendel Univ Brno, Fac Hort, Mendeleum Insiititute Genet, Lednice, Czech Republic; [Anna, Andolfi] Univ Naples Federico II, BAT Ctr, Interuniv Ctr Studies Bioinspired Agroenvironm Te, Portici, Italy</t>
  </si>
  <si>
    <t>University of Naples Federico II; Consiglio Nazionale delle Ricerche (CNR); Istituto per la Protezione Sostenibile delle Piante (IPSP-CNR); Consiglio per la Ricerca in Agricoltura e L'analisi Dell'economia Agraria (CREA); University of Naples Federico II; Ecole Normale Superieure de Kouba; Mendel University in Brno; University of Naples Federico II</t>
  </si>
  <si>
    <t>Anna, A (corresponding author), Univ Naples Federico II, Dept Chem Sci, Naples, Italy.;Anna, A (corresponding author), Univ Naples Federico II, BAT Ctr, Interuniv Ctr Studies Bioinspired Agroenvironm Te, Portici, Italy.</t>
  </si>
  <si>
    <t>andolfi@unina.it</t>
  </si>
  <si>
    <t>Nicoletti, Rosario/H-6500-2019</t>
  </si>
  <si>
    <t>Nicoletti, Rosario/0000-0002-3049-4641; DellaGreca, Marina/0000-0001-6530-605X; Salvatore, Maria Michela/0000-0001-8318-3065</t>
  </si>
  <si>
    <t>European Union Next-Generation EU [CN00000022, 1032]</t>
  </si>
  <si>
    <t>European Union Next-Generation EU</t>
  </si>
  <si>
    <t>This study was carried out within the Agritech National Research Center and received funding from the European Union Next-Generation EU (PIANO NAZIONALE DI RIPRESA E RESILIENZA (PNRR)-MISSIONE 4 COMPONENTE 2, INVESTIMENTO 1.4-D.D. 1032 17/06/2022, CN00000022). This manuscript reflects only the authors' views and opinions, neither the European Union nor the European Commission can be considered responsible for them.</t>
  </si>
  <si>
    <t>10.1080/14786419.2023.2232083</t>
  </si>
  <si>
    <t>L9ZE9</t>
  </si>
  <si>
    <t>WOS:001026775800001</t>
  </si>
  <si>
    <t>Sekhar, CC</t>
  </si>
  <si>
    <t>Sekhar, Chakali Chandra</t>
  </si>
  <si>
    <t>Christian Women's Journals and Vernacular Christianity: A Case Study of Vivekavathi in Telugu-Speaking Regions</t>
  </si>
  <si>
    <t>Christian family; Christian journals; desire and sexuality; modern womanhood; Telugu Christianity; vernacular Christianity; Vivekavathi; women education; women journals; women missionaries</t>
  </si>
  <si>
    <t>This article investigates the Vivekavathi journal, established in 1909 by Protestant Christian female missionaries for women readers in the Telugu-speaking regions of the Madras Presidency, India. The study delves into the journal's influence on the formation and dissemination of Christian beliefs and values within the Telugu society during the early twentieth century, a period marked by the rise of a reading public facilitated by colonial state efforts and Christian missionary initiatives. Furthermore, the article reveals how Protestant female missionaries utilised the journal to promote a novel concept of womanhood among the Telugu-speaking population. The research underscores the journal's effective engagement with women, highlighting their active participation in shaping religious practices, an exceptional accomplishment in light of the pervasive patriarchal systems and values that often imply limited agency for women in religious contexts.</t>
  </si>
  <si>
    <t>[Sekhar, Chakali Chandra] SRR &amp; CVR Govt Degree Coll A, Dept English, Vijayawada, Andhra Pradesh, India</t>
  </si>
  <si>
    <t>Sekhar, CC (corresponding author), SRR &amp; CVR Govt Degree Coll A, Dept English, Vijayawada, Andhra Pradesh, India.</t>
  </si>
  <si>
    <t>chandueflu@gmail.com</t>
  </si>
  <si>
    <t>10.1080/00856401.2023.2218237</t>
  </si>
  <si>
    <t>L3GA9</t>
  </si>
  <si>
    <t>WOS:001022165600001</t>
  </si>
  <si>
    <t>Zhang, JR; Tu, YL; Li, J; Guo, YS</t>
  </si>
  <si>
    <t>Zhang, Jiarui; Tu, Yulu; Li, Jing; Guo, Yangsheng</t>
  </si>
  <si>
    <t>The Catholic and the imperial power over early Chinese translation of Western law</t>
  </si>
  <si>
    <t>PERSPECTIVES-STUDIES IN TRANSLATION THEORY AND PRACTICE</t>
  </si>
  <si>
    <t>Law-in-translation; translation history; politics of legal translation; Western law in Chinese translation</t>
  </si>
  <si>
    <t>Western law in Chinese translation emerged in the late Ming and early Qing dynasties, when Chinese and Western legal traditions shared little in common in terms of jurisdiction and political philosophy. The present study attempts to reconstruct that historical experience by looking at both textual difficulties and political forces that put an end to this first intellectual engagement between China and the West. In particular, it examines the fragmentary translations of and introductions to Western law by the Jesuits and their Chinese converts, and the politics played out between the progressive and the conservative, and between Catholicism and the imperial power, with an aim to build a historical lesson in translation.</t>
  </si>
  <si>
    <t>[Zhang, Jiarui; Tu, Yulu; Li, Jing; Guo, Yangsheng] Southwestern Univ Finance &amp; Econ, Fac Int Studies, Chengdu, Peoples R China; [Zhang, Jiarui] Southwestern Univ Finance &amp; Econ, Fac Int Studies, 555 Liutai Ave, Chengdu 610074, Peoples R China</t>
  </si>
  <si>
    <t>Southwestern University of Finance &amp; Economics - China; Southwestern University of Finance &amp; Economics - China</t>
  </si>
  <si>
    <t>Zhang, JR (corresponding author), Southwestern Univ Finance &amp; Econ, Fac Int Studies, 555 Liutai Ave, Chengdu 610074, Peoples R China.</t>
  </si>
  <si>
    <t>zjrdcl@swufe.edu.cn</t>
  </si>
  <si>
    <t>0907-676X</t>
  </si>
  <si>
    <t>1747-6623</t>
  </si>
  <si>
    <t>PERSPECT STUD TRANSL</t>
  </si>
  <si>
    <t>Perspect.-Stud. Transl.</t>
  </si>
  <si>
    <t>10.1080/0907676X.2023.2227386</t>
  </si>
  <si>
    <t>L2DQ9</t>
  </si>
  <si>
    <t>WOS:001021417800001</t>
  </si>
  <si>
    <t>Cerveny, O; Vybiral, P; Mares, L; Hemerka, J; Ondracek, J; Roztocil, P</t>
  </si>
  <si>
    <t>Cerveny, Ondrej; Vybiral, Pavel; Mares, Ludek; Hemerka, Jiri; Ondracek, Jakub; Roztocil, Petr</t>
  </si>
  <si>
    <t>Ejector diluter behavior assessment and dilution factor accuracy improvement</t>
  </si>
  <si>
    <t>Ejector diluter; dilution factor; aerosol measurement; particle size distribution</t>
  </si>
  <si>
    <t>EXHAUST</t>
  </si>
  <si>
    <t>In some applications, accurate knowledge of the dilution factor of a diluter can be crucial. Although the sample gas composition is one of the factors that influences the dilution factor of an ejector diluter, the available calibration data are usually obtained using air as sample gas. That can be a problem when the diluter is used in exhaust gas conditions, where the gas composition can differ significantly from air. Available ejector diluter models have been found unsuitable. The goal of this study was to set a method to determine the shift of dilution factor caused by sample gas composition, so the nominal or calibration value can be adjusted. Using CO2, the method was experimentally verified with good results. In addition, the present paper also investigated the possible influence of the diluter on the particle size distribution curve of the diluted sample.</t>
  </si>
  <si>
    <t>[Cerveny, Ondrej; Vybiral, Pavel; Mares, Ludek; Hemerka, Jiri] Czech Tech Univ, Fac Mech Engn, Dept Environm Engn, Prague, Czech Republic; [Ondracek, Jakub; Roztocil, Petr] Czech Acad Sci, Inst Chem Proc Fundamentals, Lab Aerosol Chem &amp; Phys, Prague, Czech Republic</t>
  </si>
  <si>
    <t>Czech Technical University Prague; Czech Academy of Sciences; Institute of Chemical Process Fundamentals of the Czech Academy of Sciences</t>
  </si>
  <si>
    <t>Cerveny, O (corresponding author), Czech Tech Univ, Fac Mech Engn, Dept Environm Engn, Prague, Czech Republic.</t>
  </si>
  <si>
    <t>ondrej.cerveny@fs.cvut.cz</t>
  </si>
  <si>
    <t>Research Center for Low-Carbon Energy Technologies [CZ.02.1.01/0.0/0.0/16_019/0000753]; Optimization of HVAC systems [SGS22/154/OHK2/3T/12]</t>
  </si>
  <si>
    <t>Research Center for Low-Carbon Energy Technologies; Optimization of HVAC systems</t>
  </si>
  <si>
    <t>This work was supported by projects Research Center for Low-Carbon Energy Technologies CZ.02.1.01/0.0/0.0/16_019/0000753 and Optimization of HVAC systems SGS22/154/OHK2/3T/12. We gratefully acknowledge support from these grants.</t>
  </si>
  <si>
    <t>2023 JUN 30</t>
  </si>
  <si>
    <t>10.1080/02726351.2023.2230548</t>
  </si>
  <si>
    <t>JUN 2023</t>
  </si>
  <si>
    <t>L2DP4</t>
  </si>
  <si>
    <t>WOS:001021416300001</t>
  </si>
  <si>
    <t>Chen, LP</t>
  </si>
  <si>
    <t>Chen, Li-Pang</t>
  </si>
  <si>
    <t>Variable Selection and Estimation for Misclassified Binary Responses and Multivariate Error-Prone Predictors</t>
  </si>
  <si>
    <t>JOURNAL OF COMPUTATIONAL AND GRAPHICAL STATISTICS</t>
  </si>
  <si>
    <t>Boosting; Error elimination; Measurement error; Regression calibration; Supervised learning</t>
  </si>
  <si>
    <t>REGRESSION; LIKELIHOOD; SUBJECT; MODEL; RISK; BIAS</t>
  </si>
  <si>
    <t>In statistical analysis or supervised learning, classification has been an attractive topic. Typically, a main goal is to adopt predictors to characterize the primarily interested binary random variables. To model a binary response and predictors, parametric structures, such as logistic regression models or probit models, are perhaps commonly used approaches. However, due to the convenience of data collection, existence of non-informative variables as well as inevitability of measurement error in both responses and predictors become ubiquitous. The simultaneous appearance of these complex features make data analysis become challenging. To address those concerns, we propose a valid inferential method to deal with measurement error and handle variable selection simultaneously. Specifically, we focus on logistic regression or probit models, and propose estimating functions by incorporating corrected responses and predictors. After that, we develop the boosting procedure with error-eliminated estimating functions accommodated to do variable selection and estimation. To justify the proposed method, we examine the convergence of the boosting algorithm and rigorously establish the theoretical results. Through numerical studies, we find that the proposed method accurately retains informative predictors and gives precise estimators, and its performance is generally better than that without measurement error correction. The of this article, including proofs of theoretical results and computer code, are available online.</t>
  </si>
  <si>
    <t>[Chen, Li-Pang] Natl Chengchi Univ, Dept Stat, Taipei, Taiwan; [Chen, Li-Pang] Natl Chengchi Univ, Dept Stat, Taipei 116, Taiwan</t>
  </si>
  <si>
    <t>National Chengchi University; National Chengchi University</t>
  </si>
  <si>
    <t>Chen, LP (corresponding author), Natl Chengchi Univ, Dept Stat, Taipei 116, Taiwan.</t>
  </si>
  <si>
    <t>lchen723@nccu.edu.tw</t>
  </si>
  <si>
    <t>National Science and Technology Council [110-2118-M-004-006-MY2]</t>
  </si>
  <si>
    <t>National Science and Technology Council</t>
  </si>
  <si>
    <t>Chen's research was supported by National Science and Technology Council with grant ID 110-2118-M-004-006-MY2.</t>
  </si>
  <si>
    <t>1061-8600</t>
  </si>
  <si>
    <t>1537-2715</t>
  </si>
  <si>
    <t>J COMPUT GRAPH STAT</t>
  </si>
  <si>
    <t>J. Comput. Graph. Stat.</t>
  </si>
  <si>
    <t>10.1080/10618600.2023.2218428</t>
  </si>
  <si>
    <t>L9QV5</t>
  </si>
  <si>
    <t>WOS:001026552100001</t>
  </si>
  <si>
    <t>Dalkiliç, O; Demirtas, N</t>
  </si>
  <si>
    <t>Dalkilic, Orhan; Demirtas, Naime</t>
  </si>
  <si>
    <t>Similarity measures of neutrosophic fuzzy soft set and its application to decision making</t>
  </si>
  <si>
    <t>Neutrosophic fuzzy soft set; single-valued neutrosophic fuzzy soft set; distance measure; similarity measure; decision making</t>
  </si>
  <si>
    <t>Complex data analysis should be done in the most accurate way in order to express the uncertain environments in the most ideal way. In addition, mathematical models that can best express the membership degrees that represent the objects are preferred for these data analyses. Taking these situations into account, this study proposes the concept of single-valued neutrosophic fuzzy soft set, which can be expressed with four different membership degrees of each object that provides a parameter, with the contribution of the parameterisation tool. Some important results are obtained by examining some single-valued neutrosophic fuzzy soft set-based theoretical operations. In addition, distance measures between two single-valued neutrosophic fuzzy soft sets. Then, similarity measurements based on these distance measurements are studied. In this way, a determination has been made for the analysis of the decision-making processes for the determination of the interaction between two single-valued neutrosophic fuzzy soft sets.</t>
  </si>
  <si>
    <t>[Dalkilic, Orhan; Demirtas, Naime] Mersin Univ, Dept Math, Mersin, Turkiye</t>
  </si>
  <si>
    <t>Dalkiliç, O (corresponding author), Mersin Univ, Dept Math, TR-33343 Mersin, Turkiye.</t>
  </si>
  <si>
    <t>10.1080/0952813X.2023.2222720</t>
  </si>
  <si>
    <t>K9YA0</t>
  </si>
  <si>
    <t>WOS:001019903800001</t>
  </si>
  <si>
    <t>Fernandes, JAF; Alvarez, P; Carvajal, D; Mera, AC; Garcia, MG; Silva, LDA</t>
  </si>
  <si>
    <t>Fernandes, Juana Angelica Felipe; Alvarez, Pablo; Carvajal, Danilo; Mera, Adriana C.; Garcia, Matias G.; Silva, Ligia de Nazare Aguiar</t>
  </si>
  <si>
    <t>Challenges of household medical waste collection systems: an analysis of regulatory instruments and stakeholders in three Latin American countries</t>
  </si>
  <si>
    <t>JOURNAL OF ENVIRONMENTAL PLANNING AND MANAGEMENT</t>
  </si>
  <si>
    <t>household pharmaceutical waste; reverse logistics; unused medicines; waste management instruments</t>
  </si>
  <si>
    <t>REVERSE LOGISTICS; PHARMACEUTICALS; DRUGS</t>
  </si>
  <si>
    <t>Household medical waste is often improperly disposed of in several countries, despite the presence of a collection mechanism. This study attempts to identify the challenges of medical waste collection systems, focusing on the regulatory instruments and the stakeholders involved in this process in Brazil, Chile, and Colombia. A descriptive analysis was conducted to identify the differences between these countries. The results reveal that, in general, only 7 out of the 20 regulatory instruments for solid waste are applied in the household medical waste collection process, focusing on the direct stakeholders in the human medicines market, from manufacturers to consumers. The main challenges identified are incorporating veterinary medicines, defining roles for all stakeholders involved, such as healthcare providers and health teaching institutions, and expanding the use of regulatory instruments. These findings support the use of legislation to reduce the stakeholder contributions gap for the collection of household medical waste.</t>
  </si>
  <si>
    <t>[Fernandes, Juana Angelica Felipe; Carvajal, Danilo; Mera, Adriana C.; Garcia, Matias G.] Univ La Serena, Inst Multidisciplinario Invest &amp; Postgrad, La Serena, Coquimbo, Chile; [Alvarez, Pablo] Univ La Serena, Fac Ciencias, Dept Agron, La Serena, Coquimbo, Chile; [Alvarez, Pablo] Univ La Serena, Lab PROMMRA, La Serena, Coquimbo, Chile; [Alvarez, Pablo] Univ La Serena, Polo Cientif Tecnol PCT ULS, La Serena, Coquimbo, Chile; [Silva, Ligia de Nazare Aguiar] Pontificia Univ Javeriana, Fac Estudios Ambientales &amp; Rurales, Bogota, Colombia</t>
  </si>
  <si>
    <t>Universidad de La Serena; Universidad de La Serena; Universidad de La Serena; Universidad de La Serena; Pontificia Universidad Javeriana</t>
  </si>
  <si>
    <t>Fernandes, JAF (corresponding author), Univ La Serena, Inst Multidisciplinario Invest &amp; Postgrad, La Serena, Coquimbo, Chile.</t>
  </si>
  <si>
    <t>juana.angelica@userena.cl</t>
  </si>
  <si>
    <t>Garcia Garcia, Matias/0000-0001-7755-5336</t>
  </si>
  <si>
    <t>National Agency for Research and Development of Chile (ANID) [2021-21210126]</t>
  </si>
  <si>
    <t>National Agency for Research and Development of Chile (ANID)</t>
  </si>
  <si>
    <t>This work was supported by the National Agency for Research and Development of Chile (ANID) - Subdireccion de Capital Humano [Doctorado Nacional/2021-21210126].</t>
  </si>
  <si>
    <t>0964-0568</t>
  </si>
  <si>
    <t>1360-0559</t>
  </si>
  <si>
    <t>J ENVIRON PLANN MAN</t>
  </si>
  <si>
    <t>J. Environ. Plan. Manag.</t>
  </si>
  <si>
    <t>10.1080/09640568.2023.2232539</t>
  </si>
  <si>
    <t>L6WR8</t>
  </si>
  <si>
    <t>WOS:001024649700001</t>
  </si>
  <si>
    <t>Heron, TE; Ruef, MB</t>
  </si>
  <si>
    <t>Heron, Timothy E.; Ruef, Michael B.</t>
  </si>
  <si>
    <t>In Memoriam Kathleen C. Harris, Ph.D</t>
  </si>
  <si>
    <t>Biographical-Item; Early Access</t>
  </si>
  <si>
    <t>[Heron, Timothy E.] Ohio State Univ, Columbus, OH 43210 USA; [Ruef, Michael B.] Calif Polytech State Univ San Luis Obispo, San Luis Obispo, CA USA</t>
  </si>
  <si>
    <t>University System of Ohio; Ohio State University; California State University System; California Polytechnic State University San Luis Obispo</t>
  </si>
  <si>
    <t>Heron, TE (corresponding author), Ohio State Univ, Columbus, OH 43210 USA.</t>
  </si>
  <si>
    <t>thcfi.th@gmail.com</t>
  </si>
  <si>
    <t>10.1080/10474412.2023.2229230</t>
  </si>
  <si>
    <t>L2WN3</t>
  </si>
  <si>
    <t>WOS:001021914800001</t>
  </si>
  <si>
    <t>Kirk, MM; Mattock, JPM; Coltman, CE; Steele, JR</t>
  </si>
  <si>
    <t>Kirk, Maddison M.; Mattock, Joshua P. M.; Coltman, Celeste E.; Steele, Julie R.</t>
  </si>
  <si>
    <t>Are netball players satisfied with their shoes?</t>
  </si>
  <si>
    <t>FOOTWEAR SCIENCE</t>
  </si>
  <si>
    <t>Footwear; netball; shoes; design; durability; sport shoe</t>
  </si>
  <si>
    <t>[Kirk, Maddison M.; Mattock, Joshua P. M.; Steele, Julie R.] Univ Wollongong, Sch Med Indigenous &amp; Hlth Sci, Biomech Res Lab, Wollongong, Australia; [Coltman, Celeste E.] Univ Canberra, Univ Canberra Res Inst Sport &amp; Exercise, Canberra, Australia</t>
  </si>
  <si>
    <t>University of Wollongong; University of Canberra</t>
  </si>
  <si>
    <t>Kirk, MM (corresponding author), Univ Wollongong, Sch Med Indigenous &amp; Hlth Sci, Biomech Res Lab, Wollongong, Australia.</t>
  </si>
  <si>
    <t>mk720@uowmail.edu.au</t>
  </si>
  <si>
    <t>1942-4280</t>
  </si>
  <si>
    <t>1942-4299</t>
  </si>
  <si>
    <t>FOOTWEAR SCI</t>
  </si>
  <si>
    <t>Footwear Sci.</t>
  </si>
  <si>
    <t>JUN 30</t>
  </si>
  <si>
    <t>S203</t>
  </si>
  <si>
    <t>S204</t>
  </si>
  <si>
    <t>10.1080/19424280.2023.2218664</t>
  </si>
  <si>
    <t>Ergonomics</t>
  </si>
  <si>
    <t>L2QU4</t>
  </si>
  <si>
    <t>WOS:001021764100093</t>
  </si>
  <si>
    <t>Morón-López, J; Serwecinska, L; Balcerzak, L; Glinska, S; Mankiewicz-Boczek, J</t>
  </si>
  <si>
    <t>Moron-Lopez, Jesus; Serwecinska, Liliana; Balcerzak, Lucja; Glinska, Slawa; Mankiewicz-Boczek, Joanna</t>
  </si>
  <si>
    <t>Algicidal bacteria against cyanobacteria: Practical knowledge from laboratory to application</t>
  </si>
  <si>
    <t>Algicidal compounds; bioaugmentation; cyanobactericidal bacteria; filamentous cyanobacteria; flagella; pathogenic bacteria; &gt;; Frederic Coulon and Lena Q; Ma</t>
  </si>
  <si>
    <t>KILLS MICROCYSTIS-AERUGINOSA; HARMFUL ALGAL BLOOMS; BACILLUS SP STRAIN; LAKE TAIHU; COMMUNITY COMPOSITION; AEROMONAS SP; IDENTIFICATION; MECHANISM; DEGRADATION; SUBSTANCES</t>
  </si>
  <si>
    <t>The use of algicidal bacteria has gained prominence as natural solution to control the worrying increase of harmful algal blooms worldwide. However, although cyanobacterial blooms (cyanoHABs) often dominate freshwater bodies, recent reviews on the subject have addressed cyanobacteria in the second place and focused more on bacteria-algae interactions. This article provides a critical review of the fundamental aspects of searching for, isolating and assaying candidate algicidal bacteria targeting cyanobacteria. Possible species-specific interactions and the different modes of action of bacteria against different species of cyanobacteria are also discussed. It has been observed that there is a clear bias in the literature toward the genus Microcystis, being by far the most studied and reviewed to date. This contrasts with the numerous studies showing cyanobacterial blooms dominated by other harmful species, such as the genera Planktothrix, Aphanizomenon or Raphidiopsis. To add new knowledge to the lack of current studies on these genera, a separate experimental section has been included in this review with research results on the sensitivity of nine harmful freshwater cyanobacteria and two green algae to different bacteria and algicidal compounds. Finally, certain ecological and biosafety risks that must be taken into account when applying algicidal bacteria as a bioaugmentation strategy are also highlighted. Overall, this review is presented as an attempt to outline the knowledge gathered over the last thirty years of research, while raising new questions and debates on key issues that remain poorly understood.</t>
  </si>
  <si>
    <t>[Moron-Lopez, Jesus; Serwecinska, Liliana; Mankiewicz-Boczek, Joanna] Polish Acad Sci, European Reg Ctr Ecohydrol, 3 Tylna, PL-90364 Lodz, Poland; [Balcerzak, Lucja; Glinska, Slawa] Univ Lodz, Fac Biol &amp; Environm Protect, Lab Microscop Imaging &amp; Specialized Biol Tech, Lodz, Poland</t>
  </si>
  <si>
    <t>Polish Academy of Sciences; European Regional Centre for Ecohydrology of the Polish Academy of Sciences; University of Lodz</t>
  </si>
  <si>
    <t>Morón-López, J; Mankiewicz-Boczek, J (corresponding author), Polish Acad Sci, European Reg Ctr Ecohydrol, 3 Tylna, PL-90364 Lodz, Poland.</t>
  </si>
  <si>
    <t>j.moronlopez@erce.unesco.lodz.pl; j.mankiewicz@erce.unesco.lodz.pl</t>
  </si>
  <si>
    <t>Morón-López, Jesús/ABD-2020-2020; Mankiewicz-Boczek, Joanna Dorota/J-2427-2018</t>
  </si>
  <si>
    <t>Morón-López, Jesús/0000-0003-3838-8090; Mankiewicz-Boczek, Joanna Dorota/0000-0001-7358-0673; Balcerzak, Lucja/0000-0002-7707-4193</t>
  </si>
  <si>
    <t>National Science Centre [2019/33/B/NZ8/02093]</t>
  </si>
  <si>
    <t>National Science Centre(National Science Centre, Poland)</t>
  </si>
  <si>
    <t>Research was funded by the National Science Centre, project no. 2019/33/B/NZ8/02093, ALGICYDY, Isolation, identification and characterization of algicidal bacteria as a potential control agent for toxic cyanobacterial freshwater blooms. The Sulejow Reservoir is a part of the Polish National Long - Term Ecosystem Research Network and the European LTER site.</t>
  </si>
  <si>
    <t>10.1080/10643389.2023.2232257</t>
  </si>
  <si>
    <t>M8SM6</t>
  </si>
  <si>
    <t>WOS:001032859400001</t>
  </si>
  <si>
    <t>Moulkar, R; Peddi, D</t>
  </si>
  <si>
    <t>Moulkar, Rajeshwar; Peddi, Dayakar</t>
  </si>
  <si>
    <t>Climate sensitivity of major crops yield in Telangana state, India</t>
  </si>
  <si>
    <t>JOURNAL OF THE ASIA PACIFIC ECONOMY</t>
  </si>
  <si>
    <t>Climate sensitivity; agriculture; crops yield; Telangana; India</t>
  </si>
  <si>
    <t>ANDHRA-PRADESH; WHEAT YIELDS; RICE YIELDS; IMPACTS; AGRICULTURE; VARIABILITY; TEMPERATURE; ADAPTATION; WEATHER; MONSOON</t>
  </si>
  <si>
    <t>The study analyzed the historical functional relationship between weather change and crops yield in Telangana state. This study uses 42 years of district-level data of three crops-viz., rice, maize, and groundnut. The estimated Panel-Corrected Standard Error (PCSE) model results found that the impact of weather variables on crops yield are season specific and varies across crops in Telangana. Crops yield, in both Kharif and Rabi seasons, are more sensitive to average maximum temperature (TMax), average minimum temperature (TMin) and rainfall variables. Non-weather variables including fertilizer, irrigation and labor significantly influence crops yield in the state and played role in neutralizing the effects of weather variables. Further, the influence of weather-related variables on crops yield differs on different growth phases of the crops across seasons in Telangana. The study findings clarify the idiosyncratic climatic impacts on agriculture in Telangana and call for location and season-specific adaptation policies to minimize future climatic stress.</t>
  </si>
  <si>
    <t>[Moulkar, Rajeshwar; Peddi, Dayakar] Ctr Econ &amp; Social Studies CESS, Hyderabad, Telangana, India</t>
  </si>
  <si>
    <t>Moulkar, R (corresponding author), Ctr Econ &amp; Social Studies CESS, Hyderabad, Telangana, India.</t>
  </si>
  <si>
    <t>rajeshwarmoulkar.cess@gmail.com</t>
  </si>
  <si>
    <t>1354-7860</t>
  </si>
  <si>
    <t>1469-9648</t>
  </si>
  <si>
    <t>J ASIA PAC ECON</t>
  </si>
  <si>
    <t>J. Asia. Pac. Econ.</t>
  </si>
  <si>
    <t>10.1080/13547860.2023.2230007</t>
  </si>
  <si>
    <t>L9PQ4</t>
  </si>
  <si>
    <t>WOS:001026519200001</t>
  </si>
  <si>
    <t>Nur, AA; Leibbrand, C; Curran, SR; Votruba-Drzal, E; Gibson-Davis, C</t>
  </si>
  <si>
    <t>Nur, Aasli Abdi; Leibbrand, Christine; Curran, Sara R.; Votruba-Drzal, Elizabeth; Gibson-Davis, Christina</t>
  </si>
  <si>
    <t>Managing and minimizing online survey questionnaire fraud: lessons from the Triple C project</t>
  </si>
  <si>
    <t>Covid-19; families; online survey; fraud detection; lessons learned; &gt;</t>
  </si>
  <si>
    <t>With the increasing sophistication of online survey tools and the necessity of distanced research during the COVID-19 pandemic, the use of online questionnaires for research purposes has proliferated. Still, many researchers undertake online survey research without knowledge of the prevalence and likelihood of experiencing survey questionnaire fraud nor familiarity with measures used to identify fraud once it has occurred. This research note is based on the experience of researchers across four sites who implemented an online survey of families' experiences with COVID-19 in the U.S. that was subject to substantial fraud. By the end of data collection, over 70% of responses were flagged as fraudulent with duplicate IP addresses and concurrent start/end times representing the most common indicators of fraud observed. We offer lessons learned to illustrate the sophisticated nature of fraud in online research and the importance of multi-pronged strategies to detect and limit online survey questionnaire fraud.</t>
  </si>
  <si>
    <t>[Nur, Aasli Abdi; Curran, Sara R.] Univ Washington, Dept Sociol, 211 Savery Hall, Seattle, WA 98195 USA; [Leibbrand, Christine] Univ Washington, Off Planning &amp; Budgeting, Seattle, WA 98195 USA; [Votruba-Drzal, Elizabeth] Univ Pittsburgh, Learning Res &amp; Dev Ctr, Dept Psychol, Pittsburgh, PA USA; [Gibson-Davis, Christina] Duke Univ, Sanford Sch Publ Policy, Durham, NC USA</t>
  </si>
  <si>
    <t>University of Washington; University of Washington Seattle; University of Washington; University of Washington Seattle; Pennsylvania Commonwealth System of Higher Education (PCSHE); University of Pittsburgh; Duke University</t>
  </si>
  <si>
    <t>Nur, AA (corresponding author), Univ Washington, Dept Sociol, 211 Savery Hall, Seattle, WA 98195 USA.</t>
  </si>
  <si>
    <t>aasli@uw.edu</t>
  </si>
  <si>
    <t>Nur, Aasli Abdi/0000-0003-2856-0176</t>
  </si>
  <si>
    <t>Eunice Kennedy Shriver National Institute of Child Health and Human Development [P2C HD042828]; Shanahan Endowment Fellowship; Eunice Kennedy Shriver National Institute of Child Health and Human Development training grant [P2C HD065563]; Population Health Initiative at the University of Washington; Sanford School of Public Policy at Duke University; Department of Psychology and the Learning Research and Development Center at University of Pittsburgh; UW's Department of Sociology; UW's Department of Epidemiology; [T32 HD101442-01]</t>
  </si>
  <si>
    <t>Eunice Kennedy Shriver National Institute of Child Health and Human Development(United States Department of Health &amp; Human ServicesNational Institutes of Health (NIH) - USANIH Eunice Kennedy Shriver National Institute of Child Health &amp; Human Development (NICHD)); Shanahan Endowment Fellowship; Eunice Kennedy Shriver National Institute of Child Health and Human Development training grant; Population Health Initiative at the University of Washington; Sanford School of Public Policy at Duke University; Department of Psychology and the Learning Research and Development Center at University of Pittsburgh; UW's Department of Sociology; UW's Department of Epidemiology;</t>
  </si>
  <si>
    <t>Funding for our project comes from two Eunice Kennedy Shriver National Institute of Child Health and Human Development research infrastructure grants: P2C HD042828, to the Center for Studies in Demography &amp; Ecology (CSDE) at the University of Washington and P2C HD065563 to the Duke Population Research Center (DuPri) at Duke University. Additionally, support for research assistance came from a Shanahan Endowment Fellowship and a Eunice Kennedy Shriver National Institute of Child Health and Human Development training grant, T32 HD101442-01, to the UW's Center for Studies in Demography &amp; Ecology. Additional funding was received from seed grants from the Population Health Initiative at the University of Washington, the Sanford School of Public Policy at Duke University, and the Department of Psychology and the Learning Research and Development Center at University of Pittsburgh. Funds also came from the UW's Department of Sociology and UW's Department of Epidemiology.</t>
  </si>
  <si>
    <t>10.1080/13645579.2023.2229651</t>
  </si>
  <si>
    <t>L2DM3</t>
  </si>
  <si>
    <t>WOS:001021413200001</t>
  </si>
  <si>
    <t>Sato, N; Hirai, S; Kogawa, D</t>
  </si>
  <si>
    <t>Sato, Natsuki; Hirai, Shin; Kogawa, Daisuke</t>
  </si>
  <si>
    <t>Expanding roles of footwear science: footwear for everybody</t>
  </si>
  <si>
    <t>[Sato, Natsuki; Hirai, Shin; Kogawa, Daisuke] Mizuno Corp, Osaka, Japan</t>
  </si>
  <si>
    <t>Sato, N (corresponding author), Mizuno Corp, Osaka, Japan.</t>
  </si>
  <si>
    <t>nsato@mizuno.co.jp</t>
  </si>
  <si>
    <t>S1</t>
  </si>
  <si>
    <t>10.1080/19424280.2023.2211389</t>
  </si>
  <si>
    <t>WOS:001021764100001</t>
  </si>
  <si>
    <t>Stout, ME; Keirns, BH; Hawkins, MAW</t>
  </si>
  <si>
    <t>Stout, Madison E. E.; Keirns, Bryant H. H.; Hawkins, Misty A. W.</t>
  </si>
  <si>
    <t>Hypocortisolemic reactivity to acute social stress among lonely young women</t>
  </si>
  <si>
    <t>SOCIAL NEUROSCIENCE</t>
  </si>
  <si>
    <t>loneliness; social pain; HPA axis; cortisol; Cyberball</t>
  </si>
  <si>
    <t>PSYCHOLOGICAL INTERVENTION; CORTISOL RESPONSES; SEX-DIFFERENCES; LONELINESS; EXCLUSION; INFLAMMATION; OXYTOCIN; DISEASE; HEALTH; MEN</t>
  </si>
  <si>
    <t>We examined biopsychosocial stress of acute social pain in relation to chronic loneliness. Hypotheses: 1) Cyberball exclusion (vs. inclusion) would be associated with lower cortisol reactivity to a speech task, and 2) loneliness would moderate the relationship between social exclusion and cortisol reactivity to a speech task, such that higher loneliness would be linked to lower cortisol. Participants (n = 31, women, aged 18-25, 51.6% non-Hispanic white) were randomized to be excluded or included in a game of Cyberball, then completed a speech task. Salivary cortisol was measured at baseline, pre-speech, post-speech, and 15 minutes post-speech. Cortisol reactivity was calculated using area under the curve-increase (AUCi). ANOVA revealed a non-significant, meaningful effect of Cyberball exclusion on cortisol AUCi (p=.103, &amp; eta;(2)(p)=.10), accounting for contraceptive use. Moderation analysis revealed among women with high loneliness, women in the exclusion condition had significantly lower cortisol reactivity than women in the inclusion condition (p=.001). For women with low and medium loneliness, there were no significant differences by Cyberball condition. In sum, lonely young women who are excluded may have hypocortisolemic responses to social stress. Results are consistent with literature suggesting that chronic stress is linked to lower cortisol responses, which is linked to negative physical health outcomes.</t>
  </si>
  <si>
    <t>[Stout, Madison E. E.] Oklahoma State Univ, Dept Psychol, Stillwater, OK USA; [Keirns, Bryant H. H.] Oklahoma State Univ, Dept Nutr Sci, Stillwater, OK USA; [Hawkins, Misty A. W.] Indiana Univ, Dept Hlth &amp; Wellness Design, Bloomington, IN USA; [Hawkins, Misty A. W.] Indiana Univ, Dept Hlth &amp; Wellness Design, 1025 E 7th St, Bloomington, IN 47405 USA</t>
  </si>
  <si>
    <t>Oklahoma State University System; Oklahoma State University - Stillwater; Oklahoma State University System; Oklahoma State University - Stillwater; Indiana University System; Indiana University Bloomington; Indiana University System; Indiana University Bloomington</t>
  </si>
  <si>
    <t>Hawkins, MAW (corresponding author), Indiana Univ, Dept Hlth &amp; Wellness Design, 1025 E 7th St, Bloomington, IN 47405 USA.</t>
  </si>
  <si>
    <t>miahawki@iu.edu</t>
  </si>
  <si>
    <t>Keirns, Bryant/0000-0001-5837-4820</t>
  </si>
  <si>
    <t>Psi Chi, the International Honor Society in Psychology</t>
  </si>
  <si>
    <t>This study was funded in part by Psi Chi, the International Honor Society in Psychology, via the Fall Graduate Research Grant, awarded in December 2021.</t>
  </si>
  <si>
    <t>1747-0919</t>
  </si>
  <si>
    <t>1747-0927</t>
  </si>
  <si>
    <t>SOC NEUROSCI-UK</t>
  </si>
  <si>
    <t>Soc. Neurosci.</t>
  </si>
  <si>
    <t>10.1080/17470919.2023.2229082</t>
  </si>
  <si>
    <t>Neurosciences; Psychology</t>
  </si>
  <si>
    <t>S6SI2</t>
  </si>
  <si>
    <t>WOS:001019894000001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</si>
</sst>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001"/>
  <sheetViews>
    <sheetView tabSelected="1" workbookViewId="0"/>
  </sheetViews>
  <sheetFormatPr baseColWidth="10" defaultColWidth="8.83203125" defaultRowHeight="13" x14ac:dyDescent="0.15"/>
  <sheetData>
    <row r="1" spans="1:72"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15">
      <c r="A2" t="s">
        <v>72</v>
      </c>
      <c r="B2" t="s">
        <v>73</v>
      </c>
      <c r="C2" t="s">
        <v>74</v>
      </c>
      <c r="D2" t="s">
        <v>74</v>
      </c>
      <c r="E2" t="s">
        <v>74</v>
      </c>
      <c r="F2" t="s">
        <v>75</v>
      </c>
      <c r="G2" t="s">
        <v>74</v>
      </c>
      <c r="H2" t="s">
        <v>74</v>
      </c>
      <c r="I2" t="s">
        <v>76</v>
      </c>
      <c r="J2" t="s">
        <v>77</v>
      </c>
      <c r="K2" t="s">
        <v>74</v>
      </c>
      <c r="L2" t="s">
        <v>74</v>
      </c>
      <c r="M2" t="s">
        <v>78</v>
      </c>
      <c r="N2" t="s">
        <v>79</v>
      </c>
      <c r="O2" t="s">
        <v>74</v>
      </c>
      <c r="P2" t="s">
        <v>74</v>
      </c>
      <c r="Q2" t="s">
        <v>74</v>
      </c>
      <c r="R2" t="s">
        <v>74</v>
      </c>
      <c r="S2" t="s">
        <v>74</v>
      </c>
      <c r="T2" t="s">
        <v>80</v>
      </c>
      <c r="U2" t="s">
        <v>81</v>
      </c>
      <c r="V2" t="s">
        <v>82</v>
      </c>
      <c r="W2" t="s">
        <v>83</v>
      </c>
      <c r="X2" t="s">
        <v>84</v>
      </c>
      <c r="Y2" t="s">
        <v>85</v>
      </c>
      <c r="Z2" t="s">
        <v>86</v>
      </c>
      <c r="AA2" t="s">
        <v>87</v>
      </c>
      <c r="AB2" t="s">
        <v>88</v>
      </c>
      <c r="AC2" t="s">
        <v>89</v>
      </c>
      <c r="AD2" t="s">
        <v>90</v>
      </c>
      <c r="AE2" t="s">
        <v>91</v>
      </c>
      <c r="AF2" t="s">
        <v>74</v>
      </c>
      <c r="AG2">
        <v>41</v>
      </c>
      <c r="AH2">
        <v>1</v>
      </c>
      <c r="AI2">
        <v>1</v>
      </c>
      <c r="AJ2">
        <v>24</v>
      </c>
      <c r="AK2">
        <v>49</v>
      </c>
      <c r="AL2" t="s">
        <v>92</v>
      </c>
      <c r="AM2" t="s">
        <v>93</v>
      </c>
      <c r="AN2" t="s">
        <v>94</v>
      </c>
      <c r="AO2" t="s">
        <v>95</v>
      </c>
      <c r="AP2" t="s">
        <v>96</v>
      </c>
      <c r="AQ2" t="s">
        <v>74</v>
      </c>
      <c r="AR2" t="s">
        <v>97</v>
      </c>
      <c r="AS2" t="s">
        <v>98</v>
      </c>
      <c r="AT2" t="s">
        <v>99</v>
      </c>
      <c r="AU2">
        <v>2023</v>
      </c>
      <c r="AV2">
        <v>30</v>
      </c>
      <c r="AW2">
        <v>1</v>
      </c>
      <c r="AX2" t="s">
        <v>74</v>
      </c>
      <c r="AY2" t="s">
        <v>74</v>
      </c>
      <c r="AZ2" t="s">
        <v>74</v>
      </c>
      <c r="BA2" t="s">
        <v>74</v>
      </c>
      <c r="BB2" t="s">
        <v>74</v>
      </c>
      <c r="BC2" t="s">
        <v>74</v>
      </c>
      <c r="BD2">
        <v>2164094</v>
      </c>
      <c r="BE2" t="s">
        <v>100</v>
      </c>
      <c r="BF2" t="str">
        <f>HYPERLINK("http://dx.doi.org/10.1080/10717544.2022.2164094","http://dx.doi.org/10.1080/10717544.2022.2164094")</f>
        <v>http://dx.doi.org/10.1080/10717544.2022.2164094</v>
      </c>
      <c r="BG2" t="s">
        <v>74</v>
      </c>
      <c r="BH2" t="s">
        <v>74</v>
      </c>
      <c r="BI2">
        <v>9</v>
      </c>
      <c r="BJ2" t="s">
        <v>101</v>
      </c>
      <c r="BK2" t="s">
        <v>102</v>
      </c>
      <c r="BL2" t="s">
        <v>101</v>
      </c>
      <c r="BM2" t="s">
        <v>103</v>
      </c>
      <c r="BN2">
        <v>36588399</v>
      </c>
      <c r="BO2" t="s">
        <v>104</v>
      </c>
      <c r="BP2" t="s">
        <v>74</v>
      </c>
      <c r="BQ2" t="s">
        <v>74</v>
      </c>
      <c r="BR2" t="s">
        <v>105</v>
      </c>
      <c r="BS2" t="s">
        <v>106</v>
      </c>
      <c r="BT2" t="str">
        <f>HYPERLINK("https%3A%2F%2Fwww.webofscience.com%2Fwos%2Fwoscc%2Ffull-record%2FWOS:000905718300001","View Full Record in Web of Science")</f>
        <v>View Full Record in Web of Science</v>
      </c>
    </row>
    <row r="3" spans="1:72" x14ac:dyDescent="0.15">
      <c r="A3" t="s">
        <v>72</v>
      </c>
      <c r="B3" t="s">
        <v>107</v>
      </c>
      <c r="C3" t="s">
        <v>74</v>
      </c>
      <c r="D3" t="s">
        <v>74</v>
      </c>
      <c r="E3" t="s">
        <v>74</v>
      </c>
      <c r="F3" t="s">
        <v>108</v>
      </c>
      <c r="G3" t="s">
        <v>74</v>
      </c>
      <c r="H3" t="s">
        <v>74</v>
      </c>
      <c r="I3" t="s">
        <v>109</v>
      </c>
      <c r="J3" t="s">
        <v>110</v>
      </c>
      <c r="K3" t="s">
        <v>74</v>
      </c>
      <c r="L3" t="s">
        <v>74</v>
      </c>
      <c r="M3" t="s">
        <v>78</v>
      </c>
      <c r="N3" t="s">
        <v>79</v>
      </c>
      <c r="O3" t="s">
        <v>74</v>
      </c>
      <c r="P3" t="s">
        <v>74</v>
      </c>
      <c r="Q3" t="s">
        <v>74</v>
      </c>
      <c r="R3" t="s">
        <v>74</v>
      </c>
      <c r="S3" t="s">
        <v>74</v>
      </c>
      <c r="T3" t="s">
        <v>111</v>
      </c>
      <c r="U3" t="s">
        <v>112</v>
      </c>
      <c r="V3" t="s">
        <v>113</v>
      </c>
      <c r="W3" t="s">
        <v>114</v>
      </c>
      <c r="X3" t="s">
        <v>115</v>
      </c>
      <c r="Y3" t="s">
        <v>116</v>
      </c>
      <c r="Z3" t="s">
        <v>117</v>
      </c>
      <c r="AA3" t="s">
        <v>74</v>
      </c>
      <c r="AB3" t="s">
        <v>74</v>
      </c>
      <c r="AC3" t="s">
        <v>74</v>
      </c>
      <c r="AD3" t="s">
        <v>74</v>
      </c>
      <c r="AE3" t="s">
        <v>74</v>
      </c>
      <c r="AF3" t="s">
        <v>74</v>
      </c>
      <c r="AG3">
        <v>46</v>
      </c>
      <c r="AH3">
        <v>0</v>
      </c>
      <c r="AI3">
        <v>0</v>
      </c>
      <c r="AJ3">
        <v>4</v>
      </c>
      <c r="AK3">
        <v>4</v>
      </c>
      <c r="AL3" t="s">
        <v>92</v>
      </c>
      <c r="AM3" t="s">
        <v>93</v>
      </c>
      <c r="AN3" t="s">
        <v>94</v>
      </c>
      <c r="AO3" t="s">
        <v>118</v>
      </c>
      <c r="AP3" t="s">
        <v>74</v>
      </c>
      <c r="AQ3" t="s">
        <v>74</v>
      </c>
      <c r="AR3" t="s">
        <v>119</v>
      </c>
      <c r="AS3" t="s">
        <v>120</v>
      </c>
      <c r="AT3" t="s">
        <v>99</v>
      </c>
      <c r="AU3">
        <v>2023</v>
      </c>
      <c r="AV3">
        <v>19</v>
      </c>
      <c r="AW3">
        <v>1</v>
      </c>
      <c r="AX3" t="s">
        <v>74</v>
      </c>
      <c r="AY3" t="s">
        <v>74</v>
      </c>
      <c r="AZ3" t="s">
        <v>74</v>
      </c>
      <c r="BA3" t="s">
        <v>74</v>
      </c>
      <c r="BB3" t="s">
        <v>74</v>
      </c>
      <c r="BC3" t="s">
        <v>74</v>
      </c>
      <c r="BD3" t="s">
        <v>74</v>
      </c>
      <c r="BE3" t="s">
        <v>121</v>
      </c>
      <c r="BF3" t="str">
        <f>HYPERLINK("http://dx.doi.org/10.1080/17445647.2023.2235385","http://dx.doi.org/10.1080/17445647.2023.2235385")</f>
        <v>http://dx.doi.org/10.1080/17445647.2023.2235385</v>
      </c>
      <c r="BG3" t="s">
        <v>74</v>
      </c>
      <c r="BH3" t="s">
        <v>74</v>
      </c>
      <c r="BI3">
        <v>9</v>
      </c>
      <c r="BJ3" t="s">
        <v>122</v>
      </c>
      <c r="BK3" t="s">
        <v>123</v>
      </c>
      <c r="BL3" t="s">
        <v>124</v>
      </c>
      <c r="BM3" t="s">
        <v>125</v>
      </c>
      <c r="BN3" t="s">
        <v>74</v>
      </c>
      <c r="BO3" t="s">
        <v>126</v>
      </c>
      <c r="BP3" t="s">
        <v>74</v>
      </c>
      <c r="BQ3" t="s">
        <v>74</v>
      </c>
      <c r="BR3" t="s">
        <v>105</v>
      </c>
      <c r="BS3" t="s">
        <v>127</v>
      </c>
      <c r="BT3" t="str">
        <f>HYPERLINK("https%3A%2F%2Fwww.webofscience.com%2Fwos%2Fwoscc%2Ffull-record%2FWOS:001036789500001","View Full Record in Web of Science")</f>
        <v>View Full Record in Web of Science</v>
      </c>
    </row>
    <row r="4" spans="1:72" x14ac:dyDescent="0.15">
      <c r="A4" t="s">
        <v>72</v>
      </c>
      <c r="B4" t="s">
        <v>128</v>
      </c>
      <c r="C4" t="s">
        <v>74</v>
      </c>
      <c r="D4" t="s">
        <v>74</v>
      </c>
      <c r="E4" t="s">
        <v>74</v>
      </c>
      <c r="F4" t="s">
        <v>129</v>
      </c>
      <c r="G4" t="s">
        <v>74</v>
      </c>
      <c r="H4" t="s">
        <v>74</v>
      </c>
      <c r="I4" t="s">
        <v>130</v>
      </c>
      <c r="J4" t="s">
        <v>131</v>
      </c>
      <c r="K4" t="s">
        <v>74</v>
      </c>
      <c r="L4" t="s">
        <v>74</v>
      </c>
      <c r="M4" t="s">
        <v>78</v>
      </c>
      <c r="N4" t="s">
        <v>79</v>
      </c>
      <c r="O4" t="s">
        <v>74</v>
      </c>
      <c r="P4" t="s">
        <v>74</v>
      </c>
      <c r="Q4" t="s">
        <v>74</v>
      </c>
      <c r="R4" t="s">
        <v>74</v>
      </c>
      <c r="S4" t="s">
        <v>74</v>
      </c>
      <c r="T4" t="s">
        <v>132</v>
      </c>
      <c r="U4" t="s">
        <v>133</v>
      </c>
      <c r="V4" t="s">
        <v>134</v>
      </c>
      <c r="W4" t="s">
        <v>135</v>
      </c>
      <c r="X4" t="s">
        <v>136</v>
      </c>
      <c r="Y4" t="s">
        <v>137</v>
      </c>
      <c r="Z4" t="s">
        <v>138</v>
      </c>
      <c r="AA4" t="s">
        <v>74</v>
      </c>
      <c r="AB4" t="s">
        <v>74</v>
      </c>
      <c r="AC4" t="s">
        <v>139</v>
      </c>
      <c r="AD4" t="s">
        <v>140</v>
      </c>
      <c r="AE4" t="s">
        <v>141</v>
      </c>
      <c r="AF4" t="s">
        <v>74</v>
      </c>
      <c r="AG4">
        <v>15</v>
      </c>
      <c r="AH4">
        <v>0</v>
      </c>
      <c r="AI4">
        <v>0</v>
      </c>
      <c r="AJ4">
        <v>2</v>
      </c>
      <c r="AK4">
        <v>2</v>
      </c>
      <c r="AL4" t="s">
        <v>92</v>
      </c>
      <c r="AM4" t="s">
        <v>93</v>
      </c>
      <c r="AN4" t="s">
        <v>94</v>
      </c>
      <c r="AO4" t="s">
        <v>142</v>
      </c>
      <c r="AP4" t="s">
        <v>143</v>
      </c>
      <c r="AQ4" t="s">
        <v>74</v>
      </c>
      <c r="AR4" t="s">
        <v>131</v>
      </c>
      <c r="AS4" t="s">
        <v>144</v>
      </c>
      <c r="AT4" t="s">
        <v>99</v>
      </c>
      <c r="AU4">
        <v>2023</v>
      </c>
      <c r="AV4">
        <v>28</v>
      </c>
      <c r="AW4">
        <v>1</v>
      </c>
      <c r="AX4" t="s">
        <v>74</v>
      </c>
      <c r="AY4" t="s">
        <v>74</v>
      </c>
      <c r="AZ4" t="s">
        <v>74</v>
      </c>
      <c r="BA4" t="s">
        <v>74</v>
      </c>
      <c r="BB4" t="s">
        <v>74</v>
      </c>
      <c r="BC4" t="s">
        <v>74</v>
      </c>
      <c r="BD4">
        <v>2229115</v>
      </c>
      <c r="BE4" t="s">
        <v>145</v>
      </c>
      <c r="BF4" t="str">
        <f>HYPERLINK("http://dx.doi.org/10.1080/16078454.2023.2229115","http://dx.doi.org/10.1080/16078454.2023.2229115")</f>
        <v>http://dx.doi.org/10.1080/16078454.2023.2229115</v>
      </c>
      <c r="BG4" t="s">
        <v>74</v>
      </c>
      <c r="BH4" t="s">
        <v>74</v>
      </c>
      <c r="BI4">
        <v>3</v>
      </c>
      <c r="BJ4" t="s">
        <v>144</v>
      </c>
      <c r="BK4" t="s">
        <v>102</v>
      </c>
      <c r="BL4" t="s">
        <v>144</v>
      </c>
      <c r="BM4" t="s">
        <v>146</v>
      </c>
      <c r="BN4">
        <v>37519115</v>
      </c>
      <c r="BO4" t="s">
        <v>126</v>
      </c>
      <c r="BP4" t="s">
        <v>74</v>
      </c>
      <c r="BQ4" t="s">
        <v>74</v>
      </c>
      <c r="BR4" t="s">
        <v>105</v>
      </c>
      <c r="BS4" t="s">
        <v>147</v>
      </c>
      <c r="BT4" t="str">
        <f>HYPERLINK("https%3A%2F%2Fwww.webofscience.com%2Fwos%2Fwoscc%2Ffull-record%2FWOS:001040803800001","View Full Record in Web of Science")</f>
        <v>View Full Record in Web of Science</v>
      </c>
    </row>
    <row r="5" spans="1:72" x14ac:dyDescent="0.15">
      <c r="A5" t="s">
        <v>72</v>
      </c>
      <c r="B5" t="s">
        <v>148</v>
      </c>
      <c r="C5" t="s">
        <v>74</v>
      </c>
      <c r="D5" t="s">
        <v>74</v>
      </c>
      <c r="E5" t="s">
        <v>74</v>
      </c>
      <c r="F5" t="s">
        <v>149</v>
      </c>
      <c r="G5" t="s">
        <v>74</v>
      </c>
      <c r="H5" t="s">
        <v>74</v>
      </c>
      <c r="I5" t="s">
        <v>150</v>
      </c>
      <c r="J5" t="s">
        <v>151</v>
      </c>
      <c r="K5" t="s">
        <v>74</v>
      </c>
      <c r="L5" t="s">
        <v>74</v>
      </c>
      <c r="M5" t="s">
        <v>78</v>
      </c>
      <c r="N5" t="s">
        <v>79</v>
      </c>
      <c r="O5" t="s">
        <v>74</v>
      </c>
      <c r="P5" t="s">
        <v>74</v>
      </c>
      <c r="Q5" t="s">
        <v>74</v>
      </c>
      <c r="R5" t="s">
        <v>74</v>
      </c>
      <c r="S5" t="s">
        <v>74</v>
      </c>
      <c r="T5" t="s">
        <v>152</v>
      </c>
      <c r="U5" t="s">
        <v>153</v>
      </c>
      <c r="V5" t="s">
        <v>154</v>
      </c>
      <c r="W5" t="s">
        <v>155</v>
      </c>
      <c r="X5" t="s">
        <v>156</v>
      </c>
      <c r="Y5" t="s">
        <v>157</v>
      </c>
      <c r="Z5" t="s">
        <v>158</v>
      </c>
      <c r="AA5" t="s">
        <v>74</v>
      </c>
      <c r="AB5" t="s">
        <v>159</v>
      </c>
      <c r="AC5" t="s">
        <v>74</v>
      </c>
      <c r="AD5" t="s">
        <v>74</v>
      </c>
      <c r="AE5" t="s">
        <v>74</v>
      </c>
      <c r="AF5" t="s">
        <v>74</v>
      </c>
      <c r="AG5">
        <v>99</v>
      </c>
      <c r="AH5">
        <v>0</v>
      </c>
      <c r="AI5">
        <v>0</v>
      </c>
      <c r="AJ5">
        <v>6</v>
      </c>
      <c r="AK5">
        <v>17</v>
      </c>
      <c r="AL5" t="s">
        <v>92</v>
      </c>
      <c r="AM5" t="s">
        <v>93</v>
      </c>
      <c r="AN5" t="s">
        <v>94</v>
      </c>
      <c r="AO5" t="s">
        <v>74</v>
      </c>
      <c r="AP5" t="s">
        <v>160</v>
      </c>
      <c r="AQ5" t="s">
        <v>74</v>
      </c>
      <c r="AR5" t="s">
        <v>151</v>
      </c>
      <c r="AS5" t="s">
        <v>161</v>
      </c>
      <c r="AT5" t="s">
        <v>99</v>
      </c>
      <c r="AU5">
        <v>2023</v>
      </c>
      <c r="AV5">
        <v>16</v>
      </c>
      <c r="AW5">
        <v>1</v>
      </c>
      <c r="AX5" t="s">
        <v>74</v>
      </c>
      <c r="AY5" t="s">
        <v>74</v>
      </c>
      <c r="AZ5" t="s">
        <v>74</v>
      </c>
      <c r="BA5" t="s">
        <v>74</v>
      </c>
      <c r="BB5" t="s">
        <v>74</v>
      </c>
      <c r="BC5" t="s">
        <v>74</v>
      </c>
      <c r="BD5">
        <v>2147289</v>
      </c>
      <c r="BE5" t="s">
        <v>162</v>
      </c>
      <c r="BF5" t="str">
        <f>HYPERLINK("http://dx.doi.org/10.1080/16549716.2022.2147289","http://dx.doi.org/10.1080/16549716.2022.2147289")</f>
        <v>http://dx.doi.org/10.1080/16549716.2022.2147289</v>
      </c>
      <c r="BG5" t="s">
        <v>74</v>
      </c>
      <c r="BH5" t="s">
        <v>74</v>
      </c>
      <c r="BI5">
        <v>14</v>
      </c>
      <c r="BJ5" t="s">
        <v>163</v>
      </c>
      <c r="BK5" t="s">
        <v>123</v>
      </c>
      <c r="BL5" t="s">
        <v>163</v>
      </c>
      <c r="BM5" t="s">
        <v>164</v>
      </c>
      <c r="BN5">
        <v>36507905</v>
      </c>
      <c r="BO5" t="s">
        <v>165</v>
      </c>
      <c r="BP5" t="s">
        <v>74</v>
      </c>
      <c r="BQ5" t="s">
        <v>74</v>
      </c>
      <c r="BR5" t="s">
        <v>105</v>
      </c>
      <c r="BS5" t="s">
        <v>166</v>
      </c>
      <c r="BT5" t="str">
        <f>HYPERLINK("https%3A%2F%2Fwww.webofscience.com%2Fwos%2Fwoscc%2Ffull-record%2FWOS:000897084600001","View Full Record in Web of Science")</f>
        <v>View Full Record in Web of Science</v>
      </c>
    </row>
    <row r="6" spans="1:72" x14ac:dyDescent="0.15">
      <c r="A6" t="s">
        <v>72</v>
      </c>
      <c r="B6" t="s">
        <v>167</v>
      </c>
      <c r="C6" t="s">
        <v>74</v>
      </c>
      <c r="D6" t="s">
        <v>74</v>
      </c>
      <c r="E6" t="s">
        <v>74</v>
      </c>
      <c r="F6" t="s">
        <v>168</v>
      </c>
      <c r="G6" t="s">
        <v>74</v>
      </c>
      <c r="H6" t="s">
        <v>74</v>
      </c>
      <c r="I6" t="s">
        <v>169</v>
      </c>
      <c r="J6" t="s">
        <v>170</v>
      </c>
      <c r="K6" t="s">
        <v>74</v>
      </c>
      <c r="L6" t="s">
        <v>74</v>
      </c>
      <c r="M6" t="s">
        <v>78</v>
      </c>
      <c r="N6" t="s">
        <v>171</v>
      </c>
      <c r="O6" t="s">
        <v>74</v>
      </c>
      <c r="P6" t="s">
        <v>74</v>
      </c>
      <c r="Q6" t="s">
        <v>74</v>
      </c>
      <c r="R6" t="s">
        <v>74</v>
      </c>
      <c r="S6" t="s">
        <v>74</v>
      </c>
      <c r="T6" t="s">
        <v>172</v>
      </c>
      <c r="U6" t="s">
        <v>173</v>
      </c>
      <c r="V6" t="s">
        <v>174</v>
      </c>
      <c r="W6" t="s">
        <v>175</v>
      </c>
      <c r="X6" t="s">
        <v>176</v>
      </c>
      <c r="Y6" t="s">
        <v>177</v>
      </c>
      <c r="Z6" t="s">
        <v>178</v>
      </c>
      <c r="AA6" t="s">
        <v>179</v>
      </c>
      <c r="AB6" t="s">
        <v>180</v>
      </c>
      <c r="AC6" t="s">
        <v>181</v>
      </c>
      <c r="AD6" t="s">
        <v>182</v>
      </c>
      <c r="AE6" t="s">
        <v>183</v>
      </c>
      <c r="AF6" t="s">
        <v>74</v>
      </c>
      <c r="AG6">
        <v>46</v>
      </c>
      <c r="AH6">
        <v>0</v>
      </c>
      <c r="AI6">
        <v>0</v>
      </c>
      <c r="AJ6">
        <v>14</v>
      </c>
      <c r="AK6">
        <v>14</v>
      </c>
      <c r="AL6" t="s">
        <v>184</v>
      </c>
      <c r="AM6" t="s">
        <v>185</v>
      </c>
      <c r="AN6" t="s">
        <v>186</v>
      </c>
      <c r="AO6" t="s">
        <v>187</v>
      </c>
      <c r="AP6" t="s">
        <v>188</v>
      </c>
      <c r="AQ6" t="s">
        <v>74</v>
      </c>
      <c r="AR6" t="s">
        <v>189</v>
      </c>
      <c r="AS6" t="s">
        <v>190</v>
      </c>
      <c r="AT6" t="s">
        <v>99</v>
      </c>
      <c r="AU6">
        <v>2023</v>
      </c>
      <c r="AV6">
        <v>26</v>
      </c>
      <c r="AW6">
        <v>1</v>
      </c>
      <c r="AX6" t="s">
        <v>74</v>
      </c>
      <c r="AY6" t="s">
        <v>74</v>
      </c>
      <c r="AZ6" t="s">
        <v>74</v>
      </c>
      <c r="BA6" t="s">
        <v>74</v>
      </c>
      <c r="BB6">
        <v>1414</v>
      </c>
      <c r="BC6">
        <v>1425</v>
      </c>
      <c r="BD6" t="s">
        <v>74</v>
      </c>
      <c r="BE6" t="s">
        <v>191</v>
      </c>
      <c r="BF6" t="str">
        <f>HYPERLINK("http://dx.doi.org/10.1080/10942912.2023.2215475","http://dx.doi.org/10.1080/10942912.2023.2215475")</f>
        <v>http://dx.doi.org/10.1080/10942912.2023.2215475</v>
      </c>
      <c r="BG6" t="s">
        <v>74</v>
      </c>
      <c r="BH6" t="s">
        <v>74</v>
      </c>
      <c r="BI6">
        <v>12</v>
      </c>
      <c r="BJ6" t="s">
        <v>192</v>
      </c>
      <c r="BK6" t="s">
        <v>102</v>
      </c>
      <c r="BL6" t="s">
        <v>192</v>
      </c>
      <c r="BM6" t="s">
        <v>193</v>
      </c>
      <c r="BN6" t="s">
        <v>74</v>
      </c>
      <c r="BO6" t="s">
        <v>126</v>
      </c>
      <c r="BP6" t="s">
        <v>74</v>
      </c>
      <c r="BQ6" t="s">
        <v>74</v>
      </c>
      <c r="BR6" t="s">
        <v>105</v>
      </c>
      <c r="BS6" t="s">
        <v>194</v>
      </c>
      <c r="BT6" t="str">
        <f>HYPERLINK("https%3A%2F%2Fwww.webofscience.com%2Fwos%2Fwoscc%2Ffull-record%2FWOS:001009059000001","View Full Record in Web of Science")</f>
        <v>View Full Record in Web of Science</v>
      </c>
    </row>
    <row r="7" spans="1:72" x14ac:dyDescent="0.15">
      <c r="A7" t="s">
        <v>72</v>
      </c>
      <c r="B7" t="s">
        <v>195</v>
      </c>
      <c r="C7" t="s">
        <v>74</v>
      </c>
      <c r="D7" t="s">
        <v>74</v>
      </c>
      <c r="E7" t="s">
        <v>74</v>
      </c>
      <c r="F7" t="s">
        <v>196</v>
      </c>
      <c r="G7" t="s">
        <v>74</v>
      </c>
      <c r="H7" t="s">
        <v>74</v>
      </c>
      <c r="I7" t="s">
        <v>197</v>
      </c>
      <c r="J7" t="s">
        <v>198</v>
      </c>
      <c r="K7" t="s">
        <v>74</v>
      </c>
      <c r="L7" t="s">
        <v>74</v>
      </c>
      <c r="M7" t="s">
        <v>78</v>
      </c>
      <c r="N7" t="s">
        <v>79</v>
      </c>
      <c r="O7" t="s">
        <v>74</v>
      </c>
      <c r="P7" t="s">
        <v>74</v>
      </c>
      <c r="Q7" t="s">
        <v>74</v>
      </c>
      <c r="R7" t="s">
        <v>74</v>
      </c>
      <c r="S7" t="s">
        <v>74</v>
      </c>
      <c r="T7" t="s">
        <v>199</v>
      </c>
      <c r="U7" t="s">
        <v>200</v>
      </c>
      <c r="V7" t="s">
        <v>201</v>
      </c>
      <c r="W7" t="s">
        <v>202</v>
      </c>
      <c r="X7" t="s">
        <v>203</v>
      </c>
      <c r="Y7" t="s">
        <v>204</v>
      </c>
      <c r="Z7" t="s">
        <v>205</v>
      </c>
      <c r="AA7" t="s">
        <v>74</v>
      </c>
      <c r="AB7" t="s">
        <v>74</v>
      </c>
      <c r="AC7" t="s">
        <v>74</v>
      </c>
      <c r="AD7" t="s">
        <v>74</v>
      </c>
      <c r="AE7" t="s">
        <v>74</v>
      </c>
      <c r="AF7" t="s">
        <v>74</v>
      </c>
      <c r="AG7">
        <v>22</v>
      </c>
      <c r="AH7">
        <v>0</v>
      </c>
      <c r="AI7">
        <v>0</v>
      </c>
      <c r="AJ7">
        <v>1</v>
      </c>
      <c r="AK7">
        <v>1</v>
      </c>
      <c r="AL7" t="s">
        <v>92</v>
      </c>
      <c r="AM7" t="s">
        <v>93</v>
      </c>
      <c r="AN7" t="s">
        <v>94</v>
      </c>
      <c r="AO7" t="s">
        <v>74</v>
      </c>
      <c r="AP7" t="s">
        <v>206</v>
      </c>
      <c r="AQ7" t="s">
        <v>74</v>
      </c>
      <c r="AR7" t="s">
        <v>207</v>
      </c>
      <c r="AS7" t="s">
        <v>208</v>
      </c>
      <c r="AT7" t="s">
        <v>99</v>
      </c>
      <c r="AU7">
        <v>2023</v>
      </c>
      <c r="AV7">
        <v>39</v>
      </c>
      <c r="AW7">
        <v>1</v>
      </c>
      <c r="AX7" t="s">
        <v>74</v>
      </c>
      <c r="AY7" t="s">
        <v>74</v>
      </c>
      <c r="AZ7" t="s">
        <v>74</v>
      </c>
      <c r="BA7" t="s">
        <v>74</v>
      </c>
      <c r="BB7">
        <v>426</v>
      </c>
      <c r="BC7">
        <v>431</v>
      </c>
      <c r="BD7" t="s">
        <v>74</v>
      </c>
      <c r="BE7" t="s">
        <v>209</v>
      </c>
      <c r="BF7" t="str">
        <f>HYPERLINK("http://dx.doi.org/10.1080/11101849.2023.2213936","http://dx.doi.org/10.1080/11101849.2023.2213936")</f>
        <v>http://dx.doi.org/10.1080/11101849.2023.2213936</v>
      </c>
      <c r="BG7" t="s">
        <v>74</v>
      </c>
      <c r="BH7" t="s">
        <v>74</v>
      </c>
      <c r="BI7">
        <v>6</v>
      </c>
      <c r="BJ7" t="s">
        <v>210</v>
      </c>
      <c r="BK7" t="s">
        <v>211</v>
      </c>
      <c r="BL7" t="s">
        <v>210</v>
      </c>
      <c r="BM7" t="s">
        <v>212</v>
      </c>
      <c r="BN7" t="s">
        <v>74</v>
      </c>
      <c r="BO7" t="s">
        <v>126</v>
      </c>
      <c r="BP7" t="s">
        <v>74</v>
      </c>
      <c r="BQ7" t="s">
        <v>74</v>
      </c>
      <c r="BR7" t="s">
        <v>105</v>
      </c>
      <c r="BS7" t="s">
        <v>213</v>
      </c>
      <c r="BT7" t="str">
        <f>HYPERLINK("https%3A%2F%2Fwww.webofscience.com%2Fwos%2Fwoscc%2Ffull-record%2FWOS:000990495300001","View Full Record in Web of Science")</f>
        <v>View Full Record in Web of Science</v>
      </c>
    </row>
    <row r="8" spans="1:72" x14ac:dyDescent="0.15">
      <c r="A8" t="s">
        <v>72</v>
      </c>
      <c r="B8" t="s">
        <v>214</v>
      </c>
      <c r="C8" t="s">
        <v>74</v>
      </c>
      <c r="D8" t="s">
        <v>74</v>
      </c>
      <c r="E8" t="s">
        <v>74</v>
      </c>
      <c r="F8" t="s">
        <v>215</v>
      </c>
      <c r="G8" t="s">
        <v>74</v>
      </c>
      <c r="H8" t="s">
        <v>74</v>
      </c>
      <c r="I8" t="s">
        <v>216</v>
      </c>
      <c r="J8" t="s">
        <v>217</v>
      </c>
      <c r="K8" t="s">
        <v>74</v>
      </c>
      <c r="L8" t="s">
        <v>74</v>
      </c>
      <c r="M8" t="s">
        <v>78</v>
      </c>
      <c r="N8" t="s">
        <v>79</v>
      </c>
      <c r="O8" t="s">
        <v>74</v>
      </c>
      <c r="P8" t="s">
        <v>74</v>
      </c>
      <c r="Q8" t="s">
        <v>74</v>
      </c>
      <c r="R8" t="s">
        <v>74</v>
      </c>
      <c r="S8" t="s">
        <v>74</v>
      </c>
      <c r="T8" t="s">
        <v>218</v>
      </c>
      <c r="U8" t="s">
        <v>219</v>
      </c>
      <c r="V8" t="s">
        <v>220</v>
      </c>
      <c r="W8" t="s">
        <v>221</v>
      </c>
      <c r="X8" t="s">
        <v>222</v>
      </c>
      <c r="Y8" t="s">
        <v>223</v>
      </c>
      <c r="Z8" t="s">
        <v>224</v>
      </c>
      <c r="AA8" t="s">
        <v>74</v>
      </c>
      <c r="AB8" t="s">
        <v>74</v>
      </c>
      <c r="AC8" t="s">
        <v>225</v>
      </c>
      <c r="AD8" t="s">
        <v>225</v>
      </c>
      <c r="AE8" t="s">
        <v>225</v>
      </c>
      <c r="AF8" t="s">
        <v>74</v>
      </c>
      <c r="AG8">
        <v>42</v>
      </c>
      <c r="AH8">
        <v>0</v>
      </c>
      <c r="AI8">
        <v>0</v>
      </c>
      <c r="AJ8">
        <v>0</v>
      </c>
      <c r="AK8">
        <v>0</v>
      </c>
      <c r="AL8" t="s">
        <v>92</v>
      </c>
      <c r="AM8" t="s">
        <v>93</v>
      </c>
      <c r="AN8" t="s">
        <v>94</v>
      </c>
      <c r="AO8" t="s">
        <v>226</v>
      </c>
      <c r="AP8" t="s">
        <v>227</v>
      </c>
      <c r="AQ8" t="s">
        <v>74</v>
      </c>
      <c r="AR8" t="s">
        <v>228</v>
      </c>
      <c r="AS8" t="s">
        <v>229</v>
      </c>
      <c r="AT8" t="s">
        <v>99</v>
      </c>
      <c r="AU8">
        <v>2023</v>
      </c>
      <c r="AV8">
        <v>82</v>
      </c>
      <c r="AW8">
        <v>1</v>
      </c>
      <c r="AX8" t="s">
        <v>74</v>
      </c>
      <c r="AY8" t="s">
        <v>74</v>
      </c>
      <c r="AZ8" t="s">
        <v>74</v>
      </c>
      <c r="BA8" t="s">
        <v>74</v>
      </c>
      <c r="BB8" t="s">
        <v>74</v>
      </c>
      <c r="BC8" t="s">
        <v>74</v>
      </c>
      <c r="BD8">
        <v>2252595</v>
      </c>
      <c r="BE8" t="s">
        <v>230</v>
      </c>
      <c r="BF8" t="str">
        <f>HYPERLINK("http://dx.doi.org/10.1080/22423982.2023.2252595","http://dx.doi.org/10.1080/22423982.2023.2252595")</f>
        <v>http://dx.doi.org/10.1080/22423982.2023.2252595</v>
      </c>
      <c r="BG8" t="s">
        <v>74</v>
      </c>
      <c r="BH8" t="s">
        <v>74</v>
      </c>
      <c r="BI8">
        <v>15</v>
      </c>
      <c r="BJ8" t="s">
        <v>163</v>
      </c>
      <c r="BK8" t="s">
        <v>123</v>
      </c>
      <c r="BL8" t="s">
        <v>163</v>
      </c>
      <c r="BM8" t="s">
        <v>231</v>
      </c>
      <c r="BN8">
        <v>37656164</v>
      </c>
      <c r="BO8" t="s">
        <v>126</v>
      </c>
      <c r="BP8" t="s">
        <v>74</v>
      </c>
      <c r="BQ8" t="s">
        <v>74</v>
      </c>
      <c r="BR8" t="s">
        <v>105</v>
      </c>
      <c r="BS8" t="s">
        <v>232</v>
      </c>
      <c r="BT8" t="str">
        <f>HYPERLINK("https%3A%2F%2Fwww.webofscience.com%2Fwos%2Fwoscc%2Ffull-record%2FWOS:001059842200001","View Full Record in Web of Science")</f>
        <v>View Full Record in Web of Science</v>
      </c>
    </row>
    <row r="9" spans="1:72" x14ac:dyDescent="0.15">
      <c r="A9" t="s">
        <v>72</v>
      </c>
      <c r="B9" t="s">
        <v>233</v>
      </c>
      <c r="C9" t="s">
        <v>74</v>
      </c>
      <c r="D9" t="s">
        <v>74</v>
      </c>
      <c r="E9" t="s">
        <v>74</v>
      </c>
      <c r="F9" t="s">
        <v>234</v>
      </c>
      <c r="G9" t="s">
        <v>74</v>
      </c>
      <c r="H9" t="s">
        <v>74</v>
      </c>
      <c r="I9" t="s">
        <v>235</v>
      </c>
      <c r="J9" t="s">
        <v>236</v>
      </c>
      <c r="K9" t="s">
        <v>74</v>
      </c>
      <c r="L9" t="s">
        <v>74</v>
      </c>
      <c r="M9" t="s">
        <v>78</v>
      </c>
      <c r="N9" t="s">
        <v>79</v>
      </c>
      <c r="O9" t="s">
        <v>74</v>
      </c>
      <c r="P9" t="s">
        <v>74</v>
      </c>
      <c r="Q9" t="s">
        <v>74</v>
      </c>
      <c r="R9" t="s">
        <v>74</v>
      </c>
      <c r="S9" t="s">
        <v>74</v>
      </c>
      <c r="T9" t="s">
        <v>237</v>
      </c>
      <c r="U9" t="s">
        <v>238</v>
      </c>
      <c r="V9" t="s">
        <v>239</v>
      </c>
      <c r="W9" t="s">
        <v>240</v>
      </c>
      <c r="X9" t="s">
        <v>241</v>
      </c>
      <c r="Y9" t="s">
        <v>242</v>
      </c>
      <c r="Z9" t="s">
        <v>243</v>
      </c>
      <c r="AA9" t="s">
        <v>74</v>
      </c>
      <c r="AB9" t="s">
        <v>74</v>
      </c>
      <c r="AC9" t="s">
        <v>244</v>
      </c>
      <c r="AD9" t="s">
        <v>245</v>
      </c>
      <c r="AE9" t="s">
        <v>246</v>
      </c>
      <c r="AF9" t="s">
        <v>74</v>
      </c>
      <c r="AG9">
        <v>66</v>
      </c>
      <c r="AH9">
        <v>0</v>
      </c>
      <c r="AI9">
        <v>0</v>
      </c>
      <c r="AJ9">
        <v>2</v>
      </c>
      <c r="AK9">
        <v>2</v>
      </c>
      <c r="AL9" t="s">
        <v>92</v>
      </c>
      <c r="AM9" t="s">
        <v>93</v>
      </c>
      <c r="AN9" t="s">
        <v>94</v>
      </c>
      <c r="AO9" t="s">
        <v>74</v>
      </c>
      <c r="AP9" t="s">
        <v>247</v>
      </c>
      <c r="AQ9" t="s">
        <v>74</v>
      </c>
      <c r="AR9" t="s">
        <v>248</v>
      </c>
      <c r="AS9" t="s">
        <v>249</v>
      </c>
      <c r="AT9" t="s">
        <v>99</v>
      </c>
      <c r="AU9">
        <v>2023</v>
      </c>
      <c r="AV9">
        <v>31</v>
      </c>
      <c r="AW9">
        <v>1</v>
      </c>
      <c r="AX9" t="s">
        <v>74</v>
      </c>
      <c r="AY9" t="s">
        <v>74</v>
      </c>
      <c r="AZ9" t="s">
        <v>74</v>
      </c>
      <c r="BA9" t="s">
        <v>74</v>
      </c>
      <c r="BB9" t="s">
        <v>74</v>
      </c>
      <c r="BC9" t="s">
        <v>74</v>
      </c>
      <c r="BD9">
        <v>2232091</v>
      </c>
      <c r="BE9" t="s">
        <v>250</v>
      </c>
      <c r="BF9" t="str">
        <f>HYPERLINK("http://dx.doi.org/10.1080/27690911.2023.2232091","http://dx.doi.org/10.1080/27690911.2023.2232091")</f>
        <v>http://dx.doi.org/10.1080/27690911.2023.2232091</v>
      </c>
      <c r="BG9" t="s">
        <v>74</v>
      </c>
      <c r="BH9" t="s">
        <v>74</v>
      </c>
      <c r="BI9">
        <v>19</v>
      </c>
      <c r="BJ9" t="s">
        <v>251</v>
      </c>
      <c r="BK9" t="s">
        <v>102</v>
      </c>
      <c r="BL9" t="s">
        <v>252</v>
      </c>
      <c r="BM9" t="s">
        <v>253</v>
      </c>
      <c r="BN9" t="s">
        <v>74</v>
      </c>
      <c r="BO9" t="s">
        <v>126</v>
      </c>
      <c r="BP9" t="s">
        <v>74</v>
      </c>
      <c r="BQ9" t="s">
        <v>74</v>
      </c>
      <c r="BR9" t="s">
        <v>105</v>
      </c>
      <c r="BS9" t="s">
        <v>254</v>
      </c>
      <c r="BT9" t="str">
        <f>HYPERLINK("https%3A%2F%2Fwww.webofscience.com%2Fwos%2Fwoscc%2Ffull-record%2FWOS:001026221000001","View Full Record in Web of Science")</f>
        <v>View Full Record in Web of Science</v>
      </c>
    </row>
    <row r="10" spans="1:72" x14ac:dyDescent="0.15">
      <c r="A10" t="s">
        <v>72</v>
      </c>
      <c r="B10" t="s">
        <v>255</v>
      </c>
      <c r="C10" t="s">
        <v>74</v>
      </c>
      <c r="D10" t="s">
        <v>74</v>
      </c>
      <c r="E10" t="s">
        <v>74</v>
      </c>
      <c r="F10" t="s">
        <v>256</v>
      </c>
      <c r="G10" t="s">
        <v>74</v>
      </c>
      <c r="H10" t="s">
        <v>74</v>
      </c>
      <c r="I10" t="s">
        <v>257</v>
      </c>
      <c r="J10" t="s">
        <v>258</v>
      </c>
      <c r="K10" t="s">
        <v>74</v>
      </c>
      <c r="L10" t="s">
        <v>74</v>
      </c>
      <c r="M10" t="s">
        <v>78</v>
      </c>
      <c r="N10" t="s">
        <v>79</v>
      </c>
      <c r="O10" t="s">
        <v>74</v>
      </c>
      <c r="P10" t="s">
        <v>74</v>
      </c>
      <c r="Q10" t="s">
        <v>74</v>
      </c>
      <c r="R10" t="s">
        <v>74</v>
      </c>
      <c r="S10" t="s">
        <v>74</v>
      </c>
      <c r="T10" t="s">
        <v>259</v>
      </c>
      <c r="U10" t="s">
        <v>260</v>
      </c>
      <c r="V10" t="s">
        <v>261</v>
      </c>
      <c r="W10" t="s">
        <v>262</v>
      </c>
      <c r="X10" t="s">
        <v>263</v>
      </c>
      <c r="Y10" t="s">
        <v>264</v>
      </c>
      <c r="Z10" t="s">
        <v>265</v>
      </c>
      <c r="AA10" t="s">
        <v>74</v>
      </c>
      <c r="AB10" t="s">
        <v>266</v>
      </c>
      <c r="AC10" t="s">
        <v>74</v>
      </c>
      <c r="AD10" t="s">
        <v>74</v>
      </c>
      <c r="AE10" t="s">
        <v>74</v>
      </c>
      <c r="AF10" t="s">
        <v>74</v>
      </c>
      <c r="AG10">
        <v>46</v>
      </c>
      <c r="AH10">
        <v>0</v>
      </c>
      <c r="AI10">
        <v>0</v>
      </c>
      <c r="AJ10">
        <v>4</v>
      </c>
      <c r="AK10">
        <v>4</v>
      </c>
      <c r="AL10" t="s">
        <v>92</v>
      </c>
      <c r="AM10" t="s">
        <v>93</v>
      </c>
      <c r="AN10" t="s">
        <v>94</v>
      </c>
      <c r="AO10" t="s">
        <v>267</v>
      </c>
      <c r="AP10" t="s">
        <v>74</v>
      </c>
      <c r="AQ10" t="s">
        <v>74</v>
      </c>
      <c r="AR10" t="s">
        <v>268</v>
      </c>
      <c r="AS10" t="s">
        <v>269</v>
      </c>
      <c r="AT10" t="s">
        <v>99</v>
      </c>
      <c r="AU10">
        <v>2023</v>
      </c>
      <c r="AV10">
        <v>28</v>
      </c>
      <c r="AW10">
        <v>1</v>
      </c>
      <c r="AX10" t="s">
        <v>74</v>
      </c>
      <c r="AY10" t="s">
        <v>74</v>
      </c>
      <c r="AZ10" t="s">
        <v>74</v>
      </c>
      <c r="BA10" t="s">
        <v>74</v>
      </c>
      <c r="BB10" t="s">
        <v>74</v>
      </c>
      <c r="BC10" t="s">
        <v>74</v>
      </c>
      <c r="BD10">
        <v>2225886</v>
      </c>
      <c r="BE10" t="s">
        <v>270</v>
      </c>
      <c r="BF10" t="str">
        <f>HYPERLINK("http://dx.doi.org/10.1080/10872981.2023.2225886","http://dx.doi.org/10.1080/10872981.2023.2225886")</f>
        <v>http://dx.doi.org/10.1080/10872981.2023.2225886</v>
      </c>
      <c r="BG10" t="s">
        <v>74</v>
      </c>
      <c r="BH10" t="s">
        <v>74</v>
      </c>
      <c r="BI10">
        <v>7</v>
      </c>
      <c r="BJ10" t="s">
        <v>271</v>
      </c>
      <c r="BK10" t="s">
        <v>272</v>
      </c>
      <c r="BL10" t="s">
        <v>271</v>
      </c>
      <c r="BM10" t="s">
        <v>273</v>
      </c>
      <c r="BN10">
        <v>37343594</v>
      </c>
      <c r="BO10" t="s">
        <v>165</v>
      </c>
      <c r="BP10" t="s">
        <v>74</v>
      </c>
      <c r="BQ10" t="s">
        <v>74</v>
      </c>
      <c r="BR10" t="s">
        <v>105</v>
      </c>
      <c r="BS10" t="s">
        <v>274</v>
      </c>
      <c r="BT10" t="str">
        <f>HYPERLINK("https%3A%2F%2Fwww.webofscience.com%2Fwos%2Fwoscc%2Ffull-record%2FWOS:001010208600001","View Full Record in Web of Science")</f>
        <v>View Full Record in Web of Science</v>
      </c>
    </row>
    <row r="11" spans="1:72" x14ac:dyDescent="0.15">
      <c r="A11" t="s">
        <v>72</v>
      </c>
      <c r="B11" t="s">
        <v>275</v>
      </c>
      <c r="C11" t="s">
        <v>74</v>
      </c>
      <c r="D11" t="s">
        <v>74</v>
      </c>
      <c r="E11" t="s">
        <v>74</v>
      </c>
      <c r="F11" t="s">
        <v>276</v>
      </c>
      <c r="G11" t="s">
        <v>74</v>
      </c>
      <c r="H11" t="s">
        <v>74</v>
      </c>
      <c r="I11" t="s">
        <v>277</v>
      </c>
      <c r="J11" t="s">
        <v>278</v>
      </c>
      <c r="K11" t="s">
        <v>74</v>
      </c>
      <c r="L11" t="s">
        <v>74</v>
      </c>
      <c r="M11" t="s">
        <v>78</v>
      </c>
      <c r="N11" t="s">
        <v>79</v>
      </c>
      <c r="O11" t="s">
        <v>74</v>
      </c>
      <c r="P11" t="s">
        <v>74</v>
      </c>
      <c r="Q11" t="s">
        <v>74</v>
      </c>
      <c r="R11" t="s">
        <v>74</v>
      </c>
      <c r="S11" t="s">
        <v>74</v>
      </c>
      <c r="T11" t="s">
        <v>279</v>
      </c>
      <c r="U11" t="s">
        <v>280</v>
      </c>
      <c r="V11" t="s">
        <v>281</v>
      </c>
      <c r="W11" t="s">
        <v>282</v>
      </c>
      <c r="X11" t="s">
        <v>283</v>
      </c>
      <c r="Y11" t="s">
        <v>284</v>
      </c>
      <c r="Z11" t="s">
        <v>285</v>
      </c>
      <c r="AA11" t="s">
        <v>74</v>
      </c>
      <c r="AB11" t="s">
        <v>286</v>
      </c>
      <c r="AC11" t="s">
        <v>74</v>
      </c>
      <c r="AD11" t="s">
        <v>74</v>
      </c>
      <c r="AE11" t="s">
        <v>74</v>
      </c>
      <c r="AF11" t="s">
        <v>74</v>
      </c>
      <c r="AG11">
        <v>72</v>
      </c>
      <c r="AH11">
        <v>0</v>
      </c>
      <c r="AI11">
        <v>0</v>
      </c>
      <c r="AJ11">
        <v>2</v>
      </c>
      <c r="AK11">
        <v>2</v>
      </c>
      <c r="AL11" t="s">
        <v>287</v>
      </c>
      <c r="AM11" t="s">
        <v>288</v>
      </c>
      <c r="AN11" t="s">
        <v>289</v>
      </c>
      <c r="AO11" t="s">
        <v>290</v>
      </c>
      <c r="AP11" t="s">
        <v>74</v>
      </c>
      <c r="AQ11" t="s">
        <v>74</v>
      </c>
      <c r="AR11" t="s">
        <v>291</v>
      </c>
      <c r="AS11" t="s">
        <v>292</v>
      </c>
      <c r="AT11" t="s">
        <v>99</v>
      </c>
      <c r="AU11">
        <v>2023</v>
      </c>
      <c r="AV11">
        <v>10</v>
      </c>
      <c r="AW11">
        <v>1</v>
      </c>
      <c r="AX11" t="s">
        <v>74</v>
      </c>
      <c r="AY11" t="s">
        <v>74</v>
      </c>
      <c r="AZ11" t="s">
        <v>74</v>
      </c>
      <c r="BA11" t="s">
        <v>74</v>
      </c>
      <c r="BB11" t="s">
        <v>74</v>
      </c>
      <c r="BC11" t="s">
        <v>74</v>
      </c>
      <c r="BD11">
        <v>2194151</v>
      </c>
      <c r="BE11" t="s">
        <v>293</v>
      </c>
      <c r="BF11" t="str">
        <f>HYPERLINK("http://dx.doi.org/10.1080/23311975.2023.2194151","http://dx.doi.org/10.1080/23311975.2023.2194151")</f>
        <v>http://dx.doi.org/10.1080/23311975.2023.2194151</v>
      </c>
      <c r="BG11" t="s">
        <v>74</v>
      </c>
      <c r="BH11" t="s">
        <v>74</v>
      </c>
      <c r="BI11">
        <v>24</v>
      </c>
      <c r="BJ11" t="s">
        <v>294</v>
      </c>
      <c r="BK11" t="s">
        <v>211</v>
      </c>
      <c r="BL11" t="s">
        <v>295</v>
      </c>
      <c r="BM11" t="s">
        <v>296</v>
      </c>
      <c r="BN11" t="s">
        <v>74</v>
      </c>
      <c r="BO11" t="s">
        <v>126</v>
      </c>
      <c r="BP11" t="s">
        <v>74</v>
      </c>
      <c r="BQ11" t="s">
        <v>74</v>
      </c>
      <c r="BR11" t="s">
        <v>105</v>
      </c>
      <c r="BS11" t="s">
        <v>297</v>
      </c>
      <c r="BT11" t="str">
        <f>HYPERLINK("https%3A%2F%2Fwww.webofscience.com%2Fwos%2Fwoscc%2Ffull-record%2FWOS:000956619300001","View Full Record in Web of Science")</f>
        <v>View Full Record in Web of Science</v>
      </c>
    </row>
    <row r="12" spans="1:72" x14ac:dyDescent="0.15">
      <c r="A12" t="s">
        <v>72</v>
      </c>
      <c r="B12" t="s">
        <v>298</v>
      </c>
      <c r="C12" t="s">
        <v>74</v>
      </c>
      <c r="D12" t="s">
        <v>74</v>
      </c>
      <c r="E12" t="s">
        <v>74</v>
      </c>
      <c r="F12" t="s">
        <v>299</v>
      </c>
      <c r="G12" t="s">
        <v>74</v>
      </c>
      <c r="H12" t="s">
        <v>74</v>
      </c>
      <c r="I12" t="s">
        <v>300</v>
      </c>
      <c r="J12" t="s">
        <v>301</v>
      </c>
      <c r="K12" t="s">
        <v>74</v>
      </c>
      <c r="L12" t="s">
        <v>74</v>
      </c>
      <c r="M12" t="s">
        <v>78</v>
      </c>
      <c r="N12" t="s">
        <v>79</v>
      </c>
      <c r="O12" t="s">
        <v>74</v>
      </c>
      <c r="P12" t="s">
        <v>74</v>
      </c>
      <c r="Q12" t="s">
        <v>74</v>
      </c>
      <c r="R12" t="s">
        <v>74</v>
      </c>
      <c r="S12" t="s">
        <v>74</v>
      </c>
      <c r="T12" t="s">
        <v>302</v>
      </c>
      <c r="U12" t="s">
        <v>303</v>
      </c>
      <c r="V12" t="s">
        <v>304</v>
      </c>
      <c r="W12" t="s">
        <v>305</v>
      </c>
      <c r="X12" t="s">
        <v>306</v>
      </c>
      <c r="Y12" t="s">
        <v>307</v>
      </c>
      <c r="Z12" t="s">
        <v>74</v>
      </c>
      <c r="AA12" t="s">
        <v>74</v>
      </c>
      <c r="AB12" t="s">
        <v>74</v>
      </c>
      <c r="AC12" t="s">
        <v>74</v>
      </c>
      <c r="AD12" t="s">
        <v>74</v>
      </c>
      <c r="AE12" t="s">
        <v>74</v>
      </c>
      <c r="AF12" t="s">
        <v>74</v>
      </c>
      <c r="AG12">
        <v>32</v>
      </c>
      <c r="AH12">
        <v>0</v>
      </c>
      <c r="AI12">
        <v>0</v>
      </c>
      <c r="AJ12">
        <v>2</v>
      </c>
      <c r="AK12">
        <v>2</v>
      </c>
      <c r="AL12" t="s">
        <v>92</v>
      </c>
      <c r="AM12" t="s">
        <v>93</v>
      </c>
      <c r="AN12" t="s">
        <v>94</v>
      </c>
      <c r="AO12" t="s">
        <v>74</v>
      </c>
      <c r="AP12" t="s">
        <v>308</v>
      </c>
      <c r="AQ12" t="s">
        <v>74</v>
      </c>
      <c r="AR12" t="s">
        <v>309</v>
      </c>
      <c r="AS12" t="s">
        <v>310</v>
      </c>
      <c r="AT12" t="s">
        <v>99</v>
      </c>
      <c r="AU12">
        <v>2023</v>
      </c>
      <c r="AV12">
        <v>11</v>
      </c>
      <c r="AW12">
        <v>1</v>
      </c>
      <c r="AX12" t="s">
        <v>74</v>
      </c>
      <c r="AY12" t="s">
        <v>74</v>
      </c>
      <c r="AZ12" t="s">
        <v>74</v>
      </c>
      <c r="BA12" t="s">
        <v>74</v>
      </c>
      <c r="BB12" t="s">
        <v>74</v>
      </c>
      <c r="BC12" t="s">
        <v>74</v>
      </c>
      <c r="BD12">
        <v>2251521</v>
      </c>
      <c r="BE12" t="s">
        <v>311</v>
      </c>
      <c r="BF12" t="str">
        <f>HYPERLINK("http://dx.doi.org/10.1080/21642583.2023.2251521","http://dx.doi.org/10.1080/21642583.2023.2251521")</f>
        <v>http://dx.doi.org/10.1080/21642583.2023.2251521</v>
      </c>
      <c r="BG12" t="s">
        <v>74</v>
      </c>
      <c r="BH12" t="s">
        <v>74</v>
      </c>
      <c r="BI12">
        <v>16</v>
      </c>
      <c r="BJ12" t="s">
        <v>312</v>
      </c>
      <c r="BK12" t="s">
        <v>211</v>
      </c>
      <c r="BL12" t="s">
        <v>312</v>
      </c>
      <c r="BM12" t="s">
        <v>313</v>
      </c>
      <c r="BN12" t="s">
        <v>74</v>
      </c>
      <c r="BO12" t="s">
        <v>126</v>
      </c>
      <c r="BP12" t="s">
        <v>74</v>
      </c>
      <c r="BQ12" t="s">
        <v>74</v>
      </c>
      <c r="BR12" t="s">
        <v>105</v>
      </c>
      <c r="BS12" t="s">
        <v>314</v>
      </c>
      <c r="BT12" t="str">
        <f>HYPERLINK("https%3A%2F%2Fwww.webofscience.com%2Fwos%2Fwoscc%2Ffull-record%2FWOS:001059411200001","View Full Record in Web of Science")</f>
        <v>View Full Record in Web of Science</v>
      </c>
    </row>
    <row r="13" spans="1:72" x14ac:dyDescent="0.15">
      <c r="A13" t="s">
        <v>72</v>
      </c>
      <c r="B13" t="s">
        <v>315</v>
      </c>
      <c r="C13" t="s">
        <v>74</v>
      </c>
      <c r="D13" t="s">
        <v>74</v>
      </c>
      <c r="E13" t="s">
        <v>74</v>
      </c>
      <c r="F13" t="s">
        <v>316</v>
      </c>
      <c r="G13" t="s">
        <v>74</v>
      </c>
      <c r="H13" t="s">
        <v>74</v>
      </c>
      <c r="I13" t="s">
        <v>317</v>
      </c>
      <c r="J13" t="s">
        <v>318</v>
      </c>
      <c r="K13" t="s">
        <v>74</v>
      </c>
      <c r="L13" t="s">
        <v>74</v>
      </c>
      <c r="M13" t="s">
        <v>78</v>
      </c>
      <c r="N13" t="s">
        <v>79</v>
      </c>
      <c r="O13" t="s">
        <v>74</v>
      </c>
      <c r="P13" t="s">
        <v>74</v>
      </c>
      <c r="Q13" t="s">
        <v>74</v>
      </c>
      <c r="R13" t="s">
        <v>74</v>
      </c>
      <c r="S13" t="s">
        <v>74</v>
      </c>
      <c r="T13" t="s">
        <v>319</v>
      </c>
      <c r="U13" t="s">
        <v>320</v>
      </c>
      <c r="V13" t="s">
        <v>321</v>
      </c>
      <c r="W13" t="s">
        <v>322</v>
      </c>
      <c r="X13" t="s">
        <v>323</v>
      </c>
      <c r="Y13" t="s">
        <v>324</v>
      </c>
      <c r="Z13" t="s">
        <v>325</v>
      </c>
      <c r="AA13" t="s">
        <v>74</v>
      </c>
      <c r="AB13" t="s">
        <v>74</v>
      </c>
      <c r="AC13" t="s">
        <v>74</v>
      </c>
      <c r="AD13" t="s">
        <v>74</v>
      </c>
      <c r="AE13" t="s">
        <v>74</v>
      </c>
      <c r="AF13" t="s">
        <v>74</v>
      </c>
      <c r="AG13">
        <v>67</v>
      </c>
      <c r="AH13">
        <v>0</v>
      </c>
      <c r="AI13">
        <v>0</v>
      </c>
      <c r="AJ13">
        <v>1</v>
      </c>
      <c r="AK13">
        <v>1</v>
      </c>
      <c r="AL13" t="s">
        <v>92</v>
      </c>
      <c r="AM13" t="s">
        <v>93</v>
      </c>
      <c r="AN13" t="s">
        <v>94</v>
      </c>
      <c r="AO13" t="s">
        <v>326</v>
      </c>
      <c r="AP13" t="s">
        <v>327</v>
      </c>
      <c r="AQ13" t="s">
        <v>74</v>
      </c>
      <c r="AR13" t="s">
        <v>328</v>
      </c>
      <c r="AS13" t="s">
        <v>329</v>
      </c>
      <c r="AT13" t="s">
        <v>99</v>
      </c>
      <c r="AU13">
        <v>2023</v>
      </c>
      <c r="AV13">
        <v>10</v>
      </c>
      <c r="AW13">
        <v>1</v>
      </c>
      <c r="AX13" t="s">
        <v>74</v>
      </c>
      <c r="AY13" t="s">
        <v>74</v>
      </c>
      <c r="AZ13" t="s">
        <v>74</v>
      </c>
      <c r="BA13" t="s">
        <v>74</v>
      </c>
      <c r="BB13" t="s">
        <v>74</v>
      </c>
      <c r="BC13" t="s">
        <v>74</v>
      </c>
      <c r="BD13">
        <v>2235268</v>
      </c>
      <c r="BE13" t="s">
        <v>330</v>
      </c>
      <c r="BF13" t="str">
        <f>HYPERLINK("http://dx.doi.org/10.1080/23302674.2023.2235268","http://dx.doi.org/10.1080/23302674.2023.2235268")</f>
        <v>http://dx.doi.org/10.1080/23302674.2023.2235268</v>
      </c>
      <c r="BG13" t="s">
        <v>74</v>
      </c>
      <c r="BH13" t="s">
        <v>74</v>
      </c>
      <c r="BI13">
        <v>26</v>
      </c>
      <c r="BJ13" t="s">
        <v>331</v>
      </c>
      <c r="BK13" t="s">
        <v>102</v>
      </c>
      <c r="BL13" t="s">
        <v>332</v>
      </c>
      <c r="BM13" t="s">
        <v>333</v>
      </c>
      <c r="BN13" t="s">
        <v>74</v>
      </c>
      <c r="BO13" t="s">
        <v>74</v>
      </c>
      <c r="BP13" t="s">
        <v>74</v>
      </c>
      <c r="BQ13" t="s">
        <v>74</v>
      </c>
      <c r="BR13" t="s">
        <v>105</v>
      </c>
      <c r="BS13" t="s">
        <v>334</v>
      </c>
      <c r="BT13" t="str">
        <f>HYPERLINK("https%3A%2F%2Fwww.webofscience.com%2Fwos%2Fwoscc%2Ffull-record%2FWOS:001039978200001","View Full Record in Web of Science")</f>
        <v>View Full Record in Web of Science</v>
      </c>
    </row>
    <row r="14" spans="1:72" x14ac:dyDescent="0.15">
      <c r="A14" t="s">
        <v>72</v>
      </c>
      <c r="B14" t="s">
        <v>335</v>
      </c>
      <c r="C14" t="s">
        <v>74</v>
      </c>
      <c r="D14" t="s">
        <v>74</v>
      </c>
      <c r="E14" t="s">
        <v>74</v>
      </c>
      <c r="F14" t="s">
        <v>336</v>
      </c>
      <c r="G14" t="s">
        <v>74</v>
      </c>
      <c r="H14" t="s">
        <v>74</v>
      </c>
      <c r="I14" t="s">
        <v>337</v>
      </c>
      <c r="J14" t="s">
        <v>338</v>
      </c>
      <c r="K14" t="s">
        <v>74</v>
      </c>
      <c r="L14" t="s">
        <v>74</v>
      </c>
      <c r="M14" t="s">
        <v>78</v>
      </c>
      <c r="N14" t="s">
        <v>79</v>
      </c>
      <c r="O14" t="s">
        <v>74</v>
      </c>
      <c r="P14" t="s">
        <v>74</v>
      </c>
      <c r="Q14" t="s">
        <v>74</v>
      </c>
      <c r="R14" t="s">
        <v>74</v>
      </c>
      <c r="S14" t="s">
        <v>74</v>
      </c>
      <c r="T14" t="s">
        <v>339</v>
      </c>
      <c r="U14" t="s">
        <v>340</v>
      </c>
      <c r="V14" t="s">
        <v>341</v>
      </c>
      <c r="W14" t="s">
        <v>342</v>
      </c>
      <c r="X14" t="s">
        <v>343</v>
      </c>
      <c r="Y14" t="s">
        <v>344</v>
      </c>
      <c r="Z14" t="s">
        <v>345</v>
      </c>
      <c r="AA14" t="s">
        <v>74</v>
      </c>
      <c r="AB14" t="s">
        <v>74</v>
      </c>
      <c r="AC14" t="s">
        <v>346</v>
      </c>
      <c r="AD14" t="s">
        <v>346</v>
      </c>
      <c r="AE14" t="s">
        <v>347</v>
      </c>
      <c r="AF14" t="s">
        <v>74</v>
      </c>
      <c r="AG14">
        <v>45</v>
      </c>
      <c r="AH14">
        <v>0</v>
      </c>
      <c r="AI14">
        <v>0</v>
      </c>
      <c r="AJ14">
        <v>0</v>
      </c>
      <c r="AK14">
        <v>0</v>
      </c>
      <c r="AL14" t="s">
        <v>92</v>
      </c>
      <c r="AM14" t="s">
        <v>93</v>
      </c>
      <c r="AN14" t="s">
        <v>94</v>
      </c>
      <c r="AO14" t="s">
        <v>348</v>
      </c>
      <c r="AP14" t="s">
        <v>74</v>
      </c>
      <c r="AQ14" t="s">
        <v>74</v>
      </c>
      <c r="AR14" t="s">
        <v>349</v>
      </c>
      <c r="AS14" t="s">
        <v>350</v>
      </c>
      <c r="AT14" t="s">
        <v>99</v>
      </c>
      <c r="AU14">
        <v>2023</v>
      </c>
      <c r="AV14">
        <v>17</v>
      </c>
      <c r="AW14">
        <v>1</v>
      </c>
      <c r="AX14" t="s">
        <v>74</v>
      </c>
      <c r="AY14" t="s">
        <v>74</v>
      </c>
      <c r="AZ14" t="s">
        <v>74</v>
      </c>
      <c r="BA14" t="s">
        <v>74</v>
      </c>
      <c r="BB14" t="s">
        <v>74</v>
      </c>
      <c r="BC14" t="s">
        <v>74</v>
      </c>
      <c r="BD14">
        <v>2254908</v>
      </c>
      <c r="BE14" t="s">
        <v>351</v>
      </c>
      <c r="BF14" t="str">
        <f>HYPERLINK("http://dx.doi.org/10.1080/16583655.2023.2254908","http://dx.doi.org/10.1080/16583655.2023.2254908")</f>
        <v>http://dx.doi.org/10.1080/16583655.2023.2254908</v>
      </c>
      <c r="BG14" t="s">
        <v>74</v>
      </c>
      <c r="BH14" t="s">
        <v>74</v>
      </c>
      <c r="BI14">
        <v>12</v>
      </c>
      <c r="BJ14" t="s">
        <v>352</v>
      </c>
      <c r="BK14" t="s">
        <v>102</v>
      </c>
      <c r="BL14" t="s">
        <v>353</v>
      </c>
      <c r="BM14" t="s">
        <v>354</v>
      </c>
      <c r="BN14" t="s">
        <v>74</v>
      </c>
      <c r="BO14" t="s">
        <v>126</v>
      </c>
      <c r="BP14" t="s">
        <v>74</v>
      </c>
      <c r="BQ14" t="s">
        <v>74</v>
      </c>
      <c r="BR14" t="s">
        <v>105</v>
      </c>
      <c r="BS14" t="s">
        <v>355</v>
      </c>
      <c r="BT14" t="str">
        <f>HYPERLINK("https%3A%2F%2Fwww.webofscience.com%2Fwos%2Fwoscc%2Ffull-record%2FWOS:001065565000001","View Full Record in Web of Science")</f>
        <v>View Full Record in Web of Science</v>
      </c>
    </row>
    <row r="15" spans="1:72" x14ac:dyDescent="0.15">
      <c r="A15" t="s">
        <v>72</v>
      </c>
      <c r="B15" t="s">
        <v>356</v>
      </c>
      <c r="C15" t="s">
        <v>74</v>
      </c>
      <c r="D15" t="s">
        <v>74</v>
      </c>
      <c r="E15" t="s">
        <v>74</v>
      </c>
      <c r="F15" t="s">
        <v>357</v>
      </c>
      <c r="G15" t="s">
        <v>74</v>
      </c>
      <c r="H15" t="s">
        <v>74</v>
      </c>
      <c r="I15" t="s">
        <v>358</v>
      </c>
      <c r="J15" t="s">
        <v>359</v>
      </c>
      <c r="K15" t="s">
        <v>74</v>
      </c>
      <c r="L15" t="s">
        <v>74</v>
      </c>
      <c r="M15" t="s">
        <v>78</v>
      </c>
      <c r="N15" t="s">
        <v>79</v>
      </c>
      <c r="O15" t="s">
        <v>74</v>
      </c>
      <c r="P15" t="s">
        <v>74</v>
      </c>
      <c r="Q15" t="s">
        <v>74</v>
      </c>
      <c r="R15" t="s">
        <v>74</v>
      </c>
      <c r="S15" t="s">
        <v>74</v>
      </c>
      <c r="T15" t="s">
        <v>360</v>
      </c>
      <c r="U15" t="s">
        <v>361</v>
      </c>
      <c r="V15" t="s">
        <v>362</v>
      </c>
      <c r="W15" t="s">
        <v>363</v>
      </c>
      <c r="X15" t="s">
        <v>364</v>
      </c>
      <c r="Y15" t="s">
        <v>365</v>
      </c>
      <c r="Z15" t="s">
        <v>366</v>
      </c>
      <c r="AA15" t="s">
        <v>74</v>
      </c>
      <c r="AB15" t="s">
        <v>74</v>
      </c>
      <c r="AC15" t="s">
        <v>367</v>
      </c>
      <c r="AD15" t="s">
        <v>367</v>
      </c>
      <c r="AE15" t="s">
        <v>368</v>
      </c>
      <c r="AF15" t="s">
        <v>74</v>
      </c>
      <c r="AG15">
        <v>39</v>
      </c>
      <c r="AH15">
        <v>0</v>
      </c>
      <c r="AI15">
        <v>0</v>
      </c>
      <c r="AJ15">
        <v>2</v>
      </c>
      <c r="AK15">
        <v>2</v>
      </c>
      <c r="AL15" t="s">
        <v>287</v>
      </c>
      <c r="AM15" t="s">
        <v>288</v>
      </c>
      <c r="AN15" t="s">
        <v>289</v>
      </c>
      <c r="AO15" t="s">
        <v>369</v>
      </c>
      <c r="AP15" t="s">
        <v>74</v>
      </c>
      <c r="AQ15" t="s">
        <v>74</v>
      </c>
      <c r="AR15" t="s">
        <v>370</v>
      </c>
      <c r="AS15" t="s">
        <v>371</v>
      </c>
      <c r="AT15" t="s">
        <v>99</v>
      </c>
      <c r="AU15">
        <v>2023</v>
      </c>
      <c r="AV15">
        <v>11</v>
      </c>
      <c r="AW15">
        <v>1</v>
      </c>
      <c r="AX15" t="s">
        <v>74</v>
      </c>
      <c r="AY15" t="s">
        <v>74</v>
      </c>
      <c r="AZ15" t="s">
        <v>74</v>
      </c>
      <c r="BA15" t="s">
        <v>74</v>
      </c>
      <c r="BB15" t="s">
        <v>74</v>
      </c>
      <c r="BC15" t="s">
        <v>74</v>
      </c>
      <c r="BD15">
        <v>2199596</v>
      </c>
      <c r="BE15" t="s">
        <v>372</v>
      </c>
      <c r="BF15" t="str">
        <f>HYPERLINK("http://dx.doi.org/10.1080/23322039.2023.2199596","http://dx.doi.org/10.1080/23322039.2023.2199596")</f>
        <v>http://dx.doi.org/10.1080/23322039.2023.2199596</v>
      </c>
      <c r="BG15" t="s">
        <v>74</v>
      </c>
      <c r="BH15" t="s">
        <v>74</v>
      </c>
      <c r="BI15">
        <v>20</v>
      </c>
      <c r="BJ15" t="s">
        <v>373</v>
      </c>
      <c r="BK15" t="s">
        <v>211</v>
      </c>
      <c r="BL15" t="s">
        <v>295</v>
      </c>
      <c r="BM15" t="s">
        <v>374</v>
      </c>
      <c r="BN15" t="s">
        <v>74</v>
      </c>
      <c r="BO15" t="s">
        <v>126</v>
      </c>
      <c r="BP15" t="s">
        <v>74</v>
      </c>
      <c r="BQ15" t="s">
        <v>74</v>
      </c>
      <c r="BR15" t="s">
        <v>105</v>
      </c>
      <c r="BS15" t="s">
        <v>375</v>
      </c>
      <c r="BT15" t="str">
        <f>HYPERLINK("https%3A%2F%2Fwww.webofscience.com%2Fwos%2Fwoscc%2Ffull-record%2FWOS:000970619900001","View Full Record in Web of Science")</f>
        <v>View Full Record in Web of Science</v>
      </c>
    </row>
    <row r="16" spans="1:72" x14ac:dyDescent="0.15">
      <c r="A16" t="s">
        <v>72</v>
      </c>
      <c r="B16" t="s">
        <v>376</v>
      </c>
      <c r="C16" t="s">
        <v>74</v>
      </c>
      <c r="D16" t="s">
        <v>74</v>
      </c>
      <c r="E16" t="s">
        <v>74</v>
      </c>
      <c r="F16" t="s">
        <v>377</v>
      </c>
      <c r="G16" t="s">
        <v>74</v>
      </c>
      <c r="H16" t="s">
        <v>74</v>
      </c>
      <c r="I16" t="s">
        <v>378</v>
      </c>
      <c r="J16" t="s">
        <v>379</v>
      </c>
      <c r="K16" t="s">
        <v>74</v>
      </c>
      <c r="L16" t="s">
        <v>74</v>
      </c>
      <c r="M16" t="s">
        <v>78</v>
      </c>
      <c r="N16" t="s">
        <v>79</v>
      </c>
      <c r="O16" t="s">
        <v>74</v>
      </c>
      <c r="P16" t="s">
        <v>74</v>
      </c>
      <c r="Q16" t="s">
        <v>74</v>
      </c>
      <c r="R16" t="s">
        <v>74</v>
      </c>
      <c r="S16" t="s">
        <v>74</v>
      </c>
      <c r="T16" t="s">
        <v>380</v>
      </c>
      <c r="U16" t="s">
        <v>381</v>
      </c>
      <c r="V16" t="s">
        <v>382</v>
      </c>
      <c r="W16" t="s">
        <v>383</v>
      </c>
      <c r="X16" t="s">
        <v>384</v>
      </c>
      <c r="Y16" t="s">
        <v>385</v>
      </c>
      <c r="Z16" t="s">
        <v>386</v>
      </c>
      <c r="AA16" t="s">
        <v>387</v>
      </c>
      <c r="AB16" t="s">
        <v>388</v>
      </c>
      <c r="AC16" t="s">
        <v>389</v>
      </c>
      <c r="AD16" t="s">
        <v>390</v>
      </c>
      <c r="AE16" t="s">
        <v>391</v>
      </c>
      <c r="AF16" t="s">
        <v>74</v>
      </c>
      <c r="AG16">
        <v>66</v>
      </c>
      <c r="AH16">
        <v>0</v>
      </c>
      <c r="AI16">
        <v>0</v>
      </c>
      <c r="AJ16">
        <v>3</v>
      </c>
      <c r="AK16">
        <v>3</v>
      </c>
      <c r="AL16" t="s">
        <v>287</v>
      </c>
      <c r="AM16" t="s">
        <v>288</v>
      </c>
      <c r="AN16" t="s">
        <v>289</v>
      </c>
      <c r="AO16" t="s">
        <v>392</v>
      </c>
      <c r="AP16" t="s">
        <v>74</v>
      </c>
      <c r="AQ16" t="s">
        <v>74</v>
      </c>
      <c r="AR16" t="s">
        <v>393</v>
      </c>
      <c r="AS16" t="s">
        <v>394</v>
      </c>
      <c r="AT16" t="s">
        <v>99</v>
      </c>
      <c r="AU16">
        <v>2023</v>
      </c>
      <c r="AV16">
        <v>9</v>
      </c>
      <c r="AW16">
        <v>1</v>
      </c>
      <c r="AX16" t="s">
        <v>74</v>
      </c>
      <c r="AY16" t="s">
        <v>74</v>
      </c>
      <c r="AZ16" t="s">
        <v>74</v>
      </c>
      <c r="BA16" t="s">
        <v>74</v>
      </c>
      <c r="BB16" t="s">
        <v>74</v>
      </c>
      <c r="BC16" t="s">
        <v>74</v>
      </c>
      <c r="BD16">
        <v>2233790</v>
      </c>
      <c r="BE16" t="s">
        <v>395</v>
      </c>
      <c r="BF16" t="str">
        <f>HYPERLINK("http://dx.doi.org/10.1080/23311886.2023.2233790","http://dx.doi.org/10.1080/23311886.2023.2233790")</f>
        <v>http://dx.doi.org/10.1080/23311886.2023.2233790</v>
      </c>
      <c r="BG16" t="s">
        <v>74</v>
      </c>
      <c r="BH16" t="s">
        <v>74</v>
      </c>
      <c r="BI16">
        <v>23</v>
      </c>
      <c r="BJ16" t="s">
        <v>396</v>
      </c>
      <c r="BK16" t="s">
        <v>211</v>
      </c>
      <c r="BL16" t="s">
        <v>397</v>
      </c>
      <c r="BM16" t="s">
        <v>398</v>
      </c>
      <c r="BN16" t="s">
        <v>74</v>
      </c>
      <c r="BO16" t="s">
        <v>126</v>
      </c>
      <c r="BP16" t="s">
        <v>74</v>
      </c>
      <c r="BQ16" t="s">
        <v>74</v>
      </c>
      <c r="BR16" t="s">
        <v>105</v>
      </c>
      <c r="BS16" t="s">
        <v>399</v>
      </c>
      <c r="BT16" t="str">
        <f>HYPERLINK("https%3A%2F%2Fwww.webofscience.com%2Fwos%2Fwoscc%2Ffull-record%2FWOS:001025456400001","View Full Record in Web of Science")</f>
        <v>View Full Record in Web of Science</v>
      </c>
    </row>
    <row r="17" spans="1:72" x14ac:dyDescent="0.15">
      <c r="A17" t="s">
        <v>72</v>
      </c>
      <c r="B17" t="s">
        <v>400</v>
      </c>
      <c r="C17" t="s">
        <v>74</v>
      </c>
      <c r="D17" t="s">
        <v>74</v>
      </c>
      <c r="E17" t="s">
        <v>74</v>
      </c>
      <c r="F17" t="s">
        <v>401</v>
      </c>
      <c r="G17" t="s">
        <v>74</v>
      </c>
      <c r="H17" t="s">
        <v>74</v>
      </c>
      <c r="I17" t="s">
        <v>402</v>
      </c>
      <c r="J17" t="s">
        <v>403</v>
      </c>
      <c r="K17" t="s">
        <v>74</v>
      </c>
      <c r="L17" t="s">
        <v>74</v>
      </c>
      <c r="M17" t="s">
        <v>78</v>
      </c>
      <c r="N17" t="s">
        <v>171</v>
      </c>
      <c r="O17" t="s">
        <v>74</v>
      </c>
      <c r="P17" t="s">
        <v>74</v>
      </c>
      <c r="Q17" t="s">
        <v>74</v>
      </c>
      <c r="R17" t="s">
        <v>74</v>
      </c>
      <c r="S17" t="s">
        <v>74</v>
      </c>
      <c r="T17" t="s">
        <v>404</v>
      </c>
      <c r="U17" t="s">
        <v>405</v>
      </c>
      <c r="V17" t="s">
        <v>406</v>
      </c>
      <c r="W17" t="s">
        <v>407</v>
      </c>
      <c r="X17" t="s">
        <v>408</v>
      </c>
      <c r="Y17" t="s">
        <v>409</v>
      </c>
      <c r="Z17" t="s">
        <v>410</v>
      </c>
      <c r="AA17" t="s">
        <v>411</v>
      </c>
      <c r="AB17" t="s">
        <v>412</v>
      </c>
      <c r="AC17" t="s">
        <v>413</v>
      </c>
      <c r="AD17" t="s">
        <v>414</v>
      </c>
      <c r="AE17" t="s">
        <v>415</v>
      </c>
      <c r="AF17" t="s">
        <v>74</v>
      </c>
      <c r="AG17">
        <v>91</v>
      </c>
      <c r="AH17">
        <v>1</v>
      </c>
      <c r="AI17">
        <v>1</v>
      </c>
      <c r="AJ17">
        <v>14</v>
      </c>
      <c r="AK17">
        <v>14</v>
      </c>
      <c r="AL17" t="s">
        <v>92</v>
      </c>
      <c r="AM17" t="s">
        <v>93</v>
      </c>
      <c r="AN17" t="s">
        <v>94</v>
      </c>
      <c r="AO17" t="s">
        <v>416</v>
      </c>
      <c r="AP17" t="s">
        <v>417</v>
      </c>
      <c r="AQ17" t="s">
        <v>74</v>
      </c>
      <c r="AR17" t="s">
        <v>418</v>
      </c>
      <c r="AS17" t="s">
        <v>419</v>
      </c>
      <c r="AT17" t="s">
        <v>99</v>
      </c>
      <c r="AU17">
        <v>2023</v>
      </c>
      <c r="AV17">
        <v>17</v>
      </c>
      <c r="AW17">
        <v>1</v>
      </c>
      <c r="AX17" t="s">
        <v>74</v>
      </c>
      <c r="AY17" t="s">
        <v>74</v>
      </c>
      <c r="AZ17" t="s">
        <v>74</v>
      </c>
      <c r="BA17" t="s">
        <v>74</v>
      </c>
      <c r="BB17" t="s">
        <v>74</v>
      </c>
      <c r="BC17" t="s">
        <v>74</v>
      </c>
      <c r="BD17">
        <v>2229882</v>
      </c>
      <c r="BE17" t="s">
        <v>420</v>
      </c>
      <c r="BF17" t="str">
        <f>HYPERLINK("http://dx.doi.org/10.1080/19942060.2023.2229882","http://dx.doi.org/10.1080/19942060.2023.2229882")</f>
        <v>http://dx.doi.org/10.1080/19942060.2023.2229882</v>
      </c>
      <c r="BG17" t="s">
        <v>74</v>
      </c>
      <c r="BH17" t="s">
        <v>74</v>
      </c>
      <c r="BI17">
        <v>19</v>
      </c>
      <c r="BJ17" t="s">
        <v>421</v>
      </c>
      <c r="BK17" t="s">
        <v>102</v>
      </c>
      <c r="BL17" t="s">
        <v>422</v>
      </c>
      <c r="BM17" t="s">
        <v>423</v>
      </c>
      <c r="BN17" t="s">
        <v>74</v>
      </c>
      <c r="BO17" t="s">
        <v>126</v>
      </c>
      <c r="BP17" t="s">
        <v>74</v>
      </c>
      <c r="BQ17" t="s">
        <v>74</v>
      </c>
      <c r="BR17" t="s">
        <v>105</v>
      </c>
      <c r="BS17" t="s">
        <v>424</v>
      </c>
      <c r="BT17" t="str">
        <f>HYPERLINK("https%3A%2F%2Fwww.webofscience.com%2Fwos%2Fwoscc%2Ffull-record%2FWOS:001037729300001","View Full Record in Web of Science")</f>
        <v>View Full Record in Web of Science</v>
      </c>
    </row>
    <row r="18" spans="1:72" x14ac:dyDescent="0.15">
      <c r="A18" t="s">
        <v>72</v>
      </c>
      <c r="B18" t="s">
        <v>425</v>
      </c>
      <c r="C18" t="s">
        <v>74</v>
      </c>
      <c r="D18" t="s">
        <v>74</v>
      </c>
      <c r="E18" t="s">
        <v>74</v>
      </c>
      <c r="F18" t="s">
        <v>426</v>
      </c>
      <c r="G18" t="s">
        <v>74</v>
      </c>
      <c r="H18" t="s">
        <v>74</v>
      </c>
      <c r="I18" t="s">
        <v>427</v>
      </c>
      <c r="J18" t="s">
        <v>428</v>
      </c>
      <c r="K18" t="s">
        <v>74</v>
      </c>
      <c r="L18" t="s">
        <v>74</v>
      </c>
      <c r="M18" t="s">
        <v>78</v>
      </c>
      <c r="N18" t="s">
        <v>79</v>
      </c>
      <c r="O18" t="s">
        <v>74</v>
      </c>
      <c r="P18" t="s">
        <v>74</v>
      </c>
      <c r="Q18" t="s">
        <v>74</v>
      </c>
      <c r="R18" t="s">
        <v>74</v>
      </c>
      <c r="S18" t="s">
        <v>74</v>
      </c>
      <c r="T18" t="s">
        <v>429</v>
      </c>
      <c r="U18" t="s">
        <v>430</v>
      </c>
      <c r="V18" t="s">
        <v>431</v>
      </c>
      <c r="W18" t="s">
        <v>432</v>
      </c>
      <c r="X18" t="s">
        <v>433</v>
      </c>
      <c r="Y18" t="s">
        <v>434</v>
      </c>
      <c r="Z18" t="s">
        <v>435</v>
      </c>
      <c r="AA18" t="s">
        <v>436</v>
      </c>
      <c r="AB18" t="s">
        <v>437</v>
      </c>
      <c r="AC18" t="s">
        <v>438</v>
      </c>
      <c r="AD18" t="s">
        <v>438</v>
      </c>
      <c r="AE18" t="s">
        <v>438</v>
      </c>
      <c r="AF18" t="s">
        <v>74</v>
      </c>
      <c r="AG18">
        <v>24</v>
      </c>
      <c r="AH18">
        <v>0</v>
      </c>
      <c r="AI18">
        <v>0</v>
      </c>
      <c r="AJ18">
        <v>2</v>
      </c>
      <c r="AK18">
        <v>2</v>
      </c>
      <c r="AL18" t="s">
        <v>92</v>
      </c>
      <c r="AM18" t="s">
        <v>93</v>
      </c>
      <c r="AN18" t="s">
        <v>94</v>
      </c>
      <c r="AO18" t="s">
        <v>439</v>
      </c>
      <c r="AP18" t="s">
        <v>440</v>
      </c>
      <c r="AQ18" t="s">
        <v>74</v>
      </c>
      <c r="AR18" t="s">
        <v>428</v>
      </c>
      <c r="AS18" t="s">
        <v>441</v>
      </c>
      <c r="AT18" t="s">
        <v>99</v>
      </c>
      <c r="AU18">
        <v>2023</v>
      </c>
      <c r="AV18">
        <v>26</v>
      </c>
      <c r="AW18">
        <v>1</v>
      </c>
      <c r="AX18" t="s">
        <v>74</v>
      </c>
      <c r="AY18" t="s">
        <v>74</v>
      </c>
      <c r="AZ18" t="s">
        <v>74</v>
      </c>
      <c r="BA18" t="s">
        <v>74</v>
      </c>
      <c r="BB18" t="s">
        <v>74</v>
      </c>
      <c r="BC18" t="s">
        <v>74</v>
      </c>
      <c r="BD18">
        <v>2251573</v>
      </c>
      <c r="BE18" t="s">
        <v>442</v>
      </c>
      <c r="BF18" t="str">
        <f>HYPERLINK("http://dx.doi.org/10.1080/13685538.2023.2251573","http://dx.doi.org/10.1080/13685538.2023.2251573")</f>
        <v>http://dx.doi.org/10.1080/13685538.2023.2251573</v>
      </c>
      <c r="BG18" t="s">
        <v>74</v>
      </c>
      <c r="BH18" t="s">
        <v>74</v>
      </c>
      <c r="BI18">
        <v>6</v>
      </c>
      <c r="BJ18" t="s">
        <v>443</v>
      </c>
      <c r="BK18" t="s">
        <v>102</v>
      </c>
      <c r="BL18" t="s">
        <v>443</v>
      </c>
      <c r="BM18" t="s">
        <v>444</v>
      </c>
      <c r="BN18">
        <v>37642430</v>
      </c>
      <c r="BO18" t="s">
        <v>126</v>
      </c>
      <c r="BP18" t="s">
        <v>74</v>
      </c>
      <c r="BQ18" t="s">
        <v>74</v>
      </c>
      <c r="BR18" t="s">
        <v>105</v>
      </c>
      <c r="BS18" t="s">
        <v>445</v>
      </c>
      <c r="BT18" t="str">
        <f>HYPERLINK("https%3A%2F%2Fwww.webofscience.com%2Fwos%2Fwoscc%2Ffull-record%2FWOS:001057362100001","View Full Record in Web of Science")</f>
        <v>View Full Record in Web of Science</v>
      </c>
    </row>
    <row r="19" spans="1:72" x14ac:dyDescent="0.15">
      <c r="A19" t="s">
        <v>72</v>
      </c>
      <c r="B19" t="s">
        <v>446</v>
      </c>
      <c r="C19" t="s">
        <v>74</v>
      </c>
      <c r="D19" t="s">
        <v>74</v>
      </c>
      <c r="E19" t="s">
        <v>74</v>
      </c>
      <c r="F19" t="s">
        <v>447</v>
      </c>
      <c r="G19" t="s">
        <v>74</v>
      </c>
      <c r="H19" t="s">
        <v>74</v>
      </c>
      <c r="I19" t="s">
        <v>448</v>
      </c>
      <c r="J19" t="s">
        <v>449</v>
      </c>
      <c r="K19" t="s">
        <v>74</v>
      </c>
      <c r="L19" t="s">
        <v>74</v>
      </c>
      <c r="M19" t="s">
        <v>78</v>
      </c>
      <c r="N19" t="s">
        <v>79</v>
      </c>
      <c r="O19" t="s">
        <v>74</v>
      </c>
      <c r="P19" t="s">
        <v>74</v>
      </c>
      <c r="Q19" t="s">
        <v>74</v>
      </c>
      <c r="R19" t="s">
        <v>74</v>
      </c>
      <c r="S19" t="s">
        <v>74</v>
      </c>
      <c r="T19" t="s">
        <v>450</v>
      </c>
      <c r="U19" t="s">
        <v>74</v>
      </c>
      <c r="V19" t="s">
        <v>451</v>
      </c>
      <c r="W19" t="s">
        <v>452</v>
      </c>
      <c r="X19" t="s">
        <v>453</v>
      </c>
      <c r="Y19" t="s">
        <v>454</v>
      </c>
      <c r="Z19" t="s">
        <v>455</v>
      </c>
      <c r="AA19" t="s">
        <v>74</v>
      </c>
      <c r="AB19" t="s">
        <v>74</v>
      </c>
      <c r="AC19" t="s">
        <v>74</v>
      </c>
      <c r="AD19" t="s">
        <v>74</v>
      </c>
      <c r="AE19" t="s">
        <v>74</v>
      </c>
      <c r="AF19" t="s">
        <v>74</v>
      </c>
      <c r="AG19">
        <v>15</v>
      </c>
      <c r="AH19">
        <v>0</v>
      </c>
      <c r="AI19">
        <v>0</v>
      </c>
      <c r="AJ19">
        <v>0</v>
      </c>
      <c r="AK19">
        <v>0</v>
      </c>
      <c r="AL19" t="s">
        <v>92</v>
      </c>
      <c r="AM19" t="s">
        <v>93</v>
      </c>
      <c r="AN19" t="s">
        <v>94</v>
      </c>
      <c r="AO19" t="s">
        <v>456</v>
      </c>
      <c r="AP19" t="s">
        <v>74</v>
      </c>
      <c r="AQ19" t="s">
        <v>74</v>
      </c>
      <c r="AR19" t="s">
        <v>457</v>
      </c>
      <c r="AS19" t="s">
        <v>458</v>
      </c>
      <c r="AT19" t="s">
        <v>99</v>
      </c>
      <c r="AU19">
        <v>2023</v>
      </c>
      <c r="AV19">
        <v>10</v>
      </c>
      <c r="AW19">
        <v>1</v>
      </c>
      <c r="AX19" t="s">
        <v>74</v>
      </c>
      <c r="AY19" t="s">
        <v>74</v>
      </c>
      <c r="AZ19" t="s">
        <v>74</v>
      </c>
      <c r="BA19" t="s">
        <v>74</v>
      </c>
      <c r="BB19" t="s">
        <v>74</v>
      </c>
      <c r="BC19" t="s">
        <v>74</v>
      </c>
      <c r="BD19">
        <v>2181175</v>
      </c>
      <c r="BE19" t="s">
        <v>459</v>
      </c>
      <c r="BF19" t="str">
        <f>HYPERLINK("http://dx.doi.org/10.1080/23320885.2023.2181175","http://dx.doi.org/10.1080/23320885.2023.2181175")</f>
        <v>http://dx.doi.org/10.1080/23320885.2023.2181175</v>
      </c>
      <c r="BG19" t="s">
        <v>74</v>
      </c>
      <c r="BH19" t="s">
        <v>74</v>
      </c>
      <c r="BI19">
        <v>3</v>
      </c>
      <c r="BJ19" t="s">
        <v>460</v>
      </c>
      <c r="BK19" t="s">
        <v>211</v>
      </c>
      <c r="BL19" t="s">
        <v>460</v>
      </c>
      <c r="BM19" t="s">
        <v>461</v>
      </c>
      <c r="BN19">
        <v>37006455</v>
      </c>
      <c r="BO19" t="s">
        <v>165</v>
      </c>
      <c r="BP19" t="s">
        <v>74</v>
      </c>
      <c r="BQ19" t="s">
        <v>74</v>
      </c>
      <c r="BR19" t="s">
        <v>105</v>
      </c>
      <c r="BS19" t="s">
        <v>462</v>
      </c>
      <c r="BT19" t="str">
        <f>HYPERLINK("https%3A%2F%2Fwww.webofscience.com%2Fwos%2Fwoscc%2Ffull-record%2FWOS:000965588300001","View Full Record in Web of Science")</f>
        <v>View Full Record in Web of Science</v>
      </c>
    </row>
    <row r="20" spans="1:72" x14ac:dyDescent="0.15">
      <c r="A20" t="s">
        <v>72</v>
      </c>
      <c r="B20" t="s">
        <v>463</v>
      </c>
      <c r="C20" t="s">
        <v>74</v>
      </c>
      <c r="D20" t="s">
        <v>74</v>
      </c>
      <c r="E20" t="s">
        <v>74</v>
      </c>
      <c r="F20" t="s">
        <v>464</v>
      </c>
      <c r="G20" t="s">
        <v>74</v>
      </c>
      <c r="H20" t="s">
        <v>74</v>
      </c>
      <c r="I20" t="s">
        <v>465</v>
      </c>
      <c r="J20" t="s">
        <v>379</v>
      </c>
      <c r="K20" t="s">
        <v>74</v>
      </c>
      <c r="L20" t="s">
        <v>74</v>
      </c>
      <c r="M20" t="s">
        <v>78</v>
      </c>
      <c r="N20" t="s">
        <v>79</v>
      </c>
      <c r="O20" t="s">
        <v>74</v>
      </c>
      <c r="P20" t="s">
        <v>74</v>
      </c>
      <c r="Q20" t="s">
        <v>74</v>
      </c>
      <c r="R20" t="s">
        <v>74</v>
      </c>
      <c r="S20" t="s">
        <v>74</v>
      </c>
      <c r="T20" t="s">
        <v>466</v>
      </c>
      <c r="U20" t="s">
        <v>74</v>
      </c>
      <c r="V20" t="s">
        <v>467</v>
      </c>
      <c r="W20" t="s">
        <v>468</v>
      </c>
      <c r="X20" t="s">
        <v>469</v>
      </c>
      <c r="Y20" t="s">
        <v>470</v>
      </c>
      <c r="Z20" t="s">
        <v>471</v>
      </c>
      <c r="AA20" t="s">
        <v>472</v>
      </c>
      <c r="AB20" t="s">
        <v>473</v>
      </c>
      <c r="AC20" t="s">
        <v>474</v>
      </c>
      <c r="AD20" t="s">
        <v>475</v>
      </c>
      <c r="AE20" t="s">
        <v>476</v>
      </c>
      <c r="AF20" t="s">
        <v>74</v>
      </c>
      <c r="AG20">
        <v>59</v>
      </c>
      <c r="AH20">
        <v>0</v>
      </c>
      <c r="AI20">
        <v>0</v>
      </c>
      <c r="AJ20">
        <v>6</v>
      </c>
      <c r="AK20">
        <v>6</v>
      </c>
      <c r="AL20" t="s">
        <v>287</v>
      </c>
      <c r="AM20" t="s">
        <v>288</v>
      </c>
      <c r="AN20" t="s">
        <v>289</v>
      </c>
      <c r="AO20" t="s">
        <v>392</v>
      </c>
      <c r="AP20" t="s">
        <v>74</v>
      </c>
      <c r="AQ20" t="s">
        <v>74</v>
      </c>
      <c r="AR20" t="s">
        <v>393</v>
      </c>
      <c r="AS20" t="s">
        <v>394</v>
      </c>
      <c r="AT20" t="s">
        <v>99</v>
      </c>
      <c r="AU20">
        <v>2023</v>
      </c>
      <c r="AV20">
        <v>9</v>
      </c>
      <c r="AW20">
        <v>1</v>
      </c>
      <c r="AX20" t="s">
        <v>74</v>
      </c>
      <c r="AY20" t="s">
        <v>74</v>
      </c>
      <c r="AZ20" t="s">
        <v>74</v>
      </c>
      <c r="BA20" t="s">
        <v>74</v>
      </c>
      <c r="BB20" t="s">
        <v>74</v>
      </c>
      <c r="BC20" t="s">
        <v>74</v>
      </c>
      <c r="BD20">
        <v>2209371</v>
      </c>
      <c r="BE20" t="s">
        <v>477</v>
      </c>
      <c r="BF20" t="str">
        <f>HYPERLINK("http://dx.doi.org/10.1080/23311886.2023.2209371","http://dx.doi.org/10.1080/23311886.2023.2209371")</f>
        <v>http://dx.doi.org/10.1080/23311886.2023.2209371</v>
      </c>
      <c r="BG20" t="s">
        <v>74</v>
      </c>
      <c r="BH20" t="s">
        <v>74</v>
      </c>
      <c r="BI20">
        <v>19</v>
      </c>
      <c r="BJ20" t="s">
        <v>396</v>
      </c>
      <c r="BK20" t="s">
        <v>211</v>
      </c>
      <c r="BL20" t="s">
        <v>397</v>
      </c>
      <c r="BM20" t="s">
        <v>478</v>
      </c>
      <c r="BN20" t="s">
        <v>74</v>
      </c>
      <c r="BO20" t="s">
        <v>126</v>
      </c>
      <c r="BP20" t="s">
        <v>74</v>
      </c>
      <c r="BQ20" t="s">
        <v>74</v>
      </c>
      <c r="BR20" t="s">
        <v>105</v>
      </c>
      <c r="BS20" t="s">
        <v>479</v>
      </c>
      <c r="BT20" t="str">
        <f>HYPERLINK("https%3A%2F%2Fwww.webofscience.com%2Fwos%2Fwoscc%2Ffull-record%2FWOS:000982916900001","View Full Record in Web of Science")</f>
        <v>View Full Record in Web of Science</v>
      </c>
    </row>
    <row r="21" spans="1:72" x14ac:dyDescent="0.15">
      <c r="A21" t="s">
        <v>72</v>
      </c>
      <c r="B21" t="s">
        <v>480</v>
      </c>
      <c r="C21" t="s">
        <v>74</v>
      </c>
      <c r="D21" t="s">
        <v>74</v>
      </c>
      <c r="E21" t="s">
        <v>74</v>
      </c>
      <c r="F21" t="s">
        <v>481</v>
      </c>
      <c r="G21" t="s">
        <v>74</v>
      </c>
      <c r="H21" t="s">
        <v>74</v>
      </c>
      <c r="I21" t="s">
        <v>482</v>
      </c>
      <c r="J21" t="s">
        <v>359</v>
      </c>
      <c r="K21" t="s">
        <v>74</v>
      </c>
      <c r="L21" t="s">
        <v>74</v>
      </c>
      <c r="M21" t="s">
        <v>78</v>
      </c>
      <c r="N21" t="s">
        <v>79</v>
      </c>
      <c r="O21" t="s">
        <v>74</v>
      </c>
      <c r="P21" t="s">
        <v>74</v>
      </c>
      <c r="Q21" t="s">
        <v>74</v>
      </c>
      <c r="R21" t="s">
        <v>74</v>
      </c>
      <c r="S21" t="s">
        <v>74</v>
      </c>
      <c r="T21" t="s">
        <v>483</v>
      </c>
      <c r="U21" t="s">
        <v>484</v>
      </c>
      <c r="V21" t="s">
        <v>485</v>
      </c>
      <c r="W21" t="s">
        <v>486</v>
      </c>
      <c r="X21" t="s">
        <v>487</v>
      </c>
      <c r="Y21" t="s">
        <v>488</v>
      </c>
      <c r="Z21" t="s">
        <v>489</v>
      </c>
      <c r="AA21" t="s">
        <v>74</v>
      </c>
      <c r="AB21" t="s">
        <v>490</v>
      </c>
      <c r="AC21" t="s">
        <v>74</v>
      </c>
      <c r="AD21" t="s">
        <v>74</v>
      </c>
      <c r="AE21" t="s">
        <v>74</v>
      </c>
      <c r="AF21" t="s">
        <v>74</v>
      </c>
      <c r="AG21">
        <v>77</v>
      </c>
      <c r="AH21">
        <v>0</v>
      </c>
      <c r="AI21">
        <v>0</v>
      </c>
      <c r="AJ21">
        <v>0</v>
      </c>
      <c r="AK21">
        <v>0</v>
      </c>
      <c r="AL21" t="s">
        <v>287</v>
      </c>
      <c r="AM21" t="s">
        <v>288</v>
      </c>
      <c r="AN21" t="s">
        <v>289</v>
      </c>
      <c r="AO21" t="s">
        <v>369</v>
      </c>
      <c r="AP21" t="s">
        <v>74</v>
      </c>
      <c r="AQ21" t="s">
        <v>74</v>
      </c>
      <c r="AR21" t="s">
        <v>370</v>
      </c>
      <c r="AS21" t="s">
        <v>371</v>
      </c>
      <c r="AT21" t="s">
        <v>99</v>
      </c>
      <c r="AU21">
        <v>2023</v>
      </c>
      <c r="AV21">
        <v>11</v>
      </c>
      <c r="AW21">
        <v>1</v>
      </c>
      <c r="AX21" t="s">
        <v>74</v>
      </c>
      <c r="AY21" t="s">
        <v>74</v>
      </c>
      <c r="AZ21" t="s">
        <v>74</v>
      </c>
      <c r="BA21" t="s">
        <v>74</v>
      </c>
      <c r="BB21" t="s">
        <v>74</v>
      </c>
      <c r="BC21" t="s">
        <v>74</v>
      </c>
      <c r="BD21">
        <v>2190216</v>
      </c>
      <c r="BE21" t="s">
        <v>491</v>
      </c>
      <c r="BF21" t="str">
        <f>HYPERLINK("http://dx.doi.org/10.1080/23322039.2023.2190216","http://dx.doi.org/10.1080/23322039.2023.2190216")</f>
        <v>http://dx.doi.org/10.1080/23322039.2023.2190216</v>
      </c>
      <c r="BG21" t="s">
        <v>74</v>
      </c>
      <c r="BH21" t="s">
        <v>74</v>
      </c>
      <c r="BI21">
        <v>37</v>
      </c>
      <c r="BJ21" t="s">
        <v>373</v>
      </c>
      <c r="BK21" t="s">
        <v>211</v>
      </c>
      <c r="BL21" t="s">
        <v>295</v>
      </c>
      <c r="BM21" t="s">
        <v>492</v>
      </c>
      <c r="BN21" t="s">
        <v>74</v>
      </c>
      <c r="BO21" t="s">
        <v>126</v>
      </c>
      <c r="BP21" t="s">
        <v>74</v>
      </c>
      <c r="BQ21" t="s">
        <v>74</v>
      </c>
      <c r="BR21" t="s">
        <v>105</v>
      </c>
      <c r="BS21" t="s">
        <v>493</v>
      </c>
      <c r="BT21" t="str">
        <f>HYPERLINK("https%3A%2F%2Fwww.webofscience.com%2Fwos%2Fwoscc%2Ffull-record%2FWOS:000952954100001","View Full Record in Web of Science")</f>
        <v>View Full Record in Web of Science</v>
      </c>
    </row>
    <row r="22" spans="1:72" x14ac:dyDescent="0.15">
      <c r="A22" t="s">
        <v>72</v>
      </c>
      <c r="B22" t="s">
        <v>494</v>
      </c>
      <c r="C22" t="s">
        <v>74</v>
      </c>
      <c r="D22" t="s">
        <v>74</v>
      </c>
      <c r="E22" t="s">
        <v>74</v>
      </c>
      <c r="F22" t="s">
        <v>495</v>
      </c>
      <c r="G22" t="s">
        <v>74</v>
      </c>
      <c r="H22" t="s">
        <v>74</v>
      </c>
      <c r="I22" t="s">
        <v>496</v>
      </c>
      <c r="J22" t="s">
        <v>497</v>
      </c>
      <c r="K22" t="s">
        <v>74</v>
      </c>
      <c r="L22" t="s">
        <v>74</v>
      </c>
      <c r="M22" t="s">
        <v>78</v>
      </c>
      <c r="N22" t="s">
        <v>79</v>
      </c>
      <c r="O22" t="s">
        <v>74</v>
      </c>
      <c r="P22" t="s">
        <v>74</v>
      </c>
      <c r="Q22" t="s">
        <v>74</v>
      </c>
      <c r="R22" t="s">
        <v>74</v>
      </c>
      <c r="S22" t="s">
        <v>74</v>
      </c>
      <c r="T22" t="s">
        <v>498</v>
      </c>
      <c r="U22" t="s">
        <v>499</v>
      </c>
      <c r="V22" t="s">
        <v>500</v>
      </c>
      <c r="W22" t="s">
        <v>501</v>
      </c>
      <c r="X22" t="s">
        <v>502</v>
      </c>
      <c r="Y22" t="s">
        <v>503</v>
      </c>
      <c r="Z22" t="s">
        <v>504</v>
      </c>
      <c r="AA22" t="s">
        <v>505</v>
      </c>
      <c r="AB22" t="s">
        <v>506</v>
      </c>
      <c r="AC22" t="s">
        <v>507</v>
      </c>
      <c r="AD22" t="s">
        <v>508</v>
      </c>
      <c r="AE22" t="s">
        <v>509</v>
      </c>
      <c r="AF22" t="s">
        <v>74</v>
      </c>
      <c r="AG22">
        <v>65</v>
      </c>
      <c r="AH22">
        <v>2</v>
      </c>
      <c r="AI22">
        <v>2</v>
      </c>
      <c r="AJ22">
        <v>12</v>
      </c>
      <c r="AK22">
        <v>18</v>
      </c>
      <c r="AL22" t="s">
        <v>92</v>
      </c>
      <c r="AM22" t="s">
        <v>93</v>
      </c>
      <c r="AN22" t="s">
        <v>94</v>
      </c>
      <c r="AO22" t="s">
        <v>510</v>
      </c>
      <c r="AP22" t="s">
        <v>511</v>
      </c>
      <c r="AQ22" t="s">
        <v>74</v>
      </c>
      <c r="AR22" t="s">
        <v>512</v>
      </c>
      <c r="AS22" t="s">
        <v>513</v>
      </c>
      <c r="AT22" t="s">
        <v>99</v>
      </c>
      <c r="AU22">
        <v>2023</v>
      </c>
      <c r="AV22">
        <v>18</v>
      </c>
      <c r="AW22">
        <v>1</v>
      </c>
      <c r="AX22" t="s">
        <v>74</v>
      </c>
      <c r="AY22" t="s">
        <v>74</v>
      </c>
      <c r="AZ22" t="s">
        <v>74</v>
      </c>
      <c r="BA22" t="s">
        <v>74</v>
      </c>
      <c r="BB22" t="s">
        <v>74</v>
      </c>
      <c r="BC22" t="s">
        <v>74</v>
      </c>
      <c r="BD22" t="s">
        <v>514</v>
      </c>
      <c r="BE22" t="s">
        <v>515</v>
      </c>
      <c r="BF22" t="str">
        <f>HYPERLINK("http://dx.doi.org/10.1080/17452759.2023.2169172","http://dx.doi.org/10.1080/17452759.2023.2169172")</f>
        <v>http://dx.doi.org/10.1080/17452759.2023.2169172</v>
      </c>
      <c r="BG22" t="s">
        <v>74</v>
      </c>
      <c r="BH22" t="s">
        <v>74</v>
      </c>
      <c r="BI22">
        <v>16</v>
      </c>
      <c r="BJ22" t="s">
        <v>516</v>
      </c>
      <c r="BK22" t="s">
        <v>102</v>
      </c>
      <c r="BL22" t="s">
        <v>517</v>
      </c>
      <c r="BM22" t="s">
        <v>518</v>
      </c>
      <c r="BN22" t="s">
        <v>74</v>
      </c>
      <c r="BO22" t="s">
        <v>519</v>
      </c>
      <c r="BP22" t="s">
        <v>74</v>
      </c>
      <c r="BQ22" t="s">
        <v>74</v>
      </c>
      <c r="BR22" t="s">
        <v>105</v>
      </c>
      <c r="BS22" t="s">
        <v>520</v>
      </c>
      <c r="BT22" t="str">
        <f>HYPERLINK("https%3A%2F%2Fwww.webofscience.com%2Fwos%2Fwoscc%2Ffull-record%2FWOS:000920365200001","View Full Record in Web of Science")</f>
        <v>View Full Record in Web of Science</v>
      </c>
    </row>
    <row r="23" spans="1:72" x14ac:dyDescent="0.15">
      <c r="A23" t="s">
        <v>72</v>
      </c>
      <c r="B23" t="s">
        <v>521</v>
      </c>
      <c r="C23" t="s">
        <v>74</v>
      </c>
      <c r="D23" t="s">
        <v>74</v>
      </c>
      <c r="E23" t="s">
        <v>74</v>
      </c>
      <c r="F23" t="s">
        <v>522</v>
      </c>
      <c r="G23" t="s">
        <v>74</v>
      </c>
      <c r="H23" t="s">
        <v>74</v>
      </c>
      <c r="I23" t="s">
        <v>523</v>
      </c>
      <c r="J23" t="s">
        <v>524</v>
      </c>
      <c r="K23" t="s">
        <v>74</v>
      </c>
      <c r="L23" t="s">
        <v>74</v>
      </c>
      <c r="M23" t="s">
        <v>78</v>
      </c>
      <c r="N23" t="s">
        <v>79</v>
      </c>
      <c r="O23" t="s">
        <v>74</v>
      </c>
      <c r="P23" t="s">
        <v>74</v>
      </c>
      <c r="Q23" t="s">
        <v>74</v>
      </c>
      <c r="R23" t="s">
        <v>74</v>
      </c>
      <c r="S23" t="s">
        <v>74</v>
      </c>
      <c r="T23" t="s">
        <v>525</v>
      </c>
      <c r="U23" t="s">
        <v>526</v>
      </c>
      <c r="V23" t="s">
        <v>527</v>
      </c>
      <c r="W23" t="s">
        <v>528</v>
      </c>
      <c r="X23" t="s">
        <v>529</v>
      </c>
      <c r="Y23" t="s">
        <v>530</v>
      </c>
      <c r="Z23" t="s">
        <v>531</v>
      </c>
      <c r="AA23" t="s">
        <v>532</v>
      </c>
      <c r="AB23" t="s">
        <v>533</v>
      </c>
      <c r="AC23" t="s">
        <v>534</v>
      </c>
      <c r="AD23" t="s">
        <v>535</v>
      </c>
      <c r="AE23" t="s">
        <v>536</v>
      </c>
      <c r="AF23" t="s">
        <v>74</v>
      </c>
      <c r="AG23">
        <v>45</v>
      </c>
      <c r="AH23">
        <v>0</v>
      </c>
      <c r="AI23">
        <v>0</v>
      </c>
      <c r="AJ23">
        <v>97</v>
      </c>
      <c r="AK23">
        <v>125</v>
      </c>
      <c r="AL23" t="s">
        <v>92</v>
      </c>
      <c r="AM23" t="s">
        <v>93</v>
      </c>
      <c r="AN23" t="s">
        <v>94</v>
      </c>
      <c r="AO23" t="s">
        <v>537</v>
      </c>
      <c r="AP23" t="s">
        <v>538</v>
      </c>
      <c r="AQ23" t="s">
        <v>74</v>
      </c>
      <c r="AR23" t="s">
        <v>539</v>
      </c>
      <c r="AS23" t="s">
        <v>540</v>
      </c>
      <c r="AT23" t="s">
        <v>99</v>
      </c>
      <c r="AU23">
        <v>2023</v>
      </c>
      <c r="AV23">
        <v>16</v>
      </c>
      <c r="AW23">
        <v>1</v>
      </c>
      <c r="AX23" t="s">
        <v>74</v>
      </c>
      <c r="AY23" t="s">
        <v>74</v>
      </c>
      <c r="AZ23" t="s">
        <v>74</v>
      </c>
      <c r="BA23" t="s">
        <v>74</v>
      </c>
      <c r="BB23" t="s">
        <v>74</v>
      </c>
      <c r="BC23" t="s">
        <v>74</v>
      </c>
      <c r="BD23">
        <v>2171144</v>
      </c>
      <c r="BE23" t="s">
        <v>541</v>
      </c>
      <c r="BF23" t="str">
        <f>HYPERLINK("http://dx.doi.org/10.1080/17538947.2023.2171144","http://dx.doi.org/10.1080/17538947.2023.2171144")</f>
        <v>http://dx.doi.org/10.1080/17538947.2023.2171144</v>
      </c>
      <c r="BG23" t="s">
        <v>74</v>
      </c>
      <c r="BH23" t="s">
        <v>74</v>
      </c>
      <c r="BI23">
        <v>20</v>
      </c>
      <c r="BJ23" t="s">
        <v>542</v>
      </c>
      <c r="BK23" t="s">
        <v>102</v>
      </c>
      <c r="BL23" t="s">
        <v>543</v>
      </c>
      <c r="BM23" t="s">
        <v>544</v>
      </c>
      <c r="BN23" t="s">
        <v>74</v>
      </c>
      <c r="BO23" t="s">
        <v>126</v>
      </c>
      <c r="BP23" t="s">
        <v>74</v>
      </c>
      <c r="BQ23" t="s">
        <v>74</v>
      </c>
      <c r="BR23" t="s">
        <v>105</v>
      </c>
      <c r="BS23" t="s">
        <v>545</v>
      </c>
      <c r="BT23" t="str">
        <f>HYPERLINK("https%3A%2F%2Fwww.webofscience.com%2Fwos%2Fwoscc%2Ffull-record%2FWOS:000940244600001","View Full Record in Web of Science")</f>
        <v>View Full Record in Web of Science</v>
      </c>
    </row>
    <row r="24" spans="1:72" x14ac:dyDescent="0.15">
      <c r="A24" t="s">
        <v>72</v>
      </c>
      <c r="B24" t="s">
        <v>546</v>
      </c>
      <c r="C24" t="s">
        <v>74</v>
      </c>
      <c r="D24" t="s">
        <v>74</v>
      </c>
      <c r="E24" t="s">
        <v>74</v>
      </c>
      <c r="F24" t="s">
        <v>547</v>
      </c>
      <c r="G24" t="s">
        <v>74</v>
      </c>
      <c r="H24" t="s">
        <v>74</v>
      </c>
      <c r="I24" t="s">
        <v>548</v>
      </c>
      <c r="J24" t="s">
        <v>379</v>
      </c>
      <c r="K24" t="s">
        <v>74</v>
      </c>
      <c r="L24" t="s">
        <v>74</v>
      </c>
      <c r="M24" t="s">
        <v>78</v>
      </c>
      <c r="N24" t="s">
        <v>79</v>
      </c>
      <c r="O24" t="s">
        <v>74</v>
      </c>
      <c r="P24" t="s">
        <v>74</v>
      </c>
      <c r="Q24" t="s">
        <v>74</v>
      </c>
      <c r="R24" t="s">
        <v>74</v>
      </c>
      <c r="S24" t="s">
        <v>74</v>
      </c>
      <c r="T24" t="s">
        <v>549</v>
      </c>
      <c r="U24" t="s">
        <v>74</v>
      </c>
      <c r="V24" t="s">
        <v>550</v>
      </c>
      <c r="W24" t="s">
        <v>551</v>
      </c>
      <c r="X24" t="s">
        <v>552</v>
      </c>
      <c r="Y24" t="s">
        <v>553</v>
      </c>
      <c r="Z24" t="s">
        <v>554</v>
      </c>
      <c r="AA24" t="s">
        <v>555</v>
      </c>
      <c r="AB24" t="s">
        <v>556</v>
      </c>
      <c r="AC24" t="s">
        <v>74</v>
      </c>
      <c r="AD24" t="s">
        <v>74</v>
      </c>
      <c r="AE24" t="s">
        <v>74</v>
      </c>
      <c r="AF24" t="s">
        <v>74</v>
      </c>
      <c r="AG24">
        <v>40</v>
      </c>
      <c r="AH24">
        <v>1</v>
      </c>
      <c r="AI24">
        <v>1</v>
      </c>
      <c r="AJ24">
        <v>0</v>
      </c>
      <c r="AK24">
        <v>1</v>
      </c>
      <c r="AL24" t="s">
        <v>287</v>
      </c>
      <c r="AM24" t="s">
        <v>288</v>
      </c>
      <c r="AN24" t="s">
        <v>289</v>
      </c>
      <c r="AO24" t="s">
        <v>392</v>
      </c>
      <c r="AP24" t="s">
        <v>74</v>
      </c>
      <c r="AQ24" t="s">
        <v>74</v>
      </c>
      <c r="AR24" t="s">
        <v>393</v>
      </c>
      <c r="AS24" t="s">
        <v>394</v>
      </c>
      <c r="AT24" t="s">
        <v>99</v>
      </c>
      <c r="AU24">
        <v>2023</v>
      </c>
      <c r="AV24">
        <v>9</v>
      </c>
      <c r="AW24">
        <v>1</v>
      </c>
      <c r="AX24" t="s">
        <v>74</v>
      </c>
      <c r="AY24" t="s">
        <v>74</v>
      </c>
      <c r="AZ24" t="s">
        <v>74</v>
      </c>
      <c r="BA24" t="s">
        <v>74</v>
      </c>
      <c r="BB24" t="s">
        <v>74</v>
      </c>
      <c r="BC24" t="s">
        <v>74</v>
      </c>
      <c r="BD24">
        <v>2161185</v>
      </c>
      <c r="BE24" t="s">
        <v>557</v>
      </c>
      <c r="BF24" t="str">
        <f>HYPERLINK("http://dx.doi.org/10.1080/23311886.2022.2161185","http://dx.doi.org/10.1080/23311886.2022.2161185")</f>
        <v>http://dx.doi.org/10.1080/23311886.2022.2161185</v>
      </c>
      <c r="BG24" t="s">
        <v>74</v>
      </c>
      <c r="BH24" t="s">
        <v>74</v>
      </c>
      <c r="BI24">
        <v>17</v>
      </c>
      <c r="BJ24" t="s">
        <v>396</v>
      </c>
      <c r="BK24" t="s">
        <v>211</v>
      </c>
      <c r="BL24" t="s">
        <v>397</v>
      </c>
      <c r="BM24" t="s">
        <v>558</v>
      </c>
      <c r="BN24" t="s">
        <v>74</v>
      </c>
      <c r="BO24" t="s">
        <v>126</v>
      </c>
      <c r="BP24" t="s">
        <v>74</v>
      </c>
      <c r="BQ24" t="s">
        <v>74</v>
      </c>
      <c r="BR24" t="s">
        <v>105</v>
      </c>
      <c r="BS24" t="s">
        <v>559</v>
      </c>
      <c r="BT24" t="str">
        <f>HYPERLINK("https%3A%2F%2Fwww.webofscience.com%2Fwos%2Fwoscc%2Ffull-record%2FWOS:000904663700001","View Full Record in Web of Science")</f>
        <v>View Full Record in Web of Science</v>
      </c>
    </row>
    <row r="25" spans="1:72" x14ac:dyDescent="0.15">
      <c r="A25" t="s">
        <v>72</v>
      </c>
      <c r="B25" t="s">
        <v>560</v>
      </c>
      <c r="C25" t="s">
        <v>74</v>
      </c>
      <c r="D25" t="s">
        <v>74</v>
      </c>
      <c r="E25" t="s">
        <v>74</v>
      </c>
      <c r="F25" t="s">
        <v>561</v>
      </c>
      <c r="G25" t="s">
        <v>74</v>
      </c>
      <c r="H25" t="s">
        <v>74</v>
      </c>
      <c r="I25" t="s">
        <v>562</v>
      </c>
      <c r="J25" t="s">
        <v>563</v>
      </c>
      <c r="K25" t="s">
        <v>74</v>
      </c>
      <c r="L25" t="s">
        <v>74</v>
      </c>
      <c r="M25" t="s">
        <v>78</v>
      </c>
      <c r="N25" t="s">
        <v>79</v>
      </c>
      <c r="O25" t="s">
        <v>74</v>
      </c>
      <c r="P25" t="s">
        <v>74</v>
      </c>
      <c r="Q25" t="s">
        <v>74</v>
      </c>
      <c r="R25" t="s">
        <v>74</v>
      </c>
      <c r="S25" t="s">
        <v>74</v>
      </c>
      <c r="T25" t="s">
        <v>564</v>
      </c>
      <c r="U25" t="s">
        <v>565</v>
      </c>
      <c r="V25" t="s">
        <v>566</v>
      </c>
      <c r="W25" t="s">
        <v>567</v>
      </c>
      <c r="X25" t="s">
        <v>74</v>
      </c>
      <c r="Y25" t="s">
        <v>568</v>
      </c>
      <c r="Z25" t="s">
        <v>569</v>
      </c>
      <c r="AA25" t="s">
        <v>74</v>
      </c>
      <c r="AB25" t="s">
        <v>570</v>
      </c>
      <c r="AC25" t="s">
        <v>74</v>
      </c>
      <c r="AD25" t="s">
        <v>74</v>
      </c>
      <c r="AE25" t="s">
        <v>74</v>
      </c>
      <c r="AF25" t="s">
        <v>74</v>
      </c>
      <c r="AG25">
        <v>42</v>
      </c>
      <c r="AH25">
        <v>0</v>
      </c>
      <c r="AI25">
        <v>0</v>
      </c>
      <c r="AJ25">
        <v>0</v>
      </c>
      <c r="AK25">
        <v>0</v>
      </c>
      <c r="AL25" t="s">
        <v>287</v>
      </c>
      <c r="AM25" t="s">
        <v>288</v>
      </c>
      <c r="AN25" t="s">
        <v>289</v>
      </c>
      <c r="AO25" t="s">
        <v>571</v>
      </c>
      <c r="AP25" t="s">
        <v>74</v>
      </c>
      <c r="AQ25" t="s">
        <v>74</v>
      </c>
      <c r="AR25" t="s">
        <v>572</v>
      </c>
      <c r="AS25" t="s">
        <v>573</v>
      </c>
      <c r="AT25" t="s">
        <v>99</v>
      </c>
      <c r="AU25">
        <v>2023</v>
      </c>
      <c r="AV25">
        <v>10</v>
      </c>
      <c r="AW25">
        <v>1</v>
      </c>
      <c r="AX25" t="s">
        <v>74</v>
      </c>
      <c r="AY25" t="s">
        <v>74</v>
      </c>
      <c r="AZ25" t="s">
        <v>74</v>
      </c>
      <c r="BA25" t="s">
        <v>74</v>
      </c>
      <c r="BB25" t="s">
        <v>74</v>
      </c>
      <c r="BC25" t="s">
        <v>74</v>
      </c>
      <c r="BD25">
        <v>2215564</v>
      </c>
      <c r="BE25" t="s">
        <v>574</v>
      </c>
      <c r="BF25" t="str">
        <f>HYPERLINK("http://dx.doi.org/10.1080/23311983.2023.2215564","http://dx.doi.org/10.1080/23311983.2023.2215564")</f>
        <v>http://dx.doi.org/10.1080/23311983.2023.2215564</v>
      </c>
      <c r="BG25" t="s">
        <v>74</v>
      </c>
      <c r="BH25" t="s">
        <v>74</v>
      </c>
      <c r="BI25">
        <v>11</v>
      </c>
      <c r="BJ25" t="s">
        <v>575</v>
      </c>
      <c r="BK25" t="s">
        <v>211</v>
      </c>
      <c r="BL25" t="s">
        <v>576</v>
      </c>
      <c r="BM25" t="s">
        <v>577</v>
      </c>
      <c r="BN25" t="s">
        <v>74</v>
      </c>
      <c r="BO25" t="s">
        <v>126</v>
      </c>
      <c r="BP25" t="s">
        <v>74</v>
      </c>
      <c r="BQ25" t="s">
        <v>74</v>
      </c>
      <c r="BR25" t="s">
        <v>105</v>
      </c>
      <c r="BS25" t="s">
        <v>578</v>
      </c>
      <c r="BT25" t="str">
        <f>HYPERLINK("https%3A%2F%2Fwww.webofscience.com%2Fwos%2Fwoscc%2Ffull-record%2FWOS:000990263700001","View Full Record in Web of Science")</f>
        <v>View Full Record in Web of Science</v>
      </c>
    </row>
    <row r="26" spans="1:72" x14ac:dyDescent="0.15">
      <c r="A26" t="s">
        <v>72</v>
      </c>
      <c r="B26" t="s">
        <v>579</v>
      </c>
      <c r="C26" t="s">
        <v>74</v>
      </c>
      <c r="D26" t="s">
        <v>74</v>
      </c>
      <c r="E26" t="s">
        <v>74</v>
      </c>
      <c r="F26" t="s">
        <v>580</v>
      </c>
      <c r="G26" t="s">
        <v>74</v>
      </c>
      <c r="H26" t="s">
        <v>74</v>
      </c>
      <c r="I26" t="s">
        <v>581</v>
      </c>
      <c r="J26" t="s">
        <v>563</v>
      </c>
      <c r="K26" t="s">
        <v>74</v>
      </c>
      <c r="L26" t="s">
        <v>74</v>
      </c>
      <c r="M26" t="s">
        <v>78</v>
      </c>
      <c r="N26" t="s">
        <v>79</v>
      </c>
      <c r="O26" t="s">
        <v>74</v>
      </c>
      <c r="P26" t="s">
        <v>74</v>
      </c>
      <c r="Q26" t="s">
        <v>74</v>
      </c>
      <c r="R26" t="s">
        <v>74</v>
      </c>
      <c r="S26" t="s">
        <v>74</v>
      </c>
      <c r="T26" t="s">
        <v>582</v>
      </c>
      <c r="U26" t="s">
        <v>583</v>
      </c>
      <c r="V26" t="s">
        <v>584</v>
      </c>
      <c r="W26" t="s">
        <v>585</v>
      </c>
      <c r="X26" t="s">
        <v>586</v>
      </c>
      <c r="Y26" t="s">
        <v>587</v>
      </c>
      <c r="Z26" t="s">
        <v>588</v>
      </c>
      <c r="AA26" t="s">
        <v>74</v>
      </c>
      <c r="AB26" t="s">
        <v>74</v>
      </c>
      <c r="AC26" t="s">
        <v>74</v>
      </c>
      <c r="AD26" t="s">
        <v>74</v>
      </c>
      <c r="AE26" t="s">
        <v>74</v>
      </c>
      <c r="AF26" t="s">
        <v>74</v>
      </c>
      <c r="AG26">
        <v>29</v>
      </c>
      <c r="AH26">
        <v>0</v>
      </c>
      <c r="AI26">
        <v>0</v>
      </c>
      <c r="AJ26">
        <v>1</v>
      </c>
      <c r="AK26">
        <v>1</v>
      </c>
      <c r="AL26" t="s">
        <v>287</v>
      </c>
      <c r="AM26" t="s">
        <v>288</v>
      </c>
      <c r="AN26" t="s">
        <v>289</v>
      </c>
      <c r="AO26" t="s">
        <v>571</v>
      </c>
      <c r="AP26" t="s">
        <v>74</v>
      </c>
      <c r="AQ26" t="s">
        <v>74</v>
      </c>
      <c r="AR26" t="s">
        <v>572</v>
      </c>
      <c r="AS26" t="s">
        <v>573</v>
      </c>
      <c r="AT26" t="s">
        <v>99</v>
      </c>
      <c r="AU26">
        <v>2023</v>
      </c>
      <c r="AV26">
        <v>10</v>
      </c>
      <c r="AW26">
        <v>1</v>
      </c>
      <c r="AX26" t="s">
        <v>74</v>
      </c>
      <c r="AY26" t="s">
        <v>74</v>
      </c>
      <c r="AZ26" t="s">
        <v>74</v>
      </c>
      <c r="BA26" t="s">
        <v>74</v>
      </c>
      <c r="BB26" t="s">
        <v>74</v>
      </c>
      <c r="BC26" t="s">
        <v>74</v>
      </c>
      <c r="BD26">
        <v>2204628</v>
      </c>
      <c r="BE26" t="s">
        <v>589</v>
      </c>
      <c r="BF26" t="str">
        <f>HYPERLINK("http://dx.doi.org/10.1080/23311983.2023.2204628","http://dx.doi.org/10.1080/23311983.2023.2204628")</f>
        <v>http://dx.doi.org/10.1080/23311983.2023.2204628</v>
      </c>
      <c r="BG26" t="s">
        <v>74</v>
      </c>
      <c r="BH26" t="s">
        <v>74</v>
      </c>
      <c r="BI26">
        <v>15</v>
      </c>
      <c r="BJ26" t="s">
        <v>575</v>
      </c>
      <c r="BK26" t="s">
        <v>211</v>
      </c>
      <c r="BL26" t="s">
        <v>576</v>
      </c>
      <c r="BM26" t="s">
        <v>590</v>
      </c>
      <c r="BN26" t="s">
        <v>74</v>
      </c>
      <c r="BO26" t="s">
        <v>126</v>
      </c>
      <c r="BP26" t="s">
        <v>74</v>
      </c>
      <c r="BQ26" t="s">
        <v>74</v>
      </c>
      <c r="BR26" t="s">
        <v>105</v>
      </c>
      <c r="BS26" t="s">
        <v>591</v>
      </c>
      <c r="BT26" t="str">
        <f>HYPERLINK("https%3A%2F%2Fwww.webofscience.com%2Fwos%2Fwoscc%2Ffull-record%2FWOS:000981240800001","View Full Record in Web of Science")</f>
        <v>View Full Record in Web of Science</v>
      </c>
    </row>
    <row r="27" spans="1:72" x14ac:dyDescent="0.15">
      <c r="A27" t="s">
        <v>72</v>
      </c>
      <c r="B27" t="s">
        <v>592</v>
      </c>
      <c r="C27" t="s">
        <v>74</v>
      </c>
      <c r="D27" t="s">
        <v>74</v>
      </c>
      <c r="E27" t="s">
        <v>74</v>
      </c>
      <c r="F27" t="s">
        <v>593</v>
      </c>
      <c r="G27" t="s">
        <v>74</v>
      </c>
      <c r="H27" t="s">
        <v>74</v>
      </c>
      <c r="I27" t="s">
        <v>594</v>
      </c>
      <c r="J27" t="s">
        <v>379</v>
      </c>
      <c r="K27" t="s">
        <v>74</v>
      </c>
      <c r="L27" t="s">
        <v>74</v>
      </c>
      <c r="M27" t="s">
        <v>78</v>
      </c>
      <c r="N27" t="s">
        <v>79</v>
      </c>
      <c r="O27" t="s">
        <v>74</v>
      </c>
      <c r="P27" t="s">
        <v>74</v>
      </c>
      <c r="Q27" t="s">
        <v>74</v>
      </c>
      <c r="R27" t="s">
        <v>74</v>
      </c>
      <c r="S27" t="s">
        <v>74</v>
      </c>
      <c r="T27" t="s">
        <v>595</v>
      </c>
      <c r="U27" t="s">
        <v>596</v>
      </c>
      <c r="V27" t="s">
        <v>597</v>
      </c>
      <c r="W27" t="s">
        <v>598</v>
      </c>
      <c r="X27" t="s">
        <v>599</v>
      </c>
      <c r="Y27" t="s">
        <v>600</v>
      </c>
      <c r="Z27" t="s">
        <v>601</v>
      </c>
      <c r="AA27" t="s">
        <v>602</v>
      </c>
      <c r="AB27" t="s">
        <v>603</v>
      </c>
      <c r="AC27" t="s">
        <v>74</v>
      </c>
      <c r="AD27" t="s">
        <v>74</v>
      </c>
      <c r="AE27" t="s">
        <v>74</v>
      </c>
      <c r="AF27" t="s">
        <v>74</v>
      </c>
      <c r="AG27">
        <v>123</v>
      </c>
      <c r="AH27">
        <v>0</v>
      </c>
      <c r="AI27">
        <v>0</v>
      </c>
      <c r="AJ27">
        <v>6</v>
      </c>
      <c r="AK27">
        <v>11</v>
      </c>
      <c r="AL27" t="s">
        <v>287</v>
      </c>
      <c r="AM27" t="s">
        <v>288</v>
      </c>
      <c r="AN27" t="s">
        <v>289</v>
      </c>
      <c r="AO27" t="s">
        <v>392</v>
      </c>
      <c r="AP27" t="s">
        <v>74</v>
      </c>
      <c r="AQ27" t="s">
        <v>74</v>
      </c>
      <c r="AR27" t="s">
        <v>393</v>
      </c>
      <c r="AS27" t="s">
        <v>394</v>
      </c>
      <c r="AT27" t="s">
        <v>99</v>
      </c>
      <c r="AU27">
        <v>2023</v>
      </c>
      <c r="AV27">
        <v>9</v>
      </c>
      <c r="AW27">
        <v>1</v>
      </c>
      <c r="AX27" t="s">
        <v>74</v>
      </c>
      <c r="AY27" t="s">
        <v>74</v>
      </c>
      <c r="AZ27" t="s">
        <v>74</v>
      </c>
      <c r="BA27" t="s">
        <v>74</v>
      </c>
      <c r="BB27" t="s">
        <v>74</v>
      </c>
      <c r="BC27" t="s">
        <v>74</v>
      </c>
      <c r="BD27">
        <v>2167570</v>
      </c>
      <c r="BE27" t="s">
        <v>604</v>
      </c>
      <c r="BF27" t="str">
        <f>HYPERLINK("http://dx.doi.org/10.1080/23311886.2023.2167570","http://dx.doi.org/10.1080/23311886.2023.2167570")</f>
        <v>http://dx.doi.org/10.1080/23311886.2023.2167570</v>
      </c>
      <c r="BG27" t="s">
        <v>74</v>
      </c>
      <c r="BH27" t="s">
        <v>74</v>
      </c>
      <c r="BI27">
        <v>26</v>
      </c>
      <c r="BJ27" t="s">
        <v>396</v>
      </c>
      <c r="BK27" t="s">
        <v>211</v>
      </c>
      <c r="BL27" t="s">
        <v>397</v>
      </c>
      <c r="BM27" t="s">
        <v>605</v>
      </c>
      <c r="BN27" t="s">
        <v>74</v>
      </c>
      <c r="BO27" t="s">
        <v>126</v>
      </c>
      <c r="BP27" t="s">
        <v>74</v>
      </c>
      <c r="BQ27" t="s">
        <v>74</v>
      </c>
      <c r="BR27" t="s">
        <v>105</v>
      </c>
      <c r="BS27" t="s">
        <v>606</v>
      </c>
      <c r="BT27" t="str">
        <f>HYPERLINK("https%3A%2F%2Fwww.webofscience.com%2Fwos%2Fwoscc%2Ffull-record%2FWOS:000922033500001","View Full Record in Web of Science")</f>
        <v>View Full Record in Web of Science</v>
      </c>
    </row>
    <row r="28" spans="1:72" x14ac:dyDescent="0.15">
      <c r="A28" t="s">
        <v>72</v>
      </c>
      <c r="B28" t="s">
        <v>607</v>
      </c>
      <c r="C28" t="s">
        <v>74</v>
      </c>
      <c r="D28" t="s">
        <v>74</v>
      </c>
      <c r="E28" t="s">
        <v>74</v>
      </c>
      <c r="F28" t="s">
        <v>608</v>
      </c>
      <c r="G28" t="s">
        <v>74</v>
      </c>
      <c r="H28" t="s">
        <v>74</v>
      </c>
      <c r="I28" t="s">
        <v>609</v>
      </c>
      <c r="J28" t="s">
        <v>610</v>
      </c>
      <c r="K28" t="s">
        <v>74</v>
      </c>
      <c r="L28" t="s">
        <v>74</v>
      </c>
      <c r="M28" t="s">
        <v>78</v>
      </c>
      <c r="N28" t="s">
        <v>79</v>
      </c>
      <c r="O28" t="s">
        <v>74</v>
      </c>
      <c r="P28" t="s">
        <v>74</v>
      </c>
      <c r="Q28" t="s">
        <v>74</v>
      </c>
      <c r="R28" t="s">
        <v>74</v>
      </c>
      <c r="S28" t="s">
        <v>74</v>
      </c>
      <c r="T28" t="s">
        <v>611</v>
      </c>
      <c r="U28" t="s">
        <v>612</v>
      </c>
      <c r="V28" t="s">
        <v>613</v>
      </c>
      <c r="W28" t="s">
        <v>614</v>
      </c>
      <c r="X28" t="s">
        <v>615</v>
      </c>
      <c r="Y28" t="s">
        <v>616</v>
      </c>
      <c r="Z28" t="s">
        <v>617</v>
      </c>
      <c r="AA28" t="s">
        <v>74</v>
      </c>
      <c r="AB28" t="s">
        <v>74</v>
      </c>
      <c r="AC28" t="s">
        <v>618</v>
      </c>
      <c r="AD28" t="s">
        <v>619</v>
      </c>
      <c r="AE28" t="s">
        <v>620</v>
      </c>
      <c r="AF28" t="s">
        <v>74</v>
      </c>
      <c r="AG28">
        <v>76</v>
      </c>
      <c r="AH28">
        <v>0</v>
      </c>
      <c r="AI28">
        <v>0</v>
      </c>
      <c r="AJ28">
        <v>2</v>
      </c>
      <c r="AK28">
        <v>2</v>
      </c>
      <c r="AL28" t="s">
        <v>92</v>
      </c>
      <c r="AM28" t="s">
        <v>93</v>
      </c>
      <c r="AN28" t="s">
        <v>94</v>
      </c>
      <c r="AO28" t="s">
        <v>621</v>
      </c>
      <c r="AP28" t="s">
        <v>622</v>
      </c>
      <c r="AQ28" t="s">
        <v>74</v>
      </c>
      <c r="AR28" t="s">
        <v>623</v>
      </c>
      <c r="AS28" t="s">
        <v>624</v>
      </c>
      <c r="AT28" t="s">
        <v>99</v>
      </c>
      <c r="AU28">
        <v>2023</v>
      </c>
      <c r="AV28">
        <v>21</v>
      </c>
      <c r="AW28">
        <v>1</v>
      </c>
      <c r="AX28" t="s">
        <v>74</v>
      </c>
      <c r="AY28" t="s">
        <v>74</v>
      </c>
      <c r="AZ28" t="s">
        <v>74</v>
      </c>
      <c r="BA28" t="s">
        <v>74</v>
      </c>
      <c r="BB28" t="s">
        <v>74</v>
      </c>
      <c r="BC28" t="s">
        <v>74</v>
      </c>
      <c r="BD28">
        <v>2253647</v>
      </c>
      <c r="BE28" t="s">
        <v>625</v>
      </c>
      <c r="BF28" t="str">
        <f>HYPERLINK("http://dx.doi.org/10.1080/14735903.2023.2253647","http://dx.doi.org/10.1080/14735903.2023.2253647")</f>
        <v>http://dx.doi.org/10.1080/14735903.2023.2253647</v>
      </c>
      <c r="BG28" t="s">
        <v>74</v>
      </c>
      <c r="BH28" t="s">
        <v>74</v>
      </c>
      <c r="BI28">
        <v>17</v>
      </c>
      <c r="BJ28" t="s">
        <v>626</v>
      </c>
      <c r="BK28" t="s">
        <v>102</v>
      </c>
      <c r="BL28" t="s">
        <v>627</v>
      </c>
      <c r="BM28" t="s">
        <v>628</v>
      </c>
      <c r="BN28" t="s">
        <v>74</v>
      </c>
      <c r="BO28" t="s">
        <v>126</v>
      </c>
      <c r="BP28" t="s">
        <v>74</v>
      </c>
      <c r="BQ28" t="s">
        <v>74</v>
      </c>
      <c r="BR28" t="s">
        <v>105</v>
      </c>
      <c r="BS28" t="s">
        <v>629</v>
      </c>
      <c r="BT28" t="str">
        <f>HYPERLINK("https%3A%2F%2Fwww.webofscience.com%2Fwos%2Fwoscc%2Ffull-record%2FWOS:001061325600001","View Full Record in Web of Science")</f>
        <v>View Full Record in Web of Science</v>
      </c>
    </row>
    <row r="29" spans="1:72" x14ac:dyDescent="0.15">
      <c r="A29" t="s">
        <v>72</v>
      </c>
      <c r="B29" t="s">
        <v>630</v>
      </c>
      <c r="C29" t="s">
        <v>74</v>
      </c>
      <c r="D29" t="s">
        <v>74</v>
      </c>
      <c r="E29" t="s">
        <v>74</v>
      </c>
      <c r="F29" t="s">
        <v>631</v>
      </c>
      <c r="G29" t="s">
        <v>74</v>
      </c>
      <c r="H29" t="s">
        <v>74</v>
      </c>
      <c r="I29" t="s">
        <v>632</v>
      </c>
      <c r="J29" t="s">
        <v>170</v>
      </c>
      <c r="K29" t="s">
        <v>74</v>
      </c>
      <c r="L29" t="s">
        <v>74</v>
      </c>
      <c r="M29" t="s">
        <v>78</v>
      </c>
      <c r="N29" t="s">
        <v>171</v>
      </c>
      <c r="O29" t="s">
        <v>74</v>
      </c>
      <c r="P29" t="s">
        <v>74</v>
      </c>
      <c r="Q29" t="s">
        <v>74</v>
      </c>
      <c r="R29" t="s">
        <v>74</v>
      </c>
      <c r="S29" t="s">
        <v>74</v>
      </c>
      <c r="T29" t="s">
        <v>633</v>
      </c>
      <c r="U29" t="s">
        <v>634</v>
      </c>
      <c r="V29" t="s">
        <v>635</v>
      </c>
      <c r="W29" t="s">
        <v>636</v>
      </c>
      <c r="X29" t="s">
        <v>637</v>
      </c>
      <c r="Y29" t="s">
        <v>638</v>
      </c>
      <c r="Z29" t="s">
        <v>639</v>
      </c>
      <c r="AA29" t="s">
        <v>640</v>
      </c>
      <c r="AB29" t="s">
        <v>641</v>
      </c>
      <c r="AC29" t="s">
        <v>74</v>
      </c>
      <c r="AD29" t="s">
        <v>74</v>
      </c>
      <c r="AE29" t="s">
        <v>74</v>
      </c>
      <c r="AF29" t="s">
        <v>74</v>
      </c>
      <c r="AG29">
        <v>215</v>
      </c>
      <c r="AH29">
        <v>6</v>
      </c>
      <c r="AI29">
        <v>6</v>
      </c>
      <c r="AJ29">
        <v>17</v>
      </c>
      <c r="AK29">
        <v>36</v>
      </c>
      <c r="AL29" t="s">
        <v>184</v>
      </c>
      <c r="AM29" t="s">
        <v>185</v>
      </c>
      <c r="AN29" t="s">
        <v>186</v>
      </c>
      <c r="AO29" t="s">
        <v>187</v>
      </c>
      <c r="AP29" t="s">
        <v>188</v>
      </c>
      <c r="AQ29" t="s">
        <v>74</v>
      </c>
      <c r="AR29" t="s">
        <v>189</v>
      </c>
      <c r="AS29" t="s">
        <v>190</v>
      </c>
      <c r="AT29" t="s">
        <v>99</v>
      </c>
      <c r="AU29">
        <v>2023</v>
      </c>
      <c r="AV29">
        <v>26</v>
      </c>
      <c r="AW29">
        <v>1</v>
      </c>
      <c r="AX29" t="s">
        <v>74</v>
      </c>
      <c r="AY29" t="s">
        <v>74</v>
      </c>
      <c r="AZ29" t="s">
        <v>74</v>
      </c>
      <c r="BA29" t="s">
        <v>74</v>
      </c>
      <c r="BB29">
        <v>389</v>
      </c>
      <c r="BC29">
        <v>413</v>
      </c>
      <c r="BD29" t="s">
        <v>74</v>
      </c>
      <c r="BE29" t="s">
        <v>642</v>
      </c>
      <c r="BF29" t="str">
        <f>HYPERLINK("http://dx.doi.org/10.1080/10942912.2022.2164590","http://dx.doi.org/10.1080/10942912.2022.2164590")</f>
        <v>http://dx.doi.org/10.1080/10942912.2022.2164590</v>
      </c>
      <c r="BG29" t="s">
        <v>74</v>
      </c>
      <c r="BH29" t="s">
        <v>74</v>
      </c>
      <c r="BI29">
        <v>25</v>
      </c>
      <c r="BJ29" t="s">
        <v>192</v>
      </c>
      <c r="BK29" t="s">
        <v>102</v>
      </c>
      <c r="BL29" t="s">
        <v>192</v>
      </c>
      <c r="BM29" t="s">
        <v>643</v>
      </c>
      <c r="BN29" t="s">
        <v>74</v>
      </c>
      <c r="BO29" t="s">
        <v>126</v>
      </c>
      <c r="BP29" t="s">
        <v>74</v>
      </c>
      <c r="BQ29" t="s">
        <v>74</v>
      </c>
      <c r="BR29" t="s">
        <v>105</v>
      </c>
      <c r="BS29" t="s">
        <v>644</v>
      </c>
      <c r="BT29" t="str">
        <f>HYPERLINK("https%3A%2F%2Fwww.webofscience.com%2Fwos%2Fwoscc%2Ffull-record%2FWOS:000912176900001","View Full Record in Web of Science")</f>
        <v>View Full Record in Web of Science</v>
      </c>
    </row>
    <row r="30" spans="1:72" x14ac:dyDescent="0.15">
      <c r="A30" t="s">
        <v>72</v>
      </c>
      <c r="B30" t="s">
        <v>645</v>
      </c>
      <c r="C30" t="s">
        <v>74</v>
      </c>
      <c r="D30" t="s">
        <v>74</v>
      </c>
      <c r="E30" t="s">
        <v>74</v>
      </c>
      <c r="F30" t="s">
        <v>646</v>
      </c>
      <c r="G30" t="s">
        <v>74</v>
      </c>
      <c r="H30" t="s">
        <v>74</v>
      </c>
      <c r="I30" t="s">
        <v>647</v>
      </c>
      <c r="J30" t="s">
        <v>648</v>
      </c>
      <c r="K30" t="s">
        <v>74</v>
      </c>
      <c r="L30" t="s">
        <v>74</v>
      </c>
      <c r="M30" t="s">
        <v>78</v>
      </c>
      <c r="N30" t="s">
        <v>79</v>
      </c>
      <c r="O30" t="s">
        <v>74</v>
      </c>
      <c r="P30" t="s">
        <v>74</v>
      </c>
      <c r="Q30" t="s">
        <v>74</v>
      </c>
      <c r="R30" t="s">
        <v>74</v>
      </c>
      <c r="S30" t="s">
        <v>74</v>
      </c>
      <c r="T30" t="s">
        <v>649</v>
      </c>
      <c r="U30" t="s">
        <v>650</v>
      </c>
      <c r="V30" t="s">
        <v>651</v>
      </c>
      <c r="W30" t="s">
        <v>652</v>
      </c>
      <c r="X30" t="s">
        <v>653</v>
      </c>
      <c r="Y30" t="s">
        <v>654</v>
      </c>
      <c r="Z30" t="s">
        <v>655</v>
      </c>
      <c r="AA30" t="s">
        <v>656</v>
      </c>
      <c r="AB30" t="s">
        <v>657</v>
      </c>
      <c r="AC30" t="s">
        <v>74</v>
      </c>
      <c r="AD30" t="s">
        <v>74</v>
      </c>
      <c r="AE30" t="s">
        <v>74</v>
      </c>
      <c r="AF30" t="s">
        <v>74</v>
      </c>
      <c r="AG30">
        <v>91</v>
      </c>
      <c r="AH30">
        <v>0</v>
      </c>
      <c r="AI30">
        <v>0</v>
      </c>
      <c r="AJ30">
        <v>3</v>
      </c>
      <c r="AK30">
        <v>3</v>
      </c>
      <c r="AL30" t="s">
        <v>92</v>
      </c>
      <c r="AM30" t="s">
        <v>93</v>
      </c>
      <c r="AN30" t="s">
        <v>94</v>
      </c>
      <c r="AO30" t="s">
        <v>658</v>
      </c>
      <c r="AP30" t="s">
        <v>659</v>
      </c>
      <c r="AQ30" t="s">
        <v>74</v>
      </c>
      <c r="AR30" t="s">
        <v>660</v>
      </c>
      <c r="AS30" t="s">
        <v>661</v>
      </c>
      <c r="AT30" t="s">
        <v>99</v>
      </c>
      <c r="AU30">
        <v>2023</v>
      </c>
      <c r="AV30">
        <v>18</v>
      </c>
      <c r="AW30">
        <v>1</v>
      </c>
      <c r="AX30" t="s">
        <v>74</v>
      </c>
      <c r="AY30" t="s">
        <v>74</v>
      </c>
      <c r="AZ30" t="s">
        <v>74</v>
      </c>
      <c r="BA30" t="s">
        <v>74</v>
      </c>
      <c r="BB30" t="s">
        <v>74</v>
      </c>
      <c r="BC30" t="s">
        <v>74</v>
      </c>
      <c r="BD30">
        <v>2204564</v>
      </c>
      <c r="BE30" t="s">
        <v>662</v>
      </c>
      <c r="BF30" t="str">
        <f>HYPERLINK("http://dx.doi.org/10.1080/19932820.2023.2204564","http://dx.doi.org/10.1080/19932820.2023.2204564")</f>
        <v>http://dx.doi.org/10.1080/19932820.2023.2204564</v>
      </c>
      <c r="BG30" t="s">
        <v>74</v>
      </c>
      <c r="BH30" t="s">
        <v>74</v>
      </c>
      <c r="BI30">
        <v>14</v>
      </c>
      <c r="BJ30" t="s">
        <v>663</v>
      </c>
      <c r="BK30" t="s">
        <v>102</v>
      </c>
      <c r="BL30" t="s">
        <v>664</v>
      </c>
      <c r="BM30" t="s">
        <v>665</v>
      </c>
      <c r="BN30">
        <v>37096573</v>
      </c>
      <c r="BO30" t="s">
        <v>165</v>
      </c>
      <c r="BP30" t="s">
        <v>74</v>
      </c>
      <c r="BQ30" t="s">
        <v>74</v>
      </c>
      <c r="BR30" t="s">
        <v>105</v>
      </c>
      <c r="BS30" t="s">
        <v>666</v>
      </c>
      <c r="BT30" t="str">
        <f>HYPERLINK("https%3A%2F%2Fwww.webofscience.com%2Fwos%2Fwoscc%2Ffull-record%2FWOS:000974064300001","View Full Record in Web of Science")</f>
        <v>View Full Record in Web of Science</v>
      </c>
    </row>
    <row r="31" spans="1:72" x14ac:dyDescent="0.15">
      <c r="A31" t="s">
        <v>72</v>
      </c>
      <c r="B31" t="s">
        <v>667</v>
      </c>
      <c r="C31" t="s">
        <v>74</v>
      </c>
      <c r="D31" t="s">
        <v>74</v>
      </c>
      <c r="E31" t="s">
        <v>74</v>
      </c>
      <c r="F31" t="s">
        <v>668</v>
      </c>
      <c r="G31" t="s">
        <v>74</v>
      </c>
      <c r="H31" t="s">
        <v>74</v>
      </c>
      <c r="I31" t="s">
        <v>669</v>
      </c>
      <c r="J31" t="s">
        <v>670</v>
      </c>
      <c r="K31" t="s">
        <v>74</v>
      </c>
      <c r="L31" t="s">
        <v>74</v>
      </c>
      <c r="M31" t="s">
        <v>78</v>
      </c>
      <c r="N31" t="s">
        <v>79</v>
      </c>
      <c r="O31" t="s">
        <v>74</v>
      </c>
      <c r="P31" t="s">
        <v>74</v>
      </c>
      <c r="Q31" t="s">
        <v>74</v>
      </c>
      <c r="R31" t="s">
        <v>74</v>
      </c>
      <c r="S31" t="s">
        <v>74</v>
      </c>
      <c r="T31" t="s">
        <v>671</v>
      </c>
      <c r="U31" t="s">
        <v>672</v>
      </c>
      <c r="V31" t="s">
        <v>673</v>
      </c>
      <c r="W31" t="s">
        <v>674</v>
      </c>
      <c r="X31" t="s">
        <v>675</v>
      </c>
      <c r="Y31" t="s">
        <v>676</v>
      </c>
      <c r="Z31" t="s">
        <v>677</v>
      </c>
      <c r="AA31" t="s">
        <v>74</v>
      </c>
      <c r="AB31" t="s">
        <v>74</v>
      </c>
      <c r="AC31" t="s">
        <v>74</v>
      </c>
      <c r="AD31" t="s">
        <v>74</v>
      </c>
      <c r="AE31" t="s">
        <v>74</v>
      </c>
      <c r="AF31" t="s">
        <v>74</v>
      </c>
      <c r="AG31">
        <v>77</v>
      </c>
      <c r="AH31">
        <v>0</v>
      </c>
      <c r="AI31">
        <v>0</v>
      </c>
      <c r="AJ31">
        <v>8</v>
      </c>
      <c r="AK31">
        <v>8</v>
      </c>
      <c r="AL31" t="s">
        <v>92</v>
      </c>
      <c r="AM31" t="s">
        <v>93</v>
      </c>
      <c r="AN31" t="s">
        <v>94</v>
      </c>
      <c r="AO31" t="s">
        <v>678</v>
      </c>
      <c r="AP31" t="s">
        <v>679</v>
      </c>
      <c r="AQ31" t="s">
        <v>74</v>
      </c>
      <c r="AR31" t="s">
        <v>680</v>
      </c>
      <c r="AS31" t="s">
        <v>681</v>
      </c>
      <c r="AT31" t="s">
        <v>99</v>
      </c>
      <c r="AU31">
        <v>2023</v>
      </c>
      <c r="AV31">
        <v>14</v>
      </c>
      <c r="AW31">
        <v>1</v>
      </c>
      <c r="AX31" t="s">
        <v>74</v>
      </c>
      <c r="AY31" t="s">
        <v>74</v>
      </c>
      <c r="AZ31" t="s">
        <v>74</v>
      </c>
      <c r="BA31" t="s">
        <v>74</v>
      </c>
      <c r="BB31" t="s">
        <v>74</v>
      </c>
      <c r="BC31" t="s">
        <v>74</v>
      </c>
      <c r="BD31">
        <v>2215905</v>
      </c>
      <c r="BE31" t="s">
        <v>682</v>
      </c>
      <c r="BF31" t="str">
        <f>HYPERLINK("http://dx.doi.org/10.1080/19475705.2023.2215905","http://dx.doi.org/10.1080/19475705.2023.2215905")</f>
        <v>http://dx.doi.org/10.1080/19475705.2023.2215905</v>
      </c>
      <c r="BG31" t="s">
        <v>74</v>
      </c>
      <c r="BH31" t="s">
        <v>74</v>
      </c>
      <c r="BI31">
        <v>20</v>
      </c>
      <c r="BJ31" t="s">
        <v>683</v>
      </c>
      <c r="BK31" t="s">
        <v>102</v>
      </c>
      <c r="BL31" t="s">
        <v>684</v>
      </c>
      <c r="BM31" t="s">
        <v>685</v>
      </c>
      <c r="BN31" t="s">
        <v>74</v>
      </c>
      <c r="BO31" t="s">
        <v>126</v>
      </c>
      <c r="BP31" t="s">
        <v>74</v>
      </c>
      <c r="BQ31" t="s">
        <v>74</v>
      </c>
      <c r="BR31" t="s">
        <v>105</v>
      </c>
      <c r="BS31" t="s">
        <v>686</v>
      </c>
      <c r="BT31" t="str">
        <f>HYPERLINK("https%3A%2F%2Fwww.webofscience.com%2Fwos%2Fwoscc%2Ffull-record%2FWOS:000994871300001","View Full Record in Web of Science")</f>
        <v>View Full Record in Web of Science</v>
      </c>
    </row>
    <row r="32" spans="1:72" x14ac:dyDescent="0.15">
      <c r="A32" t="s">
        <v>72</v>
      </c>
      <c r="B32" t="s">
        <v>687</v>
      </c>
      <c r="C32" t="s">
        <v>74</v>
      </c>
      <c r="D32" t="s">
        <v>74</v>
      </c>
      <c r="E32" t="s">
        <v>74</v>
      </c>
      <c r="F32" t="s">
        <v>688</v>
      </c>
      <c r="G32" t="s">
        <v>74</v>
      </c>
      <c r="H32" t="s">
        <v>74</v>
      </c>
      <c r="I32" t="s">
        <v>689</v>
      </c>
      <c r="J32" t="s">
        <v>278</v>
      </c>
      <c r="K32" t="s">
        <v>74</v>
      </c>
      <c r="L32" t="s">
        <v>74</v>
      </c>
      <c r="M32" t="s">
        <v>78</v>
      </c>
      <c r="N32" t="s">
        <v>79</v>
      </c>
      <c r="O32" t="s">
        <v>74</v>
      </c>
      <c r="P32" t="s">
        <v>74</v>
      </c>
      <c r="Q32" t="s">
        <v>74</v>
      </c>
      <c r="R32" t="s">
        <v>74</v>
      </c>
      <c r="S32" t="s">
        <v>74</v>
      </c>
      <c r="T32" t="s">
        <v>690</v>
      </c>
      <c r="U32" t="s">
        <v>691</v>
      </c>
      <c r="V32" t="s">
        <v>692</v>
      </c>
      <c r="W32" t="s">
        <v>693</v>
      </c>
      <c r="X32" t="s">
        <v>74</v>
      </c>
      <c r="Y32" t="s">
        <v>694</v>
      </c>
      <c r="Z32" t="s">
        <v>695</v>
      </c>
      <c r="AA32" t="s">
        <v>696</v>
      </c>
      <c r="AB32" t="s">
        <v>697</v>
      </c>
      <c r="AC32" t="s">
        <v>74</v>
      </c>
      <c r="AD32" t="s">
        <v>74</v>
      </c>
      <c r="AE32" t="s">
        <v>74</v>
      </c>
      <c r="AF32" t="s">
        <v>74</v>
      </c>
      <c r="AG32">
        <v>38</v>
      </c>
      <c r="AH32">
        <v>0</v>
      </c>
      <c r="AI32">
        <v>0</v>
      </c>
      <c r="AJ32">
        <v>3</v>
      </c>
      <c r="AK32">
        <v>9</v>
      </c>
      <c r="AL32" t="s">
        <v>287</v>
      </c>
      <c r="AM32" t="s">
        <v>288</v>
      </c>
      <c r="AN32" t="s">
        <v>289</v>
      </c>
      <c r="AO32" t="s">
        <v>290</v>
      </c>
      <c r="AP32" t="s">
        <v>74</v>
      </c>
      <c r="AQ32" t="s">
        <v>74</v>
      </c>
      <c r="AR32" t="s">
        <v>291</v>
      </c>
      <c r="AS32" t="s">
        <v>292</v>
      </c>
      <c r="AT32" t="s">
        <v>99</v>
      </c>
      <c r="AU32">
        <v>2023</v>
      </c>
      <c r="AV32">
        <v>10</v>
      </c>
      <c r="AW32">
        <v>1</v>
      </c>
      <c r="AX32" t="s">
        <v>74</v>
      </c>
      <c r="AY32" t="s">
        <v>74</v>
      </c>
      <c r="AZ32" t="s">
        <v>74</v>
      </c>
      <c r="BA32" t="s">
        <v>74</v>
      </c>
      <c r="BB32" t="s">
        <v>74</v>
      </c>
      <c r="BC32" t="s">
        <v>74</v>
      </c>
      <c r="BD32">
        <v>2162686</v>
      </c>
      <c r="BE32" t="s">
        <v>698</v>
      </c>
      <c r="BF32" t="str">
        <f>HYPERLINK("http://dx.doi.org/10.1080/23311975.2022.2162686","http://dx.doi.org/10.1080/23311975.2022.2162686")</f>
        <v>http://dx.doi.org/10.1080/23311975.2022.2162686</v>
      </c>
      <c r="BG32" t="s">
        <v>74</v>
      </c>
      <c r="BH32" t="s">
        <v>74</v>
      </c>
      <c r="BI32">
        <v>10</v>
      </c>
      <c r="BJ32" t="s">
        <v>294</v>
      </c>
      <c r="BK32" t="s">
        <v>211</v>
      </c>
      <c r="BL32" t="s">
        <v>295</v>
      </c>
      <c r="BM32" t="s">
        <v>699</v>
      </c>
      <c r="BN32" t="s">
        <v>74</v>
      </c>
      <c r="BO32" t="s">
        <v>126</v>
      </c>
      <c r="BP32" t="s">
        <v>74</v>
      </c>
      <c r="BQ32" t="s">
        <v>74</v>
      </c>
      <c r="BR32" t="s">
        <v>105</v>
      </c>
      <c r="BS32" t="s">
        <v>700</v>
      </c>
      <c r="BT32" t="str">
        <f>HYPERLINK("https%3A%2F%2Fwww.webofscience.com%2Fwos%2Fwoscc%2Ffull-record%2FWOS:000903770800001","View Full Record in Web of Science")</f>
        <v>View Full Record in Web of Science</v>
      </c>
    </row>
    <row r="33" spans="1:72" x14ac:dyDescent="0.15">
      <c r="A33" t="s">
        <v>72</v>
      </c>
      <c r="B33" t="s">
        <v>701</v>
      </c>
      <c r="C33" t="s">
        <v>74</v>
      </c>
      <c r="D33" t="s">
        <v>74</v>
      </c>
      <c r="E33" t="s">
        <v>74</v>
      </c>
      <c r="F33" t="s">
        <v>702</v>
      </c>
      <c r="G33" t="s">
        <v>74</v>
      </c>
      <c r="H33" t="s">
        <v>74</v>
      </c>
      <c r="I33" t="s">
        <v>703</v>
      </c>
      <c r="J33" t="s">
        <v>379</v>
      </c>
      <c r="K33" t="s">
        <v>74</v>
      </c>
      <c r="L33" t="s">
        <v>74</v>
      </c>
      <c r="M33" t="s">
        <v>78</v>
      </c>
      <c r="N33" t="s">
        <v>79</v>
      </c>
      <c r="O33" t="s">
        <v>74</v>
      </c>
      <c r="P33" t="s">
        <v>74</v>
      </c>
      <c r="Q33" t="s">
        <v>74</v>
      </c>
      <c r="R33" t="s">
        <v>74</v>
      </c>
      <c r="S33" t="s">
        <v>74</v>
      </c>
      <c r="T33" t="s">
        <v>704</v>
      </c>
      <c r="U33" t="s">
        <v>705</v>
      </c>
      <c r="V33" t="s">
        <v>706</v>
      </c>
      <c r="W33" t="s">
        <v>707</v>
      </c>
      <c r="X33" t="s">
        <v>708</v>
      </c>
      <c r="Y33" t="s">
        <v>709</v>
      </c>
      <c r="Z33" t="s">
        <v>710</v>
      </c>
      <c r="AA33" t="s">
        <v>74</v>
      </c>
      <c r="AB33" t="s">
        <v>74</v>
      </c>
      <c r="AC33" t="s">
        <v>74</v>
      </c>
      <c r="AD33" t="s">
        <v>74</v>
      </c>
      <c r="AE33" t="s">
        <v>74</v>
      </c>
      <c r="AF33" t="s">
        <v>74</v>
      </c>
      <c r="AG33">
        <v>56</v>
      </c>
      <c r="AH33">
        <v>0</v>
      </c>
      <c r="AI33">
        <v>0</v>
      </c>
      <c r="AJ33">
        <v>6</v>
      </c>
      <c r="AK33">
        <v>6</v>
      </c>
      <c r="AL33" t="s">
        <v>287</v>
      </c>
      <c r="AM33" t="s">
        <v>288</v>
      </c>
      <c r="AN33" t="s">
        <v>289</v>
      </c>
      <c r="AO33" t="s">
        <v>392</v>
      </c>
      <c r="AP33" t="s">
        <v>74</v>
      </c>
      <c r="AQ33" t="s">
        <v>74</v>
      </c>
      <c r="AR33" t="s">
        <v>393</v>
      </c>
      <c r="AS33" t="s">
        <v>394</v>
      </c>
      <c r="AT33" t="s">
        <v>99</v>
      </c>
      <c r="AU33">
        <v>2023</v>
      </c>
      <c r="AV33">
        <v>9</v>
      </c>
      <c r="AW33">
        <v>1</v>
      </c>
      <c r="AX33" t="s">
        <v>74</v>
      </c>
      <c r="AY33" t="s">
        <v>74</v>
      </c>
      <c r="AZ33" t="s">
        <v>74</v>
      </c>
      <c r="BA33" t="s">
        <v>74</v>
      </c>
      <c r="BB33" t="s">
        <v>74</v>
      </c>
      <c r="BC33" t="s">
        <v>74</v>
      </c>
      <c r="BD33">
        <v>2235169</v>
      </c>
      <c r="BE33" t="s">
        <v>711</v>
      </c>
      <c r="BF33" t="str">
        <f>HYPERLINK("http://dx.doi.org/10.1080/23311886.2023.2235169","http://dx.doi.org/10.1080/23311886.2023.2235169")</f>
        <v>http://dx.doi.org/10.1080/23311886.2023.2235169</v>
      </c>
      <c r="BG33" t="s">
        <v>74</v>
      </c>
      <c r="BH33" t="s">
        <v>74</v>
      </c>
      <c r="BI33">
        <v>14</v>
      </c>
      <c r="BJ33" t="s">
        <v>396</v>
      </c>
      <c r="BK33" t="s">
        <v>211</v>
      </c>
      <c r="BL33" t="s">
        <v>397</v>
      </c>
      <c r="BM33" t="s">
        <v>712</v>
      </c>
      <c r="BN33" t="s">
        <v>74</v>
      </c>
      <c r="BO33" t="s">
        <v>126</v>
      </c>
      <c r="BP33" t="s">
        <v>74</v>
      </c>
      <c r="BQ33" t="s">
        <v>74</v>
      </c>
      <c r="BR33" t="s">
        <v>105</v>
      </c>
      <c r="BS33" t="s">
        <v>713</v>
      </c>
      <c r="BT33" t="str">
        <f>HYPERLINK("https%3A%2F%2Fwww.webofscience.com%2Fwos%2Fwoscc%2Ffull-record%2FWOS:001030371200001","View Full Record in Web of Science")</f>
        <v>View Full Record in Web of Science</v>
      </c>
    </row>
    <row r="34" spans="1:72" x14ac:dyDescent="0.15">
      <c r="A34" t="s">
        <v>72</v>
      </c>
      <c r="B34" t="s">
        <v>714</v>
      </c>
      <c r="C34" t="s">
        <v>74</v>
      </c>
      <c r="D34" t="s">
        <v>74</v>
      </c>
      <c r="E34" t="s">
        <v>74</v>
      </c>
      <c r="F34" t="s">
        <v>715</v>
      </c>
      <c r="G34" t="s">
        <v>74</v>
      </c>
      <c r="H34" t="s">
        <v>74</v>
      </c>
      <c r="I34" t="s">
        <v>716</v>
      </c>
      <c r="J34" t="s">
        <v>717</v>
      </c>
      <c r="K34" t="s">
        <v>74</v>
      </c>
      <c r="L34" t="s">
        <v>74</v>
      </c>
      <c r="M34" t="s">
        <v>78</v>
      </c>
      <c r="N34" t="s">
        <v>79</v>
      </c>
      <c r="O34" t="s">
        <v>74</v>
      </c>
      <c r="P34" t="s">
        <v>74</v>
      </c>
      <c r="Q34" t="s">
        <v>74</v>
      </c>
      <c r="R34" t="s">
        <v>74</v>
      </c>
      <c r="S34" t="s">
        <v>74</v>
      </c>
      <c r="T34" t="s">
        <v>718</v>
      </c>
      <c r="U34" t="s">
        <v>719</v>
      </c>
      <c r="V34" t="s">
        <v>720</v>
      </c>
      <c r="W34" t="s">
        <v>721</v>
      </c>
      <c r="X34" t="s">
        <v>722</v>
      </c>
      <c r="Y34" t="s">
        <v>723</v>
      </c>
      <c r="Z34" t="s">
        <v>724</v>
      </c>
      <c r="AA34" t="s">
        <v>725</v>
      </c>
      <c r="AB34" t="s">
        <v>726</v>
      </c>
      <c r="AC34" t="s">
        <v>74</v>
      </c>
      <c r="AD34" t="s">
        <v>74</v>
      </c>
      <c r="AE34" t="s">
        <v>74</v>
      </c>
      <c r="AF34" t="s">
        <v>74</v>
      </c>
      <c r="AG34">
        <v>88</v>
      </c>
      <c r="AH34">
        <v>0</v>
      </c>
      <c r="AI34">
        <v>0</v>
      </c>
      <c r="AJ34">
        <v>8</v>
      </c>
      <c r="AK34">
        <v>12</v>
      </c>
      <c r="AL34" t="s">
        <v>287</v>
      </c>
      <c r="AM34" t="s">
        <v>288</v>
      </c>
      <c r="AN34" t="s">
        <v>289</v>
      </c>
      <c r="AO34" t="s">
        <v>727</v>
      </c>
      <c r="AP34" t="s">
        <v>74</v>
      </c>
      <c r="AQ34" t="s">
        <v>74</v>
      </c>
      <c r="AR34" t="s">
        <v>728</v>
      </c>
      <c r="AS34" t="s">
        <v>729</v>
      </c>
      <c r="AT34" t="s">
        <v>99</v>
      </c>
      <c r="AU34">
        <v>2023</v>
      </c>
      <c r="AV34">
        <v>10</v>
      </c>
      <c r="AW34">
        <v>1</v>
      </c>
      <c r="AX34" t="s">
        <v>74</v>
      </c>
      <c r="AY34" t="s">
        <v>74</v>
      </c>
      <c r="AZ34" t="s">
        <v>74</v>
      </c>
      <c r="BA34" t="s">
        <v>74</v>
      </c>
      <c r="BB34" t="s">
        <v>74</v>
      </c>
      <c r="BC34" t="s">
        <v>74</v>
      </c>
      <c r="BD34">
        <v>2171621</v>
      </c>
      <c r="BE34" t="s">
        <v>730</v>
      </c>
      <c r="BF34" t="str">
        <f>HYPERLINK("http://dx.doi.org/10.1080/2331186X.2023.2171621","http://dx.doi.org/10.1080/2331186X.2023.2171621")</f>
        <v>http://dx.doi.org/10.1080/2331186X.2023.2171621</v>
      </c>
      <c r="BG34" t="s">
        <v>74</v>
      </c>
      <c r="BH34" t="s">
        <v>74</v>
      </c>
      <c r="BI34">
        <v>15</v>
      </c>
      <c r="BJ34" t="s">
        <v>271</v>
      </c>
      <c r="BK34" t="s">
        <v>211</v>
      </c>
      <c r="BL34" t="s">
        <v>271</v>
      </c>
      <c r="BM34" t="s">
        <v>731</v>
      </c>
      <c r="BN34" t="s">
        <v>74</v>
      </c>
      <c r="BO34" t="s">
        <v>126</v>
      </c>
      <c r="BP34" t="s">
        <v>74</v>
      </c>
      <c r="BQ34" t="s">
        <v>74</v>
      </c>
      <c r="BR34" t="s">
        <v>105</v>
      </c>
      <c r="BS34" t="s">
        <v>732</v>
      </c>
      <c r="BT34" t="str">
        <f>HYPERLINK("https%3A%2F%2Fwww.webofscience.com%2Fwos%2Fwoscc%2Ffull-record%2FWOS:000924650600001","View Full Record in Web of Science")</f>
        <v>View Full Record in Web of Science</v>
      </c>
    </row>
    <row r="35" spans="1:72" x14ac:dyDescent="0.15">
      <c r="A35" t="s">
        <v>72</v>
      </c>
      <c r="B35" t="s">
        <v>733</v>
      </c>
      <c r="C35" t="s">
        <v>74</v>
      </c>
      <c r="D35" t="s">
        <v>74</v>
      </c>
      <c r="E35" t="s">
        <v>74</v>
      </c>
      <c r="F35" t="s">
        <v>734</v>
      </c>
      <c r="G35" t="s">
        <v>74</v>
      </c>
      <c r="H35" t="s">
        <v>74</v>
      </c>
      <c r="I35" t="s">
        <v>735</v>
      </c>
      <c r="J35" t="s">
        <v>736</v>
      </c>
      <c r="K35" t="s">
        <v>74</v>
      </c>
      <c r="L35" t="s">
        <v>74</v>
      </c>
      <c r="M35" t="s">
        <v>78</v>
      </c>
      <c r="N35" t="s">
        <v>79</v>
      </c>
      <c r="O35" t="s">
        <v>74</v>
      </c>
      <c r="P35" t="s">
        <v>74</v>
      </c>
      <c r="Q35" t="s">
        <v>74</v>
      </c>
      <c r="R35" t="s">
        <v>74</v>
      </c>
      <c r="S35" t="s">
        <v>74</v>
      </c>
      <c r="T35" t="s">
        <v>737</v>
      </c>
      <c r="U35" t="s">
        <v>74</v>
      </c>
      <c r="V35" t="s">
        <v>738</v>
      </c>
      <c r="W35" t="s">
        <v>739</v>
      </c>
      <c r="X35" t="s">
        <v>740</v>
      </c>
      <c r="Y35" t="s">
        <v>741</v>
      </c>
      <c r="Z35" t="s">
        <v>742</v>
      </c>
      <c r="AA35" t="s">
        <v>743</v>
      </c>
      <c r="AB35" t="s">
        <v>744</v>
      </c>
      <c r="AC35" t="s">
        <v>745</v>
      </c>
      <c r="AD35" t="s">
        <v>746</v>
      </c>
      <c r="AE35" t="s">
        <v>747</v>
      </c>
      <c r="AF35" t="s">
        <v>74</v>
      </c>
      <c r="AG35">
        <v>26</v>
      </c>
      <c r="AH35">
        <v>2</v>
      </c>
      <c r="AI35">
        <v>2</v>
      </c>
      <c r="AJ35">
        <v>2</v>
      </c>
      <c r="AK35">
        <v>10</v>
      </c>
      <c r="AL35" t="s">
        <v>92</v>
      </c>
      <c r="AM35" t="s">
        <v>93</v>
      </c>
      <c r="AN35" t="s">
        <v>94</v>
      </c>
      <c r="AO35" t="s">
        <v>74</v>
      </c>
      <c r="AP35" t="s">
        <v>748</v>
      </c>
      <c r="AQ35" t="s">
        <v>74</v>
      </c>
      <c r="AR35" t="s">
        <v>749</v>
      </c>
      <c r="AS35" t="s">
        <v>750</v>
      </c>
      <c r="AT35" t="s">
        <v>99</v>
      </c>
      <c r="AU35">
        <v>2023</v>
      </c>
      <c r="AV35">
        <v>12</v>
      </c>
      <c r="AW35">
        <v>1</v>
      </c>
      <c r="AX35" t="s">
        <v>74</v>
      </c>
      <c r="AY35" t="s">
        <v>74</v>
      </c>
      <c r="AZ35" t="s">
        <v>74</v>
      </c>
      <c r="BA35" t="s">
        <v>74</v>
      </c>
      <c r="BB35" t="s">
        <v>74</v>
      </c>
      <c r="BC35" t="s">
        <v>74</v>
      </c>
      <c r="BD35">
        <v>2154617</v>
      </c>
      <c r="BE35" t="s">
        <v>751</v>
      </c>
      <c r="BF35" t="str">
        <f>HYPERLINK("http://dx.doi.org/10.1080/22221751.2022.2154617","http://dx.doi.org/10.1080/22221751.2022.2154617")</f>
        <v>http://dx.doi.org/10.1080/22221751.2022.2154617</v>
      </c>
      <c r="BG35" t="s">
        <v>74</v>
      </c>
      <c r="BH35" t="s">
        <v>74</v>
      </c>
      <c r="BI35">
        <v>12</v>
      </c>
      <c r="BJ35" t="s">
        <v>752</v>
      </c>
      <c r="BK35" t="s">
        <v>102</v>
      </c>
      <c r="BL35" t="s">
        <v>752</v>
      </c>
      <c r="BM35" t="s">
        <v>753</v>
      </c>
      <c r="BN35">
        <v>36458572</v>
      </c>
      <c r="BO35" t="s">
        <v>104</v>
      </c>
      <c r="BP35" t="s">
        <v>74</v>
      </c>
      <c r="BQ35" t="s">
        <v>74</v>
      </c>
      <c r="BR35" t="s">
        <v>105</v>
      </c>
      <c r="BS35" t="s">
        <v>754</v>
      </c>
      <c r="BT35" t="str">
        <f>HYPERLINK("https%3A%2F%2Fwww.webofscience.com%2Fwos%2Fwoscc%2Ffull-record%2FWOS:000903625900001","View Full Record in Web of Science")</f>
        <v>View Full Record in Web of Science</v>
      </c>
    </row>
    <row r="36" spans="1:72" x14ac:dyDescent="0.15">
      <c r="A36" t="s">
        <v>72</v>
      </c>
      <c r="B36" t="s">
        <v>755</v>
      </c>
      <c r="C36" t="s">
        <v>74</v>
      </c>
      <c r="D36" t="s">
        <v>74</v>
      </c>
      <c r="E36" t="s">
        <v>74</v>
      </c>
      <c r="F36" t="s">
        <v>756</v>
      </c>
      <c r="G36" t="s">
        <v>74</v>
      </c>
      <c r="H36" t="s">
        <v>74</v>
      </c>
      <c r="I36" t="s">
        <v>757</v>
      </c>
      <c r="J36" t="s">
        <v>758</v>
      </c>
      <c r="K36" t="s">
        <v>74</v>
      </c>
      <c r="L36" t="s">
        <v>74</v>
      </c>
      <c r="M36" t="s">
        <v>78</v>
      </c>
      <c r="N36" t="s">
        <v>79</v>
      </c>
      <c r="O36" t="s">
        <v>74</v>
      </c>
      <c r="P36" t="s">
        <v>74</v>
      </c>
      <c r="Q36" t="s">
        <v>74</v>
      </c>
      <c r="R36" t="s">
        <v>74</v>
      </c>
      <c r="S36" t="s">
        <v>74</v>
      </c>
      <c r="T36" t="s">
        <v>759</v>
      </c>
      <c r="U36" t="s">
        <v>760</v>
      </c>
      <c r="V36" t="s">
        <v>761</v>
      </c>
      <c r="W36" t="s">
        <v>762</v>
      </c>
      <c r="X36" t="s">
        <v>763</v>
      </c>
      <c r="Y36" t="s">
        <v>764</v>
      </c>
      <c r="Z36" t="s">
        <v>765</v>
      </c>
      <c r="AA36" t="s">
        <v>766</v>
      </c>
      <c r="AB36" t="s">
        <v>767</v>
      </c>
      <c r="AC36" t="s">
        <v>768</v>
      </c>
      <c r="AD36" t="s">
        <v>769</v>
      </c>
      <c r="AE36" t="s">
        <v>770</v>
      </c>
      <c r="AF36" t="s">
        <v>74</v>
      </c>
      <c r="AG36">
        <v>92</v>
      </c>
      <c r="AH36">
        <v>0</v>
      </c>
      <c r="AI36">
        <v>0</v>
      </c>
      <c r="AJ36">
        <v>8</v>
      </c>
      <c r="AK36">
        <v>15</v>
      </c>
      <c r="AL36" t="s">
        <v>92</v>
      </c>
      <c r="AM36" t="s">
        <v>93</v>
      </c>
      <c r="AN36" t="s">
        <v>94</v>
      </c>
      <c r="AO36" t="s">
        <v>771</v>
      </c>
      <c r="AP36" t="s">
        <v>772</v>
      </c>
      <c r="AQ36" t="s">
        <v>74</v>
      </c>
      <c r="AR36" t="s">
        <v>773</v>
      </c>
      <c r="AS36" t="s">
        <v>774</v>
      </c>
      <c r="AT36" t="s">
        <v>99</v>
      </c>
      <c r="AU36">
        <v>2023</v>
      </c>
      <c r="AV36">
        <v>21</v>
      </c>
      <c r="AW36">
        <v>1</v>
      </c>
      <c r="AX36" t="s">
        <v>74</v>
      </c>
      <c r="AY36" t="s">
        <v>74</v>
      </c>
      <c r="AZ36" t="s">
        <v>74</v>
      </c>
      <c r="BA36" t="s">
        <v>74</v>
      </c>
      <c r="BB36" t="s">
        <v>74</v>
      </c>
      <c r="BC36" t="s">
        <v>74</v>
      </c>
      <c r="BD36">
        <v>2156001</v>
      </c>
      <c r="BE36" t="s">
        <v>775</v>
      </c>
      <c r="BF36" t="str">
        <f>HYPERLINK("http://dx.doi.org/10.1080/14772000.2022.2156001","http://dx.doi.org/10.1080/14772000.2022.2156001")</f>
        <v>http://dx.doi.org/10.1080/14772000.2022.2156001</v>
      </c>
      <c r="BG36" t="s">
        <v>74</v>
      </c>
      <c r="BH36" t="s">
        <v>74</v>
      </c>
      <c r="BI36">
        <v>20</v>
      </c>
      <c r="BJ36" t="s">
        <v>776</v>
      </c>
      <c r="BK36" t="s">
        <v>102</v>
      </c>
      <c r="BL36" t="s">
        <v>777</v>
      </c>
      <c r="BM36" t="s">
        <v>778</v>
      </c>
      <c r="BN36" t="s">
        <v>74</v>
      </c>
      <c r="BO36" t="s">
        <v>74</v>
      </c>
      <c r="BP36" t="s">
        <v>74</v>
      </c>
      <c r="BQ36" t="s">
        <v>74</v>
      </c>
      <c r="BR36" t="s">
        <v>105</v>
      </c>
      <c r="BS36" t="s">
        <v>779</v>
      </c>
      <c r="BT36" t="str">
        <f>HYPERLINK("https%3A%2F%2Fwww.webofscience.com%2Fwos%2Fwoscc%2Ffull-record%2FWOS:000919897100001","View Full Record in Web of Science")</f>
        <v>View Full Record in Web of Science</v>
      </c>
    </row>
    <row r="37" spans="1:72" x14ac:dyDescent="0.15">
      <c r="A37" t="s">
        <v>72</v>
      </c>
      <c r="B37" t="s">
        <v>780</v>
      </c>
      <c r="C37" t="s">
        <v>74</v>
      </c>
      <c r="D37" t="s">
        <v>74</v>
      </c>
      <c r="E37" t="s">
        <v>74</v>
      </c>
      <c r="F37" t="s">
        <v>781</v>
      </c>
      <c r="G37" t="s">
        <v>74</v>
      </c>
      <c r="H37" t="s">
        <v>74</v>
      </c>
      <c r="I37" t="s">
        <v>782</v>
      </c>
      <c r="J37" t="s">
        <v>783</v>
      </c>
      <c r="K37" t="s">
        <v>74</v>
      </c>
      <c r="L37" t="s">
        <v>74</v>
      </c>
      <c r="M37" t="s">
        <v>78</v>
      </c>
      <c r="N37" t="s">
        <v>79</v>
      </c>
      <c r="O37" t="s">
        <v>74</v>
      </c>
      <c r="P37" t="s">
        <v>74</v>
      </c>
      <c r="Q37" t="s">
        <v>74</v>
      </c>
      <c r="R37" t="s">
        <v>74</v>
      </c>
      <c r="S37" t="s">
        <v>74</v>
      </c>
      <c r="T37" t="s">
        <v>784</v>
      </c>
      <c r="U37" t="s">
        <v>785</v>
      </c>
      <c r="V37" t="s">
        <v>786</v>
      </c>
      <c r="W37" t="s">
        <v>787</v>
      </c>
      <c r="X37" t="s">
        <v>788</v>
      </c>
      <c r="Y37" t="s">
        <v>789</v>
      </c>
      <c r="Z37" t="s">
        <v>790</v>
      </c>
      <c r="AA37" t="s">
        <v>791</v>
      </c>
      <c r="AB37" t="s">
        <v>792</v>
      </c>
      <c r="AC37" t="s">
        <v>793</v>
      </c>
      <c r="AD37" t="s">
        <v>794</v>
      </c>
      <c r="AE37" t="s">
        <v>795</v>
      </c>
      <c r="AF37" t="s">
        <v>74</v>
      </c>
      <c r="AG37">
        <v>51</v>
      </c>
      <c r="AH37">
        <v>0</v>
      </c>
      <c r="AI37">
        <v>0</v>
      </c>
      <c r="AJ37">
        <v>15</v>
      </c>
      <c r="AK37">
        <v>15</v>
      </c>
      <c r="AL37" t="s">
        <v>92</v>
      </c>
      <c r="AM37" t="s">
        <v>93</v>
      </c>
      <c r="AN37" t="s">
        <v>94</v>
      </c>
      <c r="AO37" t="s">
        <v>796</v>
      </c>
      <c r="AP37" t="s">
        <v>797</v>
      </c>
      <c r="AQ37" t="s">
        <v>74</v>
      </c>
      <c r="AR37" t="s">
        <v>798</v>
      </c>
      <c r="AS37" t="s">
        <v>799</v>
      </c>
      <c r="AT37" t="s">
        <v>99</v>
      </c>
      <c r="AU37">
        <v>2023</v>
      </c>
      <c r="AV37">
        <v>51</v>
      </c>
      <c r="AW37">
        <v>1</v>
      </c>
      <c r="AX37" t="s">
        <v>74</v>
      </c>
      <c r="AY37" t="s">
        <v>74</v>
      </c>
      <c r="AZ37" t="s">
        <v>74</v>
      </c>
      <c r="BA37" t="s">
        <v>74</v>
      </c>
      <c r="BB37">
        <v>192</v>
      </c>
      <c r="BC37">
        <v>204</v>
      </c>
      <c r="BD37" t="s">
        <v>74</v>
      </c>
      <c r="BE37" t="s">
        <v>800</v>
      </c>
      <c r="BF37" t="str">
        <f>HYPERLINK("http://dx.doi.org/10.1080/21691401.2023.2198570","http://dx.doi.org/10.1080/21691401.2023.2198570")</f>
        <v>http://dx.doi.org/10.1080/21691401.2023.2198570</v>
      </c>
      <c r="BG37" t="s">
        <v>74</v>
      </c>
      <c r="BH37" t="s">
        <v>74</v>
      </c>
      <c r="BI37">
        <v>13</v>
      </c>
      <c r="BJ37" t="s">
        <v>801</v>
      </c>
      <c r="BK37" t="s">
        <v>102</v>
      </c>
      <c r="BL37" t="s">
        <v>802</v>
      </c>
      <c r="BM37" t="s">
        <v>803</v>
      </c>
      <c r="BN37">
        <v>37052886</v>
      </c>
      <c r="BO37" t="s">
        <v>804</v>
      </c>
      <c r="BP37" t="s">
        <v>74</v>
      </c>
      <c r="BQ37" t="s">
        <v>74</v>
      </c>
      <c r="BR37" t="s">
        <v>105</v>
      </c>
      <c r="BS37" t="s">
        <v>805</v>
      </c>
      <c r="BT37" t="str">
        <f>HYPERLINK("https%3A%2F%2Fwww.webofscience.com%2Fwos%2Fwoscc%2Ffull-record%2FWOS:000971244000001","View Full Record in Web of Science")</f>
        <v>View Full Record in Web of Science</v>
      </c>
    </row>
    <row r="38" spans="1:72" x14ac:dyDescent="0.15">
      <c r="A38" t="s">
        <v>72</v>
      </c>
      <c r="B38" t="s">
        <v>806</v>
      </c>
      <c r="C38" t="s">
        <v>74</v>
      </c>
      <c r="D38" t="s">
        <v>74</v>
      </c>
      <c r="E38" t="s">
        <v>74</v>
      </c>
      <c r="F38" t="s">
        <v>807</v>
      </c>
      <c r="G38" t="s">
        <v>74</v>
      </c>
      <c r="H38" t="s">
        <v>74</v>
      </c>
      <c r="I38" t="s">
        <v>808</v>
      </c>
      <c r="J38" t="s">
        <v>359</v>
      </c>
      <c r="K38" t="s">
        <v>74</v>
      </c>
      <c r="L38" t="s">
        <v>74</v>
      </c>
      <c r="M38" t="s">
        <v>78</v>
      </c>
      <c r="N38" t="s">
        <v>171</v>
      </c>
      <c r="O38" t="s">
        <v>74</v>
      </c>
      <c r="P38" t="s">
        <v>74</v>
      </c>
      <c r="Q38" t="s">
        <v>74</v>
      </c>
      <c r="R38" t="s">
        <v>74</v>
      </c>
      <c r="S38" t="s">
        <v>74</v>
      </c>
      <c r="T38" t="s">
        <v>809</v>
      </c>
      <c r="U38" t="s">
        <v>810</v>
      </c>
      <c r="V38" t="s">
        <v>811</v>
      </c>
      <c r="W38" t="s">
        <v>812</v>
      </c>
      <c r="X38" t="s">
        <v>74</v>
      </c>
      <c r="Y38" t="s">
        <v>813</v>
      </c>
      <c r="Z38" t="s">
        <v>814</v>
      </c>
      <c r="AA38" t="s">
        <v>74</v>
      </c>
      <c r="AB38" t="s">
        <v>74</v>
      </c>
      <c r="AC38" t="s">
        <v>74</v>
      </c>
      <c r="AD38" t="s">
        <v>74</v>
      </c>
      <c r="AE38" t="s">
        <v>74</v>
      </c>
      <c r="AF38" t="s">
        <v>74</v>
      </c>
      <c r="AG38">
        <v>31</v>
      </c>
      <c r="AH38">
        <v>0</v>
      </c>
      <c r="AI38">
        <v>0</v>
      </c>
      <c r="AJ38">
        <v>1</v>
      </c>
      <c r="AK38">
        <v>4</v>
      </c>
      <c r="AL38" t="s">
        <v>287</v>
      </c>
      <c r="AM38" t="s">
        <v>288</v>
      </c>
      <c r="AN38" t="s">
        <v>289</v>
      </c>
      <c r="AO38" t="s">
        <v>369</v>
      </c>
      <c r="AP38" t="s">
        <v>74</v>
      </c>
      <c r="AQ38" t="s">
        <v>74</v>
      </c>
      <c r="AR38" t="s">
        <v>370</v>
      </c>
      <c r="AS38" t="s">
        <v>371</v>
      </c>
      <c r="AT38" t="s">
        <v>99</v>
      </c>
      <c r="AU38">
        <v>2023</v>
      </c>
      <c r="AV38">
        <v>11</v>
      </c>
      <c r="AW38">
        <v>1</v>
      </c>
      <c r="AX38" t="s">
        <v>74</v>
      </c>
      <c r="AY38" t="s">
        <v>74</v>
      </c>
      <c r="AZ38" t="s">
        <v>74</v>
      </c>
      <c r="BA38" t="s">
        <v>74</v>
      </c>
      <c r="BB38" t="s">
        <v>74</v>
      </c>
      <c r="BC38" t="s">
        <v>74</v>
      </c>
      <c r="BD38">
        <v>2164409</v>
      </c>
      <c r="BE38" t="s">
        <v>815</v>
      </c>
      <c r="BF38" t="str">
        <f>HYPERLINK("http://dx.doi.org/10.1080/23322039.2022.2164409","http://dx.doi.org/10.1080/23322039.2022.2164409")</f>
        <v>http://dx.doi.org/10.1080/23322039.2022.2164409</v>
      </c>
      <c r="BG38" t="s">
        <v>74</v>
      </c>
      <c r="BH38" t="s">
        <v>74</v>
      </c>
      <c r="BI38">
        <v>13</v>
      </c>
      <c r="BJ38" t="s">
        <v>373</v>
      </c>
      <c r="BK38" t="s">
        <v>211</v>
      </c>
      <c r="BL38" t="s">
        <v>295</v>
      </c>
      <c r="BM38" t="s">
        <v>816</v>
      </c>
      <c r="BN38" t="s">
        <v>74</v>
      </c>
      <c r="BO38" t="s">
        <v>126</v>
      </c>
      <c r="BP38" t="s">
        <v>74</v>
      </c>
      <c r="BQ38" t="s">
        <v>74</v>
      </c>
      <c r="BR38" t="s">
        <v>105</v>
      </c>
      <c r="BS38" t="s">
        <v>817</v>
      </c>
      <c r="BT38" t="str">
        <f>HYPERLINK("https%3A%2F%2Fwww.webofscience.com%2Fwos%2Fwoscc%2Ffull-record%2FWOS:000907230600001","View Full Record in Web of Science")</f>
        <v>View Full Record in Web of Science</v>
      </c>
    </row>
    <row r="39" spans="1:72" x14ac:dyDescent="0.15">
      <c r="A39" t="s">
        <v>72</v>
      </c>
      <c r="B39" t="s">
        <v>818</v>
      </c>
      <c r="C39" t="s">
        <v>74</v>
      </c>
      <c r="D39" t="s">
        <v>74</v>
      </c>
      <c r="E39" t="s">
        <v>74</v>
      </c>
      <c r="F39" t="s">
        <v>819</v>
      </c>
      <c r="G39" t="s">
        <v>74</v>
      </c>
      <c r="H39" t="s">
        <v>74</v>
      </c>
      <c r="I39" t="s">
        <v>820</v>
      </c>
      <c r="J39" t="s">
        <v>449</v>
      </c>
      <c r="K39" t="s">
        <v>74</v>
      </c>
      <c r="L39" t="s">
        <v>74</v>
      </c>
      <c r="M39" t="s">
        <v>78</v>
      </c>
      <c r="N39" t="s">
        <v>79</v>
      </c>
      <c r="O39" t="s">
        <v>74</v>
      </c>
      <c r="P39" t="s">
        <v>74</v>
      </c>
      <c r="Q39" t="s">
        <v>74</v>
      </c>
      <c r="R39" t="s">
        <v>74</v>
      </c>
      <c r="S39" t="s">
        <v>74</v>
      </c>
      <c r="T39" t="s">
        <v>821</v>
      </c>
      <c r="U39" t="s">
        <v>822</v>
      </c>
      <c r="V39" t="s">
        <v>823</v>
      </c>
      <c r="W39" t="s">
        <v>824</v>
      </c>
      <c r="X39" t="s">
        <v>825</v>
      </c>
      <c r="Y39" t="s">
        <v>826</v>
      </c>
      <c r="Z39" t="s">
        <v>827</v>
      </c>
      <c r="AA39" t="s">
        <v>74</v>
      </c>
      <c r="AB39" t="s">
        <v>74</v>
      </c>
      <c r="AC39" t="s">
        <v>74</v>
      </c>
      <c r="AD39" t="s">
        <v>74</v>
      </c>
      <c r="AE39" t="s">
        <v>74</v>
      </c>
      <c r="AF39" t="s">
        <v>74</v>
      </c>
      <c r="AG39">
        <v>19</v>
      </c>
      <c r="AH39">
        <v>0</v>
      </c>
      <c r="AI39">
        <v>0</v>
      </c>
      <c r="AJ39">
        <v>1</v>
      </c>
      <c r="AK39">
        <v>1</v>
      </c>
      <c r="AL39" t="s">
        <v>92</v>
      </c>
      <c r="AM39" t="s">
        <v>93</v>
      </c>
      <c r="AN39" t="s">
        <v>94</v>
      </c>
      <c r="AO39" t="s">
        <v>456</v>
      </c>
      <c r="AP39" t="s">
        <v>74</v>
      </c>
      <c r="AQ39" t="s">
        <v>74</v>
      </c>
      <c r="AR39" t="s">
        <v>457</v>
      </c>
      <c r="AS39" t="s">
        <v>458</v>
      </c>
      <c r="AT39" t="s">
        <v>99</v>
      </c>
      <c r="AU39">
        <v>2023</v>
      </c>
      <c r="AV39">
        <v>10</v>
      </c>
      <c r="AW39">
        <v>1</v>
      </c>
      <c r="AX39" t="s">
        <v>74</v>
      </c>
      <c r="AY39" t="s">
        <v>74</v>
      </c>
      <c r="AZ39" t="s">
        <v>74</v>
      </c>
      <c r="BA39" t="s">
        <v>74</v>
      </c>
      <c r="BB39" t="s">
        <v>74</v>
      </c>
      <c r="BC39" t="s">
        <v>74</v>
      </c>
      <c r="BD39">
        <v>2242497</v>
      </c>
      <c r="BE39" t="s">
        <v>828</v>
      </c>
      <c r="BF39" t="str">
        <f>HYPERLINK("http://dx.doi.org/10.1080/23320885.2023.2242497","http://dx.doi.org/10.1080/23320885.2023.2242497")</f>
        <v>http://dx.doi.org/10.1080/23320885.2023.2242497</v>
      </c>
      <c r="BG39" t="s">
        <v>74</v>
      </c>
      <c r="BH39" t="s">
        <v>74</v>
      </c>
      <c r="BI39">
        <v>4</v>
      </c>
      <c r="BJ39" t="s">
        <v>460</v>
      </c>
      <c r="BK39" t="s">
        <v>211</v>
      </c>
      <c r="BL39" t="s">
        <v>460</v>
      </c>
      <c r="BM39" t="s">
        <v>829</v>
      </c>
      <c r="BN39">
        <v>37547269</v>
      </c>
      <c r="BO39" t="s">
        <v>165</v>
      </c>
      <c r="BP39" t="s">
        <v>74</v>
      </c>
      <c r="BQ39" t="s">
        <v>74</v>
      </c>
      <c r="BR39" t="s">
        <v>105</v>
      </c>
      <c r="BS39" t="s">
        <v>830</v>
      </c>
      <c r="BT39" t="str">
        <f>HYPERLINK("https%3A%2F%2Fwww.webofscience.com%2Fwos%2Fwoscc%2Ffull-record%2FWOS:001041314300001","View Full Record in Web of Science")</f>
        <v>View Full Record in Web of Science</v>
      </c>
    </row>
    <row r="40" spans="1:72" x14ac:dyDescent="0.15">
      <c r="A40" t="s">
        <v>72</v>
      </c>
      <c r="B40" t="s">
        <v>831</v>
      </c>
      <c r="C40" t="s">
        <v>74</v>
      </c>
      <c r="D40" t="s">
        <v>74</v>
      </c>
      <c r="E40" t="s">
        <v>74</v>
      </c>
      <c r="F40" t="s">
        <v>832</v>
      </c>
      <c r="G40" t="s">
        <v>74</v>
      </c>
      <c r="H40" t="s">
        <v>74</v>
      </c>
      <c r="I40" t="s">
        <v>833</v>
      </c>
      <c r="J40" t="s">
        <v>359</v>
      </c>
      <c r="K40" t="s">
        <v>74</v>
      </c>
      <c r="L40" t="s">
        <v>74</v>
      </c>
      <c r="M40" t="s">
        <v>78</v>
      </c>
      <c r="N40" t="s">
        <v>79</v>
      </c>
      <c r="O40" t="s">
        <v>74</v>
      </c>
      <c r="P40" t="s">
        <v>74</v>
      </c>
      <c r="Q40" t="s">
        <v>74</v>
      </c>
      <c r="R40" t="s">
        <v>74</v>
      </c>
      <c r="S40" t="s">
        <v>74</v>
      </c>
      <c r="T40" t="s">
        <v>834</v>
      </c>
      <c r="U40" t="s">
        <v>74</v>
      </c>
      <c r="V40" t="s">
        <v>835</v>
      </c>
      <c r="W40" t="s">
        <v>836</v>
      </c>
      <c r="X40" t="s">
        <v>837</v>
      </c>
      <c r="Y40" t="s">
        <v>838</v>
      </c>
      <c r="Z40" t="s">
        <v>839</v>
      </c>
      <c r="AA40" t="s">
        <v>74</v>
      </c>
      <c r="AB40" t="s">
        <v>840</v>
      </c>
      <c r="AC40" t="s">
        <v>74</v>
      </c>
      <c r="AD40" t="s">
        <v>74</v>
      </c>
      <c r="AE40" t="s">
        <v>74</v>
      </c>
      <c r="AF40" t="s">
        <v>74</v>
      </c>
      <c r="AG40">
        <v>37</v>
      </c>
      <c r="AH40">
        <v>2</v>
      </c>
      <c r="AI40">
        <v>2</v>
      </c>
      <c r="AJ40">
        <v>1</v>
      </c>
      <c r="AK40">
        <v>1</v>
      </c>
      <c r="AL40" t="s">
        <v>287</v>
      </c>
      <c r="AM40" t="s">
        <v>288</v>
      </c>
      <c r="AN40" t="s">
        <v>289</v>
      </c>
      <c r="AO40" t="s">
        <v>369</v>
      </c>
      <c r="AP40" t="s">
        <v>74</v>
      </c>
      <c r="AQ40" t="s">
        <v>74</v>
      </c>
      <c r="AR40" t="s">
        <v>370</v>
      </c>
      <c r="AS40" t="s">
        <v>371</v>
      </c>
      <c r="AT40" t="s">
        <v>99</v>
      </c>
      <c r="AU40">
        <v>2023</v>
      </c>
      <c r="AV40">
        <v>11</v>
      </c>
      <c r="AW40">
        <v>1</v>
      </c>
      <c r="AX40" t="s">
        <v>74</v>
      </c>
      <c r="AY40" t="s">
        <v>74</v>
      </c>
      <c r="AZ40" t="s">
        <v>74</v>
      </c>
      <c r="BA40" t="s">
        <v>74</v>
      </c>
      <c r="BB40" t="s">
        <v>74</v>
      </c>
      <c r="BC40" t="s">
        <v>74</v>
      </c>
      <c r="BD40">
        <v>2209959</v>
      </c>
      <c r="BE40" t="s">
        <v>841</v>
      </c>
      <c r="BF40" t="str">
        <f>HYPERLINK("http://dx.doi.org/10.1080/23322039.2023.2209959","http://dx.doi.org/10.1080/23322039.2023.2209959")</f>
        <v>http://dx.doi.org/10.1080/23322039.2023.2209959</v>
      </c>
      <c r="BG40" t="s">
        <v>74</v>
      </c>
      <c r="BH40" t="s">
        <v>74</v>
      </c>
      <c r="BI40">
        <v>17</v>
      </c>
      <c r="BJ40" t="s">
        <v>373</v>
      </c>
      <c r="BK40" t="s">
        <v>211</v>
      </c>
      <c r="BL40" t="s">
        <v>295</v>
      </c>
      <c r="BM40" t="s">
        <v>842</v>
      </c>
      <c r="BN40" t="s">
        <v>74</v>
      </c>
      <c r="BO40" t="s">
        <v>126</v>
      </c>
      <c r="BP40" t="s">
        <v>74</v>
      </c>
      <c r="BQ40" t="s">
        <v>74</v>
      </c>
      <c r="BR40" t="s">
        <v>105</v>
      </c>
      <c r="BS40" t="s">
        <v>843</v>
      </c>
      <c r="BT40" t="str">
        <f>HYPERLINK("https%3A%2F%2Fwww.webofscience.com%2Fwos%2Fwoscc%2Ffull-record%2FWOS:000982906500001","View Full Record in Web of Science")</f>
        <v>View Full Record in Web of Science</v>
      </c>
    </row>
    <row r="41" spans="1:72" x14ac:dyDescent="0.15">
      <c r="A41" t="s">
        <v>72</v>
      </c>
      <c r="B41" t="s">
        <v>844</v>
      </c>
      <c r="C41" t="s">
        <v>74</v>
      </c>
      <c r="D41" t="s">
        <v>74</v>
      </c>
      <c r="E41" t="s">
        <v>74</v>
      </c>
      <c r="F41" t="s">
        <v>845</v>
      </c>
      <c r="G41" t="s">
        <v>74</v>
      </c>
      <c r="H41" t="s">
        <v>74</v>
      </c>
      <c r="I41" t="s">
        <v>846</v>
      </c>
      <c r="J41" t="s">
        <v>847</v>
      </c>
      <c r="K41" t="s">
        <v>74</v>
      </c>
      <c r="L41" t="s">
        <v>74</v>
      </c>
      <c r="M41" t="s">
        <v>78</v>
      </c>
      <c r="N41" t="s">
        <v>171</v>
      </c>
      <c r="O41" t="s">
        <v>74</v>
      </c>
      <c r="P41" t="s">
        <v>74</v>
      </c>
      <c r="Q41" t="s">
        <v>74</v>
      </c>
      <c r="R41" t="s">
        <v>74</v>
      </c>
      <c r="S41" t="s">
        <v>74</v>
      </c>
      <c r="T41" t="s">
        <v>848</v>
      </c>
      <c r="U41" t="s">
        <v>849</v>
      </c>
      <c r="V41" t="s">
        <v>850</v>
      </c>
      <c r="W41" t="s">
        <v>851</v>
      </c>
      <c r="X41" t="s">
        <v>852</v>
      </c>
      <c r="Y41" t="s">
        <v>853</v>
      </c>
      <c r="Z41" t="s">
        <v>854</v>
      </c>
      <c r="AA41" t="s">
        <v>855</v>
      </c>
      <c r="AB41" t="s">
        <v>856</v>
      </c>
      <c r="AC41" t="s">
        <v>857</v>
      </c>
      <c r="AD41" t="s">
        <v>858</v>
      </c>
      <c r="AE41" t="s">
        <v>859</v>
      </c>
      <c r="AF41" t="s">
        <v>74</v>
      </c>
      <c r="AG41">
        <v>171</v>
      </c>
      <c r="AH41">
        <v>1</v>
      </c>
      <c r="AI41">
        <v>1</v>
      </c>
      <c r="AJ41">
        <v>16</v>
      </c>
      <c r="AK41">
        <v>22</v>
      </c>
      <c r="AL41" t="s">
        <v>184</v>
      </c>
      <c r="AM41" t="s">
        <v>185</v>
      </c>
      <c r="AN41" t="s">
        <v>186</v>
      </c>
      <c r="AO41" t="s">
        <v>860</v>
      </c>
      <c r="AP41" t="s">
        <v>861</v>
      </c>
      <c r="AQ41" t="s">
        <v>74</v>
      </c>
      <c r="AR41" t="s">
        <v>862</v>
      </c>
      <c r="AS41" t="s">
        <v>863</v>
      </c>
      <c r="AT41" t="s">
        <v>99</v>
      </c>
      <c r="AU41">
        <v>2023</v>
      </c>
      <c r="AV41">
        <v>14</v>
      </c>
      <c r="AW41">
        <v>1</v>
      </c>
      <c r="AX41" t="s">
        <v>74</v>
      </c>
      <c r="AY41" t="s">
        <v>74</v>
      </c>
      <c r="AZ41" t="s">
        <v>74</v>
      </c>
      <c r="BA41" t="s">
        <v>74</v>
      </c>
      <c r="BB41" t="s">
        <v>74</v>
      </c>
      <c r="BC41" t="s">
        <v>74</v>
      </c>
      <c r="BD41">
        <v>2179766</v>
      </c>
      <c r="BE41" t="s">
        <v>864</v>
      </c>
      <c r="BF41" t="str">
        <f>HYPERLINK("http://dx.doi.org/10.1080/19491034.2023.2179766","http://dx.doi.org/10.1080/19491034.2023.2179766")</f>
        <v>http://dx.doi.org/10.1080/19491034.2023.2179766</v>
      </c>
      <c r="BG41" t="s">
        <v>74</v>
      </c>
      <c r="BH41" t="s">
        <v>74</v>
      </c>
      <c r="BI41">
        <v>15</v>
      </c>
      <c r="BJ41" t="s">
        <v>865</v>
      </c>
      <c r="BK41" t="s">
        <v>102</v>
      </c>
      <c r="BL41" t="s">
        <v>865</v>
      </c>
      <c r="BM41" t="s">
        <v>866</v>
      </c>
      <c r="BN41">
        <v>36821650</v>
      </c>
      <c r="BO41" t="s">
        <v>165</v>
      </c>
      <c r="BP41" t="s">
        <v>74</v>
      </c>
      <c r="BQ41" t="s">
        <v>74</v>
      </c>
      <c r="BR41" t="s">
        <v>105</v>
      </c>
      <c r="BS41" t="s">
        <v>867</v>
      </c>
      <c r="BT41" t="str">
        <f>HYPERLINK("https%3A%2F%2Fwww.webofscience.com%2Fwos%2Fwoscc%2Ffull-record%2FWOS:000938069300001","View Full Record in Web of Science")</f>
        <v>View Full Record in Web of Science</v>
      </c>
    </row>
    <row r="42" spans="1:72" x14ac:dyDescent="0.15">
      <c r="A42" t="s">
        <v>72</v>
      </c>
      <c r="B42" t="s">
        <v>868</v>
      </c>
      <c r="C42" t="s">
        <v>74</v>
      </c>
      <c r="D42" t="s">
        <v>74</v>
      </c>
      <c r="E42" t="s">
        <v>74</v>
      </c>
      <c r="F42" t="s">
        <v>869</v>
      </c>
      <c r="G42" t="s">
        <v>74</v>
      </c>
      <c r="H42" t="s">
        <v>74</v>
      </c>
      <c r="I42" t="s">
        <v>870</v>
      </c>
      <c r="J42" t="s">
        <v>871</v>
      </c>
      <c r="K42" t="s">
        <v>74</v>
      </c>
      <c r="L42" t="s">
        <v>74</v>
      </c>
      <c r="M42" t="s">
        <v>78</v>
      </c>
      <c r="N42" t="s">
        <v>171</v>
      </c>
      <c r="O42" t="s">
        <v>74</v>
      </c>
      <c r="P42" t="s">
        <v>74</v>
      </c>
      <c r="Q42" t="s">
        <v>74</v>
      </c>
      <c r="R42" t="s">
        <v>74</v>
      </c>
      <c r="S42" t="s">
        <v>74</v>
      </c>
      <c r="T42" t="s">
        <v>872</v>
      </c>
      <c r="U42" t="s">
        <v>200</v>
      </c>
      <c r="V42" t="s">
        <v>873</v>
      </c>
      <c r="W42" t="s">
        <v>874</v>
      </c>
      <c r="X42" t="s">
        <v>875</v>
      </c>
      <c r="Y42" t="s">
        <v>876</v>
      </c>
      <c r="Z42" t="s">
        <v>877</v>
      </c>
      <c r="AA42" t="s">
        <v>878</v>
      </c>
      <c r="AB42" t="s">
        <v>879</v>
      </c>
      <c r="AC42" t="s">
        <v>74</v>
      </c>
      <c r="AD42" t="s">
        <v>74</v>
      </c>
      <c r="AE42" t="s">
        <v>74</v>
      </c>
      <c r="AF42" t="s">
        <v>74</v>
      </c>
      <c r="AG42">
        <v>42</v>
      </c>
      <c r="AH42">
        <v>0</v>
      </c>
      <c r="AI42">
        <v>0</v>
      </c>
      <c r="AJ42">
        <v>6</v>
      </c>
      <c r="AK42">
        <v>6</v>
      </c>
      <c r="AL42" t="s">
        <v>92</v>
      </c>
      <c r="AM42" t="s">
        <v>93</v>
      </c>
      <c r="AN42" t="s">
        <v>94</v>
      </c>
      <c r="AO42" t="s">
        <v>880</v>
      </c>
      <c r="AP42" t="s">
        <v>881</v>
      </c>
      <c r="AQ42" t="s">
        <v>74</v>
      </c>
      <c r="AR42" t="s">
        <v>882</v>
      </c>
      <c r="AS42" t="s">
        <v>883</v>
      </c>
      <c r="AT42" t="s">
        <v>99</v>
      </c>
      <c r="AU42">
        <v>2023</v>
      </c>
      <c r="AV42">
        <v>36</v>
      </c>
      <c r="AW42">
        <v>1</v>
      </c>
      <c r="AX42" t="s">
        <v>74</v>
      </c>
      <c r="AY42" t="s">
        <v>74</v>
      </c>
      <c r="AZ42" t="s">
        <v>74</v>
      </c>
      <c r="BA42" t="s">
        <v>74</v>
      </c>
      <c r="BB42" t="s">
        <v>74</v>
      </c>
      <c r="BC42" t="s">
        <v>74</v>
      </c>
      <c r="BD42">
        <v>2187254</v>
      </c>
      <c r="BE42" t="s">
        <v>884</v>
      </c>
      <c r="BF42" t="str">
        <f>HYPERLINK("http://dx.doi.org/10.1080/14767058.2023.2187254","http://dx.doi.org/10.1080/14767058.2023.2187254")</f>
        <v>http://dx.doi.org/10.1080/14767058.2023.2187254</v>
      </c>
      <c r="BG42" t="s">
        <v>74</v>
      </c>
      <c r="BH42" t="s">
        <v>74</v>
      </c>
      <c r="BI42">
        <v>9</v>
      </c>
      <c r="BJ42" t="s">
        <v>885</v>
      </c>
      <c r="BK42" t="s">
        <v>102</v>
      </c>
      <c r="BL42" t="s">
        <v>885</v>
      </c>
      <c r="BM42" t="s">
        <v>886</v>
      </c>
      <c r="BN42">
        <v>36894183</v>
      </c>
      <c r="BO42" t="s">
        <v>887</v>
      </c>
      <c r="BP42" t="s">
        <v>74</v>
      </c>
      <c r="BQ42" t="s">
        <v>74</v>
      </c>
      <c r="BR42" t="s">
        <v>105</v>
      </c>
      <c r="BS42" t="s">
        <v>888</v>
      </c>
      <c r="BT42" t="str">
        <f>HYPERLINK("https%3A%2F%2Fwww.webofscience.com%2Fwos%2Fwoscc%2Ffull-record%2FWOS:000946413600001","View Full Record in Web of Science")</f>
        <v>View Full Record in Web of Science</v>
      </c>
    </row>
    <row r="43" spans="1:72" x14ac:dyDescent="0.15">
      <c r="A43" t="s">
        <v>72</v>
      </c>
      <c r="B43" t="s">
        <v>889</v>
      </c>
      <c r="C43" t="s">
        <v>74</v>
      </c>
      <c r="D43" t="s">
        <v>74</v>
      </c>
      <c r="E43" t="s">
        <v>74</v>
      </c>
      <c r="F43" t="s">
        <v>890</v>
      </c>
      <c r="G43" t="s">
        <v>74</v>
      </c>
      <c r="H43" t="s">
        <v>74</v>
      </c>
      <c r="I43" t="s">
        <v>891</v>
      </c>
      <c r="J43" t="s">
        <v>758</v>
      </c>
      <c r="K43" t="s">
        <v>74</v>
      </c>
      <c r="L43" t="s">
        <v>74</v>
      </c>
      <c r="M43" t="s">
        <v>78</v>
      </c>
      <c r="N43" t="s">
        <v>79</v>
      </c>
      <c r="O43" t="s">
        <v>74</v>
      </c>
      <c r="P43" t="s">
        <v>74</v>
      </c>
      <c r="Q43" t="s">
        <v>74</v>
      </c>
      <c r="R43" t="s">
        <v>74</v>
      </c>
      <c r="S43" t="s">
        <v>74</v>
      </c>
      <c r="T43" t="s">
        <v>892</v>
      </c>
      <c r="U43" t="s">
        <v>893</v>
      </c>
      <c r="V43" t="s">
        <v>894</v>
      </c>
      <c r="W43" t="s">
        <v>895</v>
      </c>
      <c r="X43" t="s">
        <v>896</v>
      </c>
      <c r="Y43" t="s">
        <v>897</v>
      </c>
      <c r="Z43" t="s">
        <v>898</v>
      </c>
      <c r="AA43" t="s">
        <v>899</v>
      </c>
      <c r="AB43" t="s">
        <v>900</v>
      </c>
      <c r="AC43" t="s">
        <v>901</v>
      </c>
      <c r="AD43" t="s">
        <v>902</v>
      </c>
      <c r="AE43" t="s">
        <v>903</v>
      </c>
      <c r="AF43" t="s">
        <v>74</v>
      </c>
      <c r="AG43">
        <v>146</v>
      </c>
      <c r="AH43">
        <v>0</v>
      </c>
      <c r="AI43">
        <v>0</v>
      </c>
      <c r="AJ43">
        <v>6</v>
      </c>
      <c r="AK43">
        <v>6</v>
      </c>
      <c r="AL43" t="s">
        <v>92</v>
      </c>
      <c r="AM43" t="s">
        <v>93</v>
      </c>
      <c r="AN43" t="s">
        <v>94</v>
      </c>
      <c r="AO43" t="s">
        <v>771</v>
      </c>
      <c r="AP43" t="s">
        <v>772</v>
      </c>
      <c r="AQ43" t="s">
        <v>74</v>
      </c>
      <c r="AR43" t="s">
        <v>773</v>
      </c>
      <c r="AS43" t="s">
        <v>774</v>
      </c>
      <c r="AT43" t="s">
        <v>99</v>
      </c>
      <c r="AU43">
        <v>2023</v>
      </c>
      <c r="AV43">
        <v>21</v>
      </c>
      <c r="AW43">
        <v>1</v>
      </c>
      <c r="AX43" t="s">
        <v>74</v>
      </c>
      <c r="AY43" t="s">
        <v>74</v>
      </c>
      <c r="AZ43" t="s">
        <v>74</v>
      </c>
      <c r="BA43" t="s">
        <v>74</v>
      </c>
      <c r="BB43" t="s">
        <v>74</v>
      </c>
      <c r="BC43" t="s">
        <v>74</v>
      </c>
      <c r="BD43">
        <v>2200306</v>
      </c>
      <c r="BE43" t="s">
        <v>904</v>
      </c>
      <c r="BF43" t="str">
        <f>HYPERLINK("http://dx.doi.org/10.1080/14772000.2023.2200306","http://dx.doi.org/10.1080/14772000.2023.2200306")</f>
        <v>http://dx.doi.org/10.1080/14772000.2023.2200306</v>
      </c>
      <c r="BG43" t="s">
        <v>74</v>
      </c>
      <c r="BH43" t="s">
        <v>74</v>
      </c>
      <c r="BI43">
        <v>47</v>
      </c>
      <c r="BJ43" t="s">
        <v>776</v>
      </c>
      <c r="BK43" t="s">
        <v>102</v>
      </c>
      <c r="BL43" t="s">
        <v>777</v>
      </c>
      <c r="BM43" t="s">
        <v>905</v>
      </c>
      <c r="BN43" t="s">
        <v>74</v>
      </c>
      <c r="BO43" t="s">
        <v>74</v>
      </c>
      <c r="BP43" t="s">
        <v>74</v>
      </c>
      <c r="BQ43" t="s">
        <v>74</v>
      </c>
      <c r="BR43" t="s">
        <v>105</v>
      </c>
      <c r="BS43" t="s">
        <v>906</v>
      </c>
      <c r="BT43" t="str">
        <f>HYPERLINK("https%3A%2F%2Fwww.webofscience.com%2Fwos%2Fwoscc%2Ffull-record%2FWOS:000980145300001","View Full Record in Web of Science")</f>
        <v>View Full Record in Web of Science</v>
      </c>
    </row>
    <row r="44" spans="1:72" x14ac:dyDescent="0.15">
      <c r="A44" t="s">
        <v>72</v>
      </c>
      <c r="B44" t="s">
        <v>907</v>
      </c>
      <c r="C44" t="s">
        <v>74</v>
      </c>
      <c r="D44" t="s">
        <v>74</v>
      </c>
      <c r="E44" t="s">
        <v>74</v>
      </c>
      <c r="F44" t="s">
        <v>908</v>
      </c>
      <c r="G44" t="s">
        <v>74</v>
      </c>
      <c r="H44" t="s">
        <v>74</v>
      </c>
      <c r="I44" t="s">
        <v>909</v>
      </c>
      <c r="J44" t="s">
        <v>910</v>
      </c>
      <c r="K44" t="s">
        <v>74</v>
      </c>
      <c r="L44" t="s">
        <v>74</v>
      </c>
      <c r="M44" t="s">
        <v>78</v>
      </c>
      <c r="N44" t="s">
        <v>79</v>
      </c>
      <c r="O44" t="s">
        <v>74</v>
      </c>
      <c r="P44" t="s">
        <v>74</v>
      </c>
      <c r="Q44" t="s">
        <v>74</v>
      </c>
      <c r="R44" t="s">
        <v>74</v>
      </c>
      <c r="S44" t="s">
        <v>74</v>
      </c>
      <c r="T44" t="s">
        <v>911</v>
      </c>
      <c r="U44" t="s">
        <v>912</v>
      </c>
      <c r="V44" t="s">
        <v>913</v>
      </c>
      <c r="W44" t="s">
        <v>914</v>
      </c>
      <c r="X44" t="s">
        <v>915</v>
      </c>
      <c r="Y44" t="s">
        <v>916</v>
      </c>
      <c r="Z44" t="s">
        <v>917</v>
      </c>
      <c r="AA44" t="s">
        <v>74</v>
      </c>
      <c r="AB44" t="s">
        <v>74</v>
      </c>
      <c r="AC44" t="s">
        <v>918</v>
      </c>
      <c r="AD44" t="s">
        <v>919</v>
      </c>
      <c r="AE44" t="s">
        <v>920</v>
      </c>
      <c r="AF44" t="s">
        <v>74</v>
      </c>
      <c r="AG44">
        <v>64</v>
      </c>
      <c r="AH44">
        <v>0</v>
      </c>
      <c r="AI44">
        <v>0</v>
      </c>
      <c r="AJ44">
        <v>13</v>
      </c>
      <c r="AK44">
        <v>13</v>
      </c>
      <c r="AL44" t="s">
        <v>184</v>
      </c>
      <c r="AM44" t="s">
        <v>185</v>
      </c>
      <c r="AN44" t="s">
        <v>186</v>
      </c>
      <c r="AO44" t="s">
        <v>921</v>
      </c>
      <c r="AP44" t="s">
        <v>922</v>
      </c>
      <c r="AQ44" t="s">
        <v>74</v>
      </c>
      <c r="AR44" t="s">
        <v>910</v>
      </c>
      <c r="AS44" t="s">
        <v>923</v>
      </c>
      <c r="AT44" t="s">
        <v>99</v>
      </c>
      <c r="AU44">
        <v>2023</v>
      </c>
      <c r="AV44">
        <v>17</v>
      </c>
      <c r="AW44">
        <v>1</v>
      </c>
      <c r="AX44" t="s">
        <v>74</v>
      </c>
      <c r="AY44" t="s">
        <v>74</v>
      </c>
      <c r="AZ44" t="s">
        <v>74</v>
      </c>
      <c r="BA44" t="s">
        <v>74</v>
      </c>
      <c r="BB44" t="s">
        <v>74</v>
      </c>
      <c r="BC44" t="s">
        <v>74</v>
      </c>
      <c r="BD44">
        <v>2208928</v>
      </c>
      <c r="BE44" t="s">
        <v>924</v>
      </c>
      <c r="BF44" t="str">
        <f>HYPERLINK("http://dx.doi.org/10.1080/19336950.2023.2208928","http://dx.doi.org/10.1080/19336950.2023.2208928")</f>
        <v>http://dx.doi.org/10.1080/19336950.2023.2208928</v>
      </c>
      <c r="BG44" t="s">
        <v>74</v>
      </c>
      <c r="BH44" t="s">
        <v>74</v>
      </c>
      <c r="BI44">
        <v>19</v>
      </c>
      <c r="BJ44" t="s">
        <v>925</v>
      </c>
      <c r="BK44" t="s">
        <v>102</v>
      </c>
      <c r="BL44" t="s">
        <v>925</v>
      </c>
      <c r="BM44" t="s">
        <v>926</v>
      </c>
      <c r="BN44">
        <v>37134043</v>
      </c>
      <c r="BO44" t="s">
        <v>104</v>
      </c>
      <c r="BP44" t="s">
        <v>74</v>
      </c>
      <c r="BQ44" t="s">
        <v>74</v>
      </c>
      <c r="BR44" t="s">
        <v>105</v>
      </c>
      <c r="BS44" t="s">
        <v>927</v>
      </c>
      <c r="BT44" t="str">
        <f>HYPERLINK("https%3A%2F%2Fwww.webofscience.com%2Fwos%2Fwoscc%2Ffull-record%2FWOS:000980959800001","View Full Record in Web of Science")</f>
        <v>View Full Record in Web of Science</v>
      </c>
    </row>
    <row r="45" spans="1:72" x14ac:dyDescent="0.15">
      <c r="A45" t="s">
        <v>72</v>
      </c>
      <c r="B45" t="s">
        <v>928</v>
      </c>
      <c r="C45" t="s">
        <v>74</v>
      </c>
      <c r="D45" t="s">
        <v>74</v>
      </c>
      <c r="E45" t="s">
        <v>74</v>
      </c>
      <c r="F45" t="s">
        <v>929</v>
      </c>
      <c r="G45" t="s">
        <v>74</v>
      </c>
      <c r="H45" t="s">
        <v>74</v>
      </c>
      <c r="I45" t="s">
        <v>930</v>
      </c>
      <c r="J45" t="s">
        <v>379</v>
      </c>
      <c r="K45" t="s">
        <v>74</v>
      </c>
      <c r="L45" t="s">
        <v>74</v>
      </c>
      <c r="M45" t="s">
        <v>78</v>
      </c>
      <c r="N45" t="s">
        <v>79</v>
      </c>
      <c r="O45" t="s">
        <v>74</v>
      </c>
      <c r="P45" t="s">
        <v>74</v>
      </c>
      <c r="Q45" t="s">
        <v>74</v>
      </c>
      <c r="R45" t="s">
        <v>74</v>
      </c>
      <c r="S45" t="s">
        <v>74</v>
      </c>
      <c r="T45" t="s">
        <v>931</v>
      </c>
      <c r="U45" t="s">
        <v>74</v>
      </c>
      <c r="V45" t="s">
        <v>932</v>
      </c>
      <c r="W45" t="s">
        <v>933</v>
      </c>
      <c r="X45" t="s">
        <v>934</v>
      </c>
      <c r="Y45" t="s">
        <v>935</v>
      </c>
      <c r="Z45" t="s">
        <v>936</v>
      </c>
      <c r="AA45" t="s">
        <v>74</v>
      </c>
      <c r="AB45" t="s">
        <v>937</v>
      </c>
      <c r="AC45" t="s">
        <v>74</v>
      </c>
      <c r="AD45" t="s">
        <v>74</v>
      </c>
      <c r="AE45" t="s">
        <v>74</v>
      </c>
      <c r="AF45" t="s">
        <v>74</v>
      </c>
      <c r="AG45">
        <v>18</v>
      </c>
      <c r="AH45">
        <v>0</v>
      </c>
      <c r="AI45">
        <v>0</v>
      </c>
      <c r="AJ45">
        <v>0</v>
      </c>
      <c r="AK45">
        <v>0</v>
      </c>
      <c r="AL45" t="s">
        <v>287</v>
      </c>
      <c r="AM45" t="s">
        <v>288</v>
      </c>
      <c r="AN45" t="s">
        <v>289</v>
      </c>
      <c r="AO45" t="s">
        <v>392</v>
      </c>
      <c r="AP45" t="s">
        <v>74</v>
      </c>
      <c r="AQ45" t="s">
        <v>74</v>
      </c>
      <c r="AR45" t="s">
        <v>393</v>
      </c>
      <c r="AS45" t="s">
        <v>394</v>
      </c>
      <c r="AT45" t="s">
        <v>99</v>
      </c>
      <c r="AU45">
        <v>2023</v>
      </c>
      <c r="AV45">
        <v>9</v>
      </c>
      <c r="AW45">
        <v>1</v>
      </c>
      <c r="AX45" t="s">
        <v>74</v>
      </c>
      <c r="AY45" t="s">
        <v>74</v>
      </c>
      <c r="AZ45" t="s">
        <v>74</v>
      </c>
      <c r="BA45" t="s">
        <v>74</v>
      </c>
      <c r="BB45" t="s">
        <v>74</v>
      </c>
      <c r="BC45" t="s">
        <v>74</v>
      </c>
      <c r="BD45">
        <v>2194739</v>
      </c>
      <c r="BE45" t="s">
        <v>938</v>
      </c>
      <c r="BF45" t="str">
        <f>HYPERLINK("http://dx.doi.org/10.1080/23311886.2023.2194739","http://dx.doi.org/10.1080/23311886.2023.2194739")</f>
        <v>http://dx.doi.org/10.1080/23311886.2023.2194739</v>
      </c>
      <c r="BG45" t="s">
        <v>74</v>
      </c>
      <c r="BH45" t="s">
        <v>74</v>
      </c>
      <c r="BI45">
        <v>13</v>
      </c>
      <c r="BJ45" t="s">
        <v>396</v>
      </c>
      <c r="BK45" t="s">
        <v>211</v>
      </c>
      <c r="BL45" t="s">
        <v>397</v>
      </c>
      <c r="BM45" t="s">
        <v>939</v>
      </c>
      <c r="BN45" t="s">
        <v>74</v>
      </c>
      <c r="BO45" t="s">
        <v>126</v>
      </c>
      <c r="BP45" t="s">
        <v>74</v>
      </c>
      <c r="BQ45" t="s">
        <v>74</v>
      </c>
      <c r="BR45" t="s">
        <v>105</v>
      </c>
      <c r="BS45" t="s">
        <v>940</v>
      </c>
      <c r="BT45" t="str">
        <f>HYPERLINK("https%3A%2F%2Fwww.webofscience.com%2Fwos%2Fwoscc%2Ffull-record%2FWOS:000961398500001","View Full Record in Web of Science")</f>
        <v>View Full Record in Web of Science</v>
      </c>
    </row>
    <row r="46" spans="1:72" x14ac:dyDescent="0.15">
      <c r="A46" t="s">
        <v>72</v>
      </c>
      <c r="B46" t="s">
        <v>941</v>
      </c>
      <c r="C46" t="s">
        <v>74</v>
      </c>
      <c r="D46" t="s">
        <v>74</v>
      </c>
      <c r="E46" t="s">
        <v>74</v>
      </c>
      <c r="F46" t="s">
        <v>942</v>
      </c>
      <c r="G46" t="s">
        <v>74</v>
      </c>
      <c r="H46" t="s">
        <v>74</v>
      </c>
      <c r="I46" t="s">
        <v>943</v>
      </c>
      <c r="J46" t="s">
        <v>944</v>
      </c>
      <c r="K46" t="s">
        <v>74</v>
      </c>
      <c r="L46" t="s">
        <v>74</v>
      </c>
      <c r="M46" t="s">
        <v>78</v>
      </c>
      <c r="N46" t="s">
        <v>79</v>
      </c>
      <c r="O46" t="s">
        <v>74</v>
      </c>
      <c r="P46" t="s">
        <v>74</v>
      </c>
      <c r="Q46" t="s">
        <v>74</v>
      </c>
      <c r="R46" t="s">
        <v>74</v>
      </c>
      <c r="S46" t="s">
        <v>74</v>
      </c>
      <c r="T46" t="s">
        <v>945</v>
      </c>
      <c r="U46" t="s">
        <v>946</v>
      </c>
      <c r="V46" t="s">
        <v>947</v>
      </c>
      <c r="W46" t="s">
        <v>948</v>
      </c>
      <c r="X46" t="s">
        <v>949</v>
      </c>
      <c r="Y46" t="s">
        <v>950</v>
      </c>
      <c r="Z46" t="s">
        <v>951</v>
      </c>
      <c r="AA46" t="s">
        <v>952</v>
      </c>
      <c r="AB46" t="s">
        <v>953</v>
      </c>
      <c r="AC46" t="s">
        <v>74</v>
      </c>
      <c r="AD46" t="s">
        <v>74</v>
      </c>
      <c r="AE46" t="s">
        <v>74</v>
      </c>
      <c r="AF46" t="s">
        <v>74</v>
      </c>
      <c r="AG46">
        <v>31</v>
      </c>
      <c r="AH46">
        <v>0</v>
      </c>
      <c r="AI46">
        <v>0</v>
      </c>
      <c r="AJ46">
        <v>13</v>
      </c>
      <c r="AK46">
        <v>19</v>
      </c>
      <c r="AL46" t="s">
        <v>92</v>
      </c>
      <c r="AM46" t="s">
        <v>93</v>
      </c>
      <c r="AN46" t="s">
        <v>94</v>
      </c>
      <c r="AO46" t="s">
        <v>954</v>
      </c>
      <c r="AP46" t="s">
        <v>955</v>
      </c>
      <c r="AQ46" t="s">
        <v>74</v>
      </c>
      <c r="AR46" t="s">
        <v>956</v>
      </c>
      <c r="AS46" t="s">
        <v>957</v>
      </c>
      <c r="AT46" t="s">
        <v>99</v>
      </c>
      <c r="AU46">
        <v>2023</v>
      </c>
      <c r="AV46">
        <v>55</v>
      </c>
      <c r="AW46">
        <v>1</v>
      </c>
      <c r="AX46" t="s">
        <v>74</v>
      </c>
      <c r="AY46" t="s">
        <v>74</v>
      </c>
      <c r="AZ46" t="s">
        <v>74</v>
      </c>
      <c r="BA46" t="s">
        <v>74</v>
      </c>
      <c r="BB46">
        <v>624</v>
      </c>
      <c r="BC46">
        <v>633</v>
      </c>
      <c r="BD46" t="s">
        <v>74</v>
      </c>
      <c r="BE46" t="s">
        <v>958</v>
      </c>
      <c r="BF46" t="str">
        <f>HYPERLINK("http://dx.doi.org/10.1080/07853890.2023.2179104","http://dx.doi.org/10.1080/07853890.2023.2179104")</f>
        <v>http://dx.doi.org/10.1080/07853890.2023.2179104</v>
      </c>
      <c r="BG46" t="s">
        <v>74</v>
      </c>
      <c r="BH46" t="s">
        <v>74</v>
      </c>
      <c r="BI46">
        <v>10</v>
      </c>
      <c r="BJ46" t="s">
        <v>663</v>
      </c>
      <c r="BK46" t="s">
        <v>102</v>
      </c>
      <c r="BL46" t="s">
        <v>664</v>
      </c>
      <c r="BM46" t="s">
        <v>959</v>
      </c>
      <c r="BN46">
        <v>36790357</v>
      </c>
      <c r="BO46" t="s">
        <v>104</v>
      </c>
      <c r="BP46" t="s">
        <v>74</v>
      </c>
      <c r="BQ46" t="s">
        <v>74</v>
      </c>
      <c r="BR46" t="s">
        <v>105</v>
      </c>
      <c r="BS46" t="s">
        <v>960</v>
      </c>
      <c r="BT46" t="str">
        <f>HYPERLINK("https%3A%2F%2Fwww.webofscience.com%2Fwos%2Fwoscc%2Ffull-record%2FWOS:000935560800001","View Full Record in Web of Science")</f>
        <v>View Full Record in Web of Science</v>
      </c>
    </row>
    <row r="47" spans="1:72" x14ac:dyDescent="0.15">
      <c r="A47" t="s">
        <v>72</v>
      </c>
      <c r="B47" t="s">
        <v>961</v>
      </c>
      <c r="C47" t="s">
        <v>74</v>
      </c>
      <c r="D47" t="s">
        <v>74</v>
      </c>
      <c r="E47" t="s">
        <v>74</v>
      </c>
      <c r="F47" t="s">
        <v>962</v>
      </c>
      <c r="G47" t="s">
        <v>74</v>
      </c>
      <c r="H47" t="s">
        <v>74</v>
      </c>
      <c r="I47" t="s">
        <v>963</v>
      </c>
      <c r="J47" t="s">
        <v>964</v>
      </c>
      <c r="K47" t="s">
        <v>74</v>
      </c>
      <c r="L47" t="s">
        <v>74</v>
      </c>
      <c r="M47" t="s">
        <v>78</v>
      </c>
      <c r="N47" t="s">
        <v>79</v>
      </c>
      <c r="O47" t="s">
        <v>74</v>
      </c>
      <c r="P47" t="s">
        <v>74</v>
      </c>
      <c r="Q47" t="s">
        <v>74</v>
      </c>
      <c r="R47" t="s">
        <v>74</v>
      </c>
      <c r="S47" t="s">
        <v>74</v>
      </c>
      <c r="T47" t="s">
        <v>965</v>
      </c>
      <c r="U47" t="s">
        <v>966</v>
      </c>
      <c r="V47" t="s">
        <v>967</v>
      </c>
      <c r="W47" t="s">
        <v>968</v>
      </c>
      <c r="X47" t="s">
        <v>969</v>
      </c>
      <c r="Y47" t="s">
        <v>970</v>
      </c>
      <c r="Z47" t="s">
        <v>971</v>
      </c>
      <c r="AA47" t="s">
        <v>972</v>
      </c>
      <c r="AB47" t="s">
        <v>973</v>
      </c>
      <c r="AC47" t="s">
        <v>974</v>
      </c>
      <c r="AD47" t="s">
        <v>975</v>
      </c>
      <c r="AE47" t="s">
        <v>976</v>
      </c>
      <c r="AF47" t="s">
        <v>74</v>
      </c>
      <c r="AG47">
        <v>106</v>
      </c>
      <c r="AH47">
        <v>2</v>
      </c>
      <c r="AI47">
        <v>2</v>
      </c>
      <c r="AJ47">
        <v>31</v>
      </c>
      <c r="AK47">
        <v>31</v>
      </c>
      <c r="AL47" t="s">
        <v>92</v>
      </c>
      <c r="AM47" t="s">
        <v>93</v>
      </c>
      <c r="AN47" t="s">
        <v>94</v>
      </c>
      <c r="AO47" t="s">
        <v>977</v>
      </c>
      <c r="AP47" t="s">
        <v>978</v>
      </c>
      <c r="AQ47" t="s">
        <v>74</v>
      </c>
      <c r="AR47" t="s">
        <v>979</v>
      </c>
      <c r="AS47" t="s">
        <v>980</v>
      </c>
      <c r="AT47" t="s">
        <v>99</v>
      </c>
      <c r="AU47">
        <v>2023</v>
      </c>
      <c r="AV47">
        <v>60</v>
      </c>
      <c r="AW47">
        <v>1</v>
      </c>
      <c r="AX47" t="s">
        <v>74</v>
      </c>
      <c r="AY47" t="s">
        <v>74</v>
      </c>
      <c r="AZ47" t="s">
        <v>74</v>
      </c>
      <c r="BA47" t="s">
        <v>74</v>
      </c>
      <c r="BB47" t="s">
        <v>74</v>
      </c>
      <c r="BC47" t="s">
        <v>74</v>
      </c>
      <c r="BD47">
        <v>2209970</v>
      </c>
      <c r="BE47" t="s">
        <v>981</v>
      </c>
      <c r="BF47" t="str">
        <f>HYPERLINK("http://dx.doi.org/10.1080/15481603.2023.2209970","http://dx.doi.org/10.1080/15481603.2023.2209970")</f>
        <v>http://dx.doi.org/10.1080/15481603.2023.2209970</v>
      </c>
      <c r="BG47" t="s">
        <v>74</v>
      </c>
      <c r="BH47" t="s">
        <v>74</v>
      </c>
      <c r="BI47">
        <v>29</v>
      </c>
      <c r="BJ47" t="s">
        <v>542</v>
      </c>
      <c r="BK47" t="s">
        <v>102</v>
      </c>
      <c r="BL47" t="s">
        <v>543</v>
      </c>
      <c r="BM47" t="s">
        <v>982</v>
      </c>
      <c r="BN47" t="s">
        <v>74</v>
      </c>
      <c r="BO47" t="s">
        <v>126</v>
      </c>
      <c r="BP47" t="s">
        <v>74</v>
      </c>
      <c r="BQ47" t="s">
        <v>74</v>
      </c>
      <c r="BR47" t="s">
        <v>105</v>
      </c>
      <c r="BS47" t="s">
        <v>983</v>
      </c>
      <c r="BT47" t="str">
        <f>HYPERLINK("https%3A%2F%2Fwww.webofscience.com%2Fwos%2Fwoscc%2Ffull-record%2FWOS:000989264000001","View Full Record in Web of Science")</f>
        <v>View Full Record in Web of Science</v>
      </c>
    </row>
    <row r="48" spans="1:72" x14ac:dyDescent="0.15">
      <c r="A48" t="s">
        <v>72</v>
      </c>
      <c r="B48" t="s">
        <v>984</v>
      </c>
      <c r="C48" t="s">
        <v>74</v>
      </c>
      <c r="D48" t="s">
        <v>74</v>
      </c>
      <c r="E48" t="s">
        <v>74</v>
      </c>
      <c r="F48" t="s">
        <v>985</v>
      </c>
      <c r="G48" t="s">
        <v>74</v>
      </c>
      <c r="H48" t="s">
        <v>74</v>
      </c>
      <c r="I48" t="s">
        <v>986</v>
      </c>
      <c r="J48" t="s">
        <v>403</v>
      </c>
      <c r="K48" t="s">
        <v>74</v>
      </c>
      <c r="L48" t="s">
        <v>74</v>
      </c>
      <c r="M48" t="s">
        <v>78</v>
      </c>
      <c r="N48" t="s">
        <v>79</v>
      </c>
      <c r="O48" t="s">
        <v>74</v>
      </c>
      <c r="P48" t="s">
        <v>74</v>
      </c>
      <c r="Q48" t="s">
        <v>74</v>
      </c>
      <c r="R48" t="s">
        <v>74</v>
      </c>
      <c r="S48" t="s">
        <v>74</v>
      </c>
      <c r="T48" t="s">
        <v>987</v>
      </c>
      <c r="U48" t="s">
        <v>988</v>
      </c>
      <c r="V48" t="s">
        <v>989</v>
      </c>
      <c r="W48" t="s">
        <v>990</v>
      </c>
      <c r="X48" t="s">
        <v>991</v>
      </c>
      <c r="Y48" t="s">
        <v>992</v>
      </c>
      <c r="Z48" t="s">
        <v>993</v>
      </c>
      <c r="AA48" t="s">
        <v>74</v>
      </c>
      <c r="AB48" t="s">
        <v>994</v>
      </c>
      <c r="AC48" t="s">
        <v>995</v>
      </c>
      <c r="AD48" t="s">
        <v>996</v>
      </c>
      <c r="AE48" t="s">
        <v>997</v>
      </c>
      <c r="AF48" t="s">
        <v>74</v>
      </c>
      <c r="AG48">
        <v>37</v>
      </c>
      <c r="AH48">
        <v>3</v>
      </c>
      <c r="AI48">
        <v>3</v>
      </c>
      <c r="AJ48">
        <v>29</v>
      </c>
      <c r="AK48">
        <v>55</v>
      </c>
      <c r="AL48" t="s">
        <v>92</v>
      </c>
      <c r="AM48" t="s">
        <v>93</v>
      </c>
      <c r="AN48" t="s">
        <v>94</v>
      </c>
      <c r="AO48" t="s">
        <v>416</v>
      </c>
      <c r="AP48" t="s">
        <v>417</v>
      </c>
      <c r="AQ48" t="s">
        <v>74</v>
      </c>
      <c r="AR48" t="s">
        <v>418</v>
      </c>
      <c r="AS48" t="s">
        <v>419</v>
      </c>
      <c r="AT48" t="s">
        <v>99</v>
      </c>
      <c r="AU48">
        <v>2023</v>
      </c>
      <c r="AV48">
        <v>17</v>
      </c>
      <c r="AW48">
        <v>1</v>
      </c>
      <c r="AX48" t="s">
        <v>74</v>
      </c>
      <c r="AY48" t="s">
        <v>74</v>
      </c>
      <c r="AZ48" t="s">
        <v>74</v>
      </c>
      <c r="BA48" t="s">
        <v>74</v>
      </c>
      <c r="BB48" t="s">
        <v>74</v>
      </c>
      <c r="BC48" t="s">
        <v>74</v>
      </c>
      <c r="BD48">
        <v>2159882</v>
      </c>
      <c r="BE48" t="s">
        <v>998</v>
      </c>
      <c r="BF48" t="str">
        <f>HYPERLINK("http://dx.doi.org/10.1080/19942060.2022.2159882","http://dx.doi.org/10.1080/19942060.2022.2159882")</f>
        <v>http://dx.doi.org/10.1080/19942060.2022.2159882</v>
      </c>
      <c r="BG48" t="s">
        <v>74</v>
      </c>
      <c r="BH48" t="s">
        <v>74</v>
      </c>
      <c r="BI48">
        <v>14</v>
      </c>
      <c r="BJ48" t="s">
        <v>421</v>
      </c>
      <c r="BK48" t="s">
        <v>102</v>
      </c>
      <c r="BL48" t="s">
        <v>422</v>
      </c>
      <c r="BM48" t="s">
        <v>999</v>
      </c>
      <c r="BN48" t="s">
        <v>74</v>
      </c>
      <c r="BO48" t="s">
        <v>126</v>
      </c>
      <c r="BP48" t="s">
        <v>74</v>
      </c>
      <c r="BQ48" t="s">
        <v>74</v>
      </c>
      <c r="BR48" t="s">
        <v>105</v>
      </c>
      <c r="BS48" t="s">
        <v>1000</v>
      </c>
      <c r="BT48" t="str">
        <f>HYPERLINK("https%3A%2F%2Fwww.webofscience.com%2Fwos%2Fwoscc%2Ffull-record%2FWOS:000908207500001","View Full Record in Web of Science")</f>
        <v>View Full Record in Web of Science</v>
      </c>
    </row>
    <row r="49" spans="1:72" x14ac:dyDescent="0.15">
      <c r="A49" t="s">
        <v>72</v>
      </c>
      <c r="B49" t="s">
        <v>1001</v>
      </c>
      <c r="C49" t="s">
        <v>74</v>
      </c>
      <c r="D49" t="s">
        <v>74</v>
      </c>
      <c r="E49" t="s">
        <v>74</v>
      </c>
      <c r="F49" t="s">
        <v>1002</v>
      </c>
      <c r="G49" t="s">
        <v>74</v>
      </c>
      <c r="H49" t="s">
        <v>74</v>
      </c>
      <c r="I49" t="s">
        <v>1003</v>
      </c>
      <c r="J49" t="s">
        <v>131</v>
      </c>
      <c r="K49" t="s">
        <v>74</v>
      </c>
      <c r="L49" t="s">
        <v>74</v>
      </c>
      <c r="M49" t="s">
        <v>78</v>
      </c>
      <c r="N49" t="s">
        <v>79</v>
      </c>
      <c r="O49" t="s">
        <v>74</v>
      </c>
      <c r="P49" t="s">
        <v>74</v>
      </c>
      <c r="Q49" t="s">
        <v>74</v>
      </c>
      <c r="R49" t="s">
        <v>74</v>
      </c>
      <c r="S49" t="s">
        <v>74</v>
      </c>
      <c r="T49" t="s">
        <v>1004</v>
      </c>
      <c r="U49" t="s">
        <v>1005</v>
      </c>
      <c r="V49" t="s">
        <v>1006</v>
      </c>
      <c r="W49" t="s">
        <v>1007</v>
      </c>
      <c r="X49" t="s">
        <v>74</v>
      </c>
      <c r="Y49" t="s">
        <v>1008</v>
      </c>
      <c r="Z49" t="s">
        <v>1009</v>
      </c>
      <c r="AA49" t="s">
        <v>74</v>
      </c>
      <c r="AB49" t="s">
        <v>74</v>
      </c>
      <c r="AC49" t="s">
        <v>74</v>
      </c>
      <c r="AD49" t="s">
        <v>74</v>
      </c>
      <c r="AE49" t="s">
        <v>74</v>
      </c>
      <c r="AF49" t="s">
        <v>74</v>
      </c>
      <c r="AG49">
        <v>36</v>
      </c>
      <c r="AH49">
        <v>0</v>
      </c>
      <c r="AI49">
        <v>0</v>
      </c>
      <c r="AJ49">
        <v>0</v>
      </c>
      <c r="AK49">
        <v>0</v>
      </c>
      <c r="AL49" t="s">
        <v>92</v>
      </c>
      <c r="AM49" t="s">
        <v>93</v>
      </c>
      <c r="AN49" t="s">
        <v>94</v>
      </c>
      <c r="AO49" t="s">
        <v>142</v>
      </c>
      <c r="AP49" t="s">
        <v>143</v>
      </c>
      <c r="AQ49" t="s">
        <v>74</v>
      </c>
      <c r="AR49" t="s">
        <v>131</v>
      </c>
      <c r="AS49" t="s">
        <v>144</v>
      </c>
      <c r="AT49" t="s">
        <v>99</v>
      </c>
      <c r="AU49">
        <v>2023</v>
      </c>
      <c r="AV49">
        <v>28</v>
      </c>
      <c r="AW49">
        <v>1</v>
      </c>
      <c r="AX49" t="s">
        <v>74</v>
      </c>
      <c r="AY49" t="s">
        <v>74</v>
      </c>
      <c r="AZ49" t="s">
        <v>74</v>
      </c>
      <c r="BA49" t="s">
        <v>74</v>
      </c>
      <c r="BB49" t="s">
        <v>74</v>
      </c>
      <c r="BC49" t="s">
        <v>74</v>
      </c>
      <c r="BD49">
        <v>2225342</v>
      </c>
      <c r="BE49" t="s">
        <v>1010</v>
      </c>
      <c r="BF49" t="str">
        <f>HYPERLINK("http://dx.doi.org/10.1080/16078454.2023.2225342","http://dx.doi.org/10.1080/16078454.2023.2225342")</f>
        <v>http://dx.doi.org/10.1080/16078454.2023.2225342</v>
      </c>
      <c r="BG49" t="s">
        <v>74</v>
      </c>
      <c r="BH49" t="s">
        <v>74</v>
      </c>
      <c r="BI49">
        <v>10</v>
      </c>
      <c r="BJ49" t="s">
        <v>144</v>
      </c>
      <c r="BK49" t="s">
        <v>102</v>
      </c>
      <c r="BL49" t="s">
        <v>144</v>
      </c>
      <c r="BM49" t="s">
        <v>1011</v>
      </c>
      <c r="BN49">
        <v>37343159</v>
      </c>
      <c r="BO49" t="s">
        <v>126</v>
      </c>
      <c r="BP49" t="s">
        <v>74</v>
      </c>
      <c r="BQ49" t="s">
        <v>74</v>
      </c>
      <c r="BR49" t="s">
        <v>105</v>
      </c>
      <c r="BS49" t="s">
        <v>1012</v>
      </c>
      <c r="BT49" t="str">
        <f>HYPERLINK("https%3A%2F%2Fwww.webofscience.com%2Fwos%2Fwoscc%2Ffull-record%2FWOS:001010148000001","View Full Record in Web of Science")</f>
        <v>View Full Record in Web of Science</v>
      </c>
    </row>
    <row r="50" spans="1:72" x14ac:dyDescent="0.15">
      <c r="A50" t="s">
        <v>72</v>
      </c>
      <c r="B50" t="s">
        <v>1013</v>
      </c>
      <c r="C50" t="s">
        <v>74</v>
      </c>
      <c r="D50" t="s">
        <v>74</v>
      </c>
      <c r="E50" t="s">
        <v>74</v>
      </c>
      <c r="F50" t="s">
        <v>1014</v>
      </c>
      <c r="G50" t="s">
        <v>74</v>
      </c>
      <c r="H50" t="s">
        <v>74</v>
      </c>
      <c r="I50" t="s">
        <v>1015</v>
      </c>
      <c r="J50" t="s">
        <v>1016</v>
      </c>
      <c r="K50" t="s">
        <v>74</v>
      </c>
      <c r="L50" t="s">
        <v>74</v>
      </c>
      <c r="M50" t="s">
        <v>78</v>
      </c>
      <c r="N50" t="s">
        <v>79</v>
      </c>
      <c r="O50" t="s">
        <v>74</v>
      </c>
      <c r="P50" t="s">
        <v>74</v>
      </c>
      <c r="Q50" t="s">
        <v>74</v>
      </c>
      <c r="R50" t="s">
        <v>74</v>
      </c>
      <c r="S50" t="s">
        <v>74</v>
      </c>
      <c r="T50" t="s">
        <v>1017</v>
      </c>
      <c r="U50" t="s">
        <v>1018</v>
      </c>
      <c r="V50" t="s">
        <v>1019</v>
      </c>
      <c r="W50" t="s">
        <v>1020</v>
      </c>
      <c r="X50" t="s">
        <v>1021</v>
      </c>
      <c r="Y50" t="s">
        <v>1022</v>
      </c>
      <c r="Z50" t="s">
        <v>1023</v>
      </c>
      <c r="AA50" t="s">
        <v>74</v>
      </c>
      <c r="AB50" t="s">
        <v>74</v>
      </c>
      <c r="AC50" t="s">
        <v>1024</v>
      </c>
      <c r="AD50" t="s">
        <v>1025</v>
      </c>
      <c r="AE50" t="s">
        <v>1026</v>
      </c>
      <c r="AF50" t="s">
        <v>74</v>
      </c>
      <c r="AG50">
        <v>46</v>
      </c>
      <c r="AH50">
        <v>0</v>
      </c>
      <c r="AI50">
        <v>0</v>
      </c>
      <c r="AJ50">
        <v>2</v>
      </c>
      <c r="AK50">
        <v>2</v>
      </c>
      <c r="AL50" t="s">
        <v>184</v>
      </c>
      <c r="AM50" t="s">
        <v>185</v>
      </c>
      <c r="AN50" t="s">
        <v>186</v>
      </c>
      <c r="AO50" t="s">
        <v>1027</v>
      </c>
      <c r="AP50" t="s">
        <v>1028</v>
      </c>
      <c r="AQ50" t="s">
        <v>74</v>
      </c>
      <c r="AR50" t="s">
        <v>1029</v>
      </c>
      <c r="AS50" t="s">
        <v>1030</v>
      </c>
      <c r="AT50" t="s">
        <v>99</v>
      </c>
      <c r="AU50">
        <v>2023</v>
      </c>
      <c r="AV50">
        <v>42</v>
      </c>
      <c r="AW50">
        <v>1</v>
      </c>
      <c r="AX50" t="s">
        <v>74</v>
      </c>
      <c r="AY50" t="s">
        <v>74</v>
      </c>
      <c r="AZ50" t="s">
        <v>74</v>
      </c>
      <c r="BA50" t="s">
        <v>74</v>
      </c>
      <c r="BB50" t="s">
        <v>74</v>
      </c>
      <c r="BC50" t="s">
        <v>74</v>
      </c>
      <c r="BD50">
        <v>2225617</v>
      </c>
      <c r="BE50" t="s">
        <v>1031</v>
      </c>
      <c r="BF50" t="str">
        <f>HYPERLINK("http://dx.doi.org/10.1080/10641955.2023.2225617","http://dx.doi.org/10.1080/10641955.2023.2225617")</f>
        <v>http://dx.doi.org/10.1080/10641955.2023.2225617</v>
      </c>
      <c r="BG50" t="s">
        <v>74</v>
      </c>
      <c r="BH50" t="s">
        <v>74</v>
      </c>
      <c r="BI50">
        <v>10</v>
      </c>
      <c r="BJ50" t="s">
        <v>1032</v>
      </c>
      <c r="BK50" t="s">
        <v>102</v>
      </c>
      <c r="BL50" t="s">
        <v>1033</v>
      </c>
      <c r="BM50" t="s">
        <v>1034</v>
      </c>
      <c r="BN50">
        <v>37337643</v>
      </c>
      <c r="BO50" t="s">
        <v>126</v>
      </c>
      <c r="BP50" t="s">
        <v>74</v>
      </c>
      <c r="BQ50" t="s">
        <v>74</v>
      </c>
      <c r="BR50" t="s">
        <v>105</v>
      </c>
      <c r="BS50" t="s">
        <v>1035</v>
      </c>
      <c r="BT50" t="str">
        <f>HYPERLINK("https%3A%2F%2Fwww.webofscience.com%2Fwos%2Fwoscc%2Ffull-record%2FWOS:001015495400001","View Full Record in Web of Science")</f>
        <v>View Full Record in Web of Science</v>
      </c>
    </row>
    <row r="51" spans="1:72" x14ac:dyDescent="0.15">
      <c r="A51" t="s">
        <v>72</v>
      </c>
      <c r="B51" t="s">
        <v>1036</v>
      </c>
      <c r="C51" t="s">
        <v>74</v>
      </c>
      <c r="D51" t="s">
        <v>74</v>
      </c>
      <c r="E51" t="s">
        <v>74</v>
      </c>
      <c r="F51" t="s">
        <v>1037</v>
      </c>
      <c r="G51" t="s">
        <v>74</v>
      </c>
      <c r="H51" t="s">
        <v>74</v>
      </c>
      <c r="I51" t="s">
        <v>1038</v>
      </c>
      <c r="J51" t="s">
        <v>783</v>
      </c>
      <c r="K51" t="s">
        <v>74</v>
      </c>
      <c r="L51" t="s">
        <v>74</v>
      </c>
      <c r="M51" t="s">
        <v>78</v>
      </c>
      <c r="N51" t="s">
        <v>79</v>
      </c>
      <c r="O51" t="s">
        <v>74</v>
      </c>
      <c r="P51" t="s">
        <v>74</v>
      </c>
      <c r="Q51" t="s">
        <v>74</v>
      </c>
      <c r="R51" t="s">
        <v>74</v>
      </c>
      <c r="S51" t="s">
        <v>74</v>
      </c>
      <c r="T51" t="s">
        <v>1039</v>
      </c>
      <c r="U51" t="s">
        <v>1040</v>
      </c>
      <c r="V51" t="s">
        <v>1041</v>
      </c>
      <c r="W51" t="s">
        <v>1042</v>
      </c>
      <c r="X51" t="s">
        <v>1043</v>
      </c>
      <c r="Y51" t="s">
        <v>1044</v>
      </c>
      <c r="Z51" t="s">
        <v>1045</v>
      </c>
      <c r="AA51" t="s">
        <v>74</v>
      </c>
      <c r="AB51" t="s">
        <v>74</v>
      </c>
      <c r="AC51" t="s">
        <v>1046</v>
      </c>
      <c r="AD51" t="s">
        <v>1047</v>
      </c>
      <c r="AE51" t="s">
        <v>1048</v>
      </c>
      <c r="AF51" t="s">
        <v>74</v>
      </c>
      <c r="AG51">
        <v>109</v>
      </c>
      <c r="AH51">
        <v>0</v>
      </c>
      <c r="AI51">
        <v>0</v>
      </c>
      <c r="AJ51">
        <v>9</v>
      </c>
      <c r="AK51">
        <v>9</v>
      </c>
      <c r="AL51" t="s">
        <v>92</v>
      </c>
      <c r="AM51" t="s">
        <v>93</v>
      </c>
      <c r="AN51" t="s">
        <v>94</v>
      </c>
      <c r="AO51" t="s">
        <v>796</v>
      </c>
      <c r="AP51" t="s">
        <v>797</v>
      </c>
      <c r="AQ51" t="s">
        <v>74</v>
      </c>
      <c r="AR51" t="s">
        <v>798</v>
      </c>
      <c r="AS51" t="s">
        <v>799</v>
      </c>
      <c r="AT51" t="s">
        <v>99</v>
      </c>
      <c r="AU51">
        <v>2023</v>
      </c>
      <c r="AV51">
        <v>51</v>
      </c>
      <c r="AW51">
        <v>1</v>
      </c>
      <c r="AX51" t="s">
        <v>74</v>
      </c>
      <c r="AY51" t="s">
        <v>74</v>
      </c>
      <c r="AZ51" t="s">
        <v>74</v>
      </c>
      <c r="BA51" t="s">
        <v>74</v>
      </c>
      <c r="BB51">
        <v>346</v>
      </c>
      <c r="BC51">
        <v>360</v>
      </c>
      <c r="BD51" t="s">
        <v>74</v>
      </c>
      <c r="BE51" t="s">
        <v>1049</v>
      </c>
      <c r="BF51" t="str">
        <f>HYPERLINK("http://dx.doi.org/10.1080/21691401.2023.2237534","http://dx.doi.org/10.1080/21691401.2023.2237534")</f>
        <v>http://dx.doi.org/10.1080/21691401.2023.2237534</v>
      </c>
      <c r="BG51" t="s">
        <v>74</v>
      </c>
      <c r="BH51" t="s">
        <v>74</v>
      </c>
      <c r="BI51">
        <v>15</v>
      </c>
      <c r="BJ51" t="s">
        <v>801</v>
      </c>
      <c r="BK51" t="s">
        <v>102</v>
      </c>
      <c r="BL51" t="s">
        <v>802</v>
      </c>
      <c r="BM51" t="s">
        <v>1050</v>
      </c>
      <c r="BN51">
        <v>37524112</v>
      </c>
      <c r="BO51" t="s">
        <v>126</v>
      </c>
      <c r="BP51" t="s">
        <v>74</v>
      </c>
      <c r="BQ51" t="s">
        <v>74</v>
      </c>
      <c r="BR51" t="s">
        <v>105</v>
      </c>
      <c r="BS51" t="s">
        <v>1051</v>
      </c>
      <c r="BT51" t="str">
        <f>HYPERLINK("https%3A%2F%2Fwww.webofscience.com%2Fwos%2Fwoscc%2Ffull-record%2FWOS:001040626200001","View Full Record in Web of Science")</f>
        <v>View Full Record in Web of Science</v>
      </c>
    </row>
    <row r="52" spans="1:72" x14ac:dyDescent="0.15">
      <c r="A52" t="s">
        <v>72</v>
      </c>
      <c r="B52" t="s">
        <v>1052</v>
      </c>
      <c r="C52" t="s">
        <v>74</v>
      </c>
      <c r="D52" t="s">
        <v>74</v>
      </c>
      <c r="E52" t="s">
        <v>74</v>
      </c>
      <c r="F52" t="s">
        <v>1053</v>
      </c>
      <c r="G52" t="s">
        <v>74</v>
      </c>
      <c r="H52" t="s">
        <v>74</v>
      </c>
      <c r="I52" t="s">
        <v>1054</v>
      </c>
      <c r="J52" t="s">
        <v>1055</v>
      </c>
      <c r="K52" t="s">
        <v>74</v>
      </c>
      <c r="L52" t="s">
        <v>74</v>
      </c>
      <c r="M52" t="s">
        <v>78</v>
      </c>
      <c r="N52" t="s">
        <v>79</v>
      </c>
      <c r="O52" t="s">
        <v>74</v>
      </c>
      <c r="P52" t="s">
        <v>74</v>
      </c>
      <c r="Q52" t="s">
        <v>74</v>
      </c>
      <c r="R52" t="s">
        <v>74</v>
      </c>
      <c r="S52" t="s">
        <v>74</v>
      </c>
      <c r="T52" t="s">
        <v>1056</v>
      </c>
      <c r="U52" t="s">
        <v>1057</v>
      </c>
      <c r="V52" t="s">
        <v>1058</v>
      </c>
      <c r="W52" t="s">
        <v>1059</v>
      </c>
      <c r="X52" t="s">
        <v>1060</v>
      </c>
      <c r="Y52" t="s">
        <v>1061</v>
      </c>
      <c r="Z52" t="s">
        <v>1062</v>
      </c>
      <c r="AA52" t="s">
        <v>74</v>
      </c>
      <c r="AB52" t="s">
        <v>74</v>
      </c>
      <c r="AC52" t="s">
        <v>1063</v>
      </c>
      <c r="AD52" t="s">
        <v>1064</v>
      </c>
      <c r="AE52" t="s">
        <v>1065</v>
      </c>
      <c r="AF52" t="s">
        <v>74</v>
      </c>
      <c r="AG52">
        <v>29</v>
      </c>
      <c r="AH52">
        <v>0</v>
      </c>
      <c r="AI52">
        <v>0</v>
      </c>
      <c r="AJ52">
        <v>3</v>
      </c>
      <c r="AK52">
        <v>3</v>
      </c>
      <c r="AL52" t="s">
        <v>92</v>
      </c>
      <c r="AM52" t="s">
        <v>93</v>
      </c>
      <c r="AN52" t="s">
        <v>94</v>
      </c>
      <c r="AO52" t="s">
        <v>1066</v>
      </c>
      <c r="AP52" t="s">
        <v>1067</v>
      </c>
      <c r="AQ52" t="s">
        <v>74</v>
      </c>
      <c r="AR52" t="s">
        <v>1068</v>
      </c>
      <c r="AS52" t="s">
        <v>1069</v>
      </c>
      <c r="AT52" t="s">
        <v>99</v>
      </c>
      <c r="AU52">
        <v>2023</v>
      </c>
      <c r="AV52">
        <v>22</v>
      </c>
      <c r="AW52">
        <v>1</v>
      </c>
      <c r="AX52" t="s">
        <v>74</v>
      </c>
      <c r="AY52" t="s">
        <v>74</v>
      </c>
      <c r="AZ52" t="s">
        <v>74</v>
      </c>
      <c r="BA52" t="s">
        <v>74</v>
      </c>
      <c r="BB52">
        <v>605</v>
      </c>
      <c r="BC52">
        <v>614</v>
      </c>
      <c r="BD52" t="s">
        <v>74</v>
      </c>
      <c r="BE52" t="s">
        <v>1070</v>
      </c>
      <c r="BF52" t="str">
        <f>HYPERLINK("http://dx.doi.org/10.1080/1828051X.2023.2222754","http://dx.doi.org/10.1080/1828051X.2023.2222754")</f>
        <v>http://dx.doi.org/10.1080/1828051X.2023.2222754</v>
      </c>
      <c r="BG52" t="s">
        <v>74</v>
      </c>
      <c r="BH52" t="s">
        <v>74</v>
      </c>
      <c r="BI52">
        <v>10</v>
      </c>
      <c r="BJ52" t="s">
        <v>1071</v>
      </c>
      <c r="BK52" t="s">
        <v>102</v>
      </c>
      <c r="BL52" t="s">
        <v>1072</v>
      </c>
      <c r="BM52" t="s">
        <v>1073</v>
      </c>
      <c r="BN52" t="s">
        <v>74</v>
      </c>
      <c r="BO52" t="s">
        <v>126</v>
      </c>
      <c r="BP52" t="s">
        <v>74</v>
      </c>
      <c r="BQ52" t="s">
        <v>74</v>
      </c>
      <c r="BR52" t="s">
        <v>105</v>
      </c>
      <c r="BS52" t="s">
        <v>1074</v>
      </c>
      <c r="BT52" t="str">
        <f>HYPERLINK("https%3A%2F%2Fwww.webofscience.com%2Fwos%2Fwoscc%2Ffull-record%2FWOS:001013143800001","View Full Record in Web of Science")</f>
        <v>View Full Record in Web of Science</v>
      </c>
    </row>
    <row r="53" spans="1:72" x14ac:dyDescent="0.15">
      <c r="A53" t="s">
        <v>72</v>
      </c>
      <c r="B53" t="s">
        <v>1075</v>
      </c>
      <c r="C53" t="s">
        <v>74</v>
      </c>
      <c r="D53" t="s">
        <v>74</v>
      </c>
      <c r="E53" t="s">
        <v>74</v>
      </c>
      <c r="F53" t="s">
        <v>1076</v>
      </c>
      <c r="G53" t="s">
        <v>74</v>
      </c>
      <c r="H53" t="s">
        <v>74</v>
      </c>
      <c r="I53" t="s">
        <v>1077</v>
      </c>
      <c r="J53" t="s">
        <v>1078</v>
      </c>
      <c r="K53" t="s">
        <v>74</v>
      </c>
      <c r="L53" t="s">
        <v>74</v>
      </c>
      <c r="M53" t="s">
        <v>78</v>
      </c>
      <c r="N53" t="s">
        <v>79</v>
      </c>
      <c r="O53" t="s">
        <v>74</v>
      </c>
      <c r="P53" t="s">
        <v>74</v>
      </c>
      <c r="Q53" t="s">
        <v>74</v>
      </c>
      <c r="R53" t="s">
        <v>74</v>
      </c>
      <c r="S53" t="s">
        <v>74</v>
      </c>
      <c r="T53" t="s">
        <v>1079</v>
      </c>
      <c r="U53" t="s">
        <v>1080</v>
      </c>
      <c r="V53" t="s">
        <v>1081</v>
      </c>
      <c r="W53" t="s">
        <v>1082</v>
      </c>
      <c r="X53" t="s">
        <v>1083</v>
      </c>
      <c r="Y53" t="s">
        <v>1084</v>
      </c>
      <c r="Z53" t="s">
        <v>1085</v>
      </c>
      <c r="AA53" t="s">
        <v>1086</v>
      </c>
      <c r="AB53" t="s">
        <v>1087</v>
      </c>
      <c r="AC53" t="s">
        <v>1088</v>
      </c>
      <c r="AD53" t="s">
        <v>1088</v>
      </c>
      <c r="AE53" t="s">
        <v>1089</v>
      </c>
      <c r="AF53" t="s">
        <v>74</v>
      </c>
      <c r="AG53">
        <v>30</v>
      </c>
      <c r="AH53">
        <v>0</v>
      </c>
      <c r="AI53">
        <v>0</v>
      </c>
      <c r="AJ53">
        <v>1</v>
      </c>
      <c r="AK53">
        <v>1</v>
      </c>
      <c r="AL53" t="s">
        <v>287</v>
      </c>
      <c r="AM53" t="s">
        <v>288</v>
      </c>
      <c r="AN53" t="s">
        <v>289</v>
      </c>
      <c r="AO53" t="s">
        <v>1090</v>
      </c>
      <c r="AP53" t="s">
        <v>74</v>
      </c>
      <c r="AQ53" t="s">
        <v>74</v>
      </c>
      <c r="AR53" t="s">
        <v>1091</v>
      </c>
      <c r="AS53" t="s">
        <v>1092</v>
      </c>
      <c r="AT53" t="s">
        <v>99</v>
      </c>
      <c r="AU53">
        <v>2023</v>
      </c>
      <c r="AV53">
        <v>10</v>
      </c>
      <c r="AW53">
        <v>1</v>
      </c>
      <c r="AX53" t="s">
        <v>74</v>
      </c>
      <c r="AY53" t="s">
        <v>74</v>
      </c>
      <c r="AZ53" t="s">
        <v>74</v>
      </c>
      <c r="BA53" t="s">
        <v>74</v>
      </c>
      <c r="BB53" t="s">
        <v>74</v>
      </c>
      <c r="BC53" t="s">
        <v>74</v>
      </c>
      <c r="BD53">
        <v>2220499</v>
      </c>
      <c r="BE53" t="s">
        <v>1093</v>
      </c>
      <c r="BF53" t="str">
        <f>HYPERLINK("http://dx.doi.org/10.1080/23311916.2023.2220499","http://dx.doi.org/10.1080/23311916.2023.2220499")</f>
        <v>http://dx.doi.org/10.1080/23311916.2023.2220499</v>
      </c>
      <c r="BG53" t="s">
        <v>74</v>
      </c>
      <c r="BH53" t="s">
        <v>74</v>
      </c>
      <c r="BI53">
        <v>12</v>
      </c>
      <c r="BJ53" t="s">
        <v>1094</v>
      </c>
      <c r="BK53" t="s">
        <v>211</v>
      </c>
      <c r="BL53" t="s">
        <v>1095</v>
      </c>
      <c r="BM53" t="s">
        <v>1096</v>
      </c>
      <c r="BN53" t="s">
        <v>74</v>
      </c>
      <c r="BO53" t="s">
        <v>126</v>
      </c>
      <c r="BP53" t="s">
        <v>74</v>
      </c>
      <c r="BQ53" t="s">
        <v>74</v>
      </c>
      <c r="BR53" t="s">
        <v>105</v>
      </c>
      <c r="BS53" t="s">
        <v>1097</v>
      </c>
      <c r="BT53" t="str">
        <f>HYPERLINK("https%3A%2F%2Fwww.webofscience.com%2Fwos%2Fwoscc%2Ffull-record%2FWOS:001000631600001","View Full Record in Web of Science")</f>
        <v>View Full Record in Web of Science</v>
      </c>
    </row>
    <row r="54" spans="1:72" x14ac:dyDescent="0.15">
      <c r="A54" t="s">
        <v>72</v>
      </c>
      <c r="B54" t="s">
        <v>1098</v>
      </c>
      <c r="C54" t="s">
        <v>74</v>
      </c>
      <c r="D54" t="s">
        <v>74</v>
      </c>
      <c r="E54" t="s">
        <v>74</v>
      </c>
      <c r="F54" t="s">
        <v>1099</v>
      </c>
      <c r="G54" t="s">
        <v>74</v>
      </c>
      <c r="H54" t="s">
        <v>74</v>
      </c>
      <c r="I54" t="s">
        <v>1100</v>
      </c>
      <c r="J54" t="s">
        <v>736</v>
      </c>
      <c r="K54" t="s">
        <v>74</v>
      </c>
      <c r="L54" t="s">
        <v>74</v>
      </c>
      <c r="M54" t="s">
        <v>78</v>
      </c>
      <c r="N54" t="s">
        <v>79</v>
      </c>
      <c r="O54" t="s">
        <v>74</v>
      </c>
      <c r="P54" t="s">
        <v>74</v>
      </c>
      <c r="Q54" t="s">
        <v>74</v>
      </c>
      <c r="R54" t="s">
        <v>74</v>
      </c>
      <c r="S54" t="s">
        <v>74</v>
      </c>
      <c r="T54" t="s">
        <v>1101</v>
      </c>
      <c r="U54" t="s">
        <v>74</v>
      </c>
      <c r="V54" t="s">
        <v>1102</v>
      </c>
      <c r="W54" t="s">
        <v>1103</v>
      </c>
      <c r="X54" t="s">
        <v>1104</v>
      </c>
      <c r="Y54" t="s">
        <v>1105</v>
      </c>
      <c r="Z54" t="s">
        <v>1106</v>
      </c>
      <c r="AA54" t="s">
        <v>1107</v>
      </c>
      <c r="AB54" t="s">
        <v>1108</v>
      </c>
      <c r="AC54" t="s">
        <v>1109</v>
      </c>
      <c r="AD54" t="s">
        <v>1110</v>
      </c>
      <c r="AE54" t="s">
        <v>1111</v>
      </c>
      <c r="AF54" t="s">
        <v>74</v>
      </c>
      <c r="AG54">
        <v>40</v>
      </c>
      <c r="AH54">
        <v>2</v>
      </c>
      <c r="AI54">
        <v>2</v>
      </c>
      <c r="AJ54">
        <v>9</v>
      </c>
      <c r="AK54">
        <v>21</v>
      </c>
      <c r="AL54" t="s">
        <v>92</v>
      </c>
      <c r="AM54" t="s">
        <v>93</v>
      </c>
      <c r="AN54" t="s">
        <v>94</v>
      </c>
      <c r="AO54" t="s">
        <v>74</v>
      </c>
      <c r="AP54" t="s">
        <v>748</v>
      </c>
      <c r="AQ54" t="s">
        <v>74</v>
      </c>
      <c r="AR54" t="s">
        <v>749</v>
      </c>
      <c r="AS54" t="s">
        <v>750</v>
      </c>
      <c r="AT54" t="s">
        <v>99</v>
      </c>
      <c r="AU54">
        <v>2023</v>
      </c>
      <c r="AV54">
        <v>12</v>
      </c>
      <c r="AW54">
        <v>1</v>
      </c>
      <c r="AX54" t="s">
        <v>74</v>
      </c>
      <c r="AY54" t="s">
        <v>74</v>
      </c>
      <c r="AZ54" t="s">
        <v>74</v>
      </c>
      <c r="BA54" t="s">
        <v>74</v>
      </c>
      <c r="BB54" t="s">
        <v>74</v>
      </c>
      <c r="BC54" t="s">
        <v>74</v>
      </c>
      <c r="BD54">
        <v>2157338</v>
      </c>
      <c r="BE54" t="s">
        <v>1112</v>
      </c>
      <c r="BF54" t="str">
        <f>HYPERLINK("http://dx.doi.org/10.1080/22221751.2022.2157338","http://dx.doi.org/10.1080/22221751.2022.2157338")</f>
        <v>http://dx.doi.org/10.1080/22221751.2022.2157338</v>
      </c>
      <c r="BG54" t="s">
        <v>74</v>
      </c>
      <c r="BH54" t="s">
        <v>74</v>
      </c>
      <c r="BI54">
        <v>11</v>
      </c>
      <c r="BJ54" t="s">
        <v>752</v>
      </c>
      <c r="BK54" t="s">
        <v>102</v>
      </c>
      <c r="BL54" t="s">
        <v>752</v>
      </c>
      <c r="BM54" t="s">
        <v>1113</v>
      </c>
      <c r="BN54">
        <v>36482706</v>
      </c>
      <c r="BO54" t="s">
        <v>104</v>
      </c>
      <c r="BP54" t="s">
        <v>74</v>
      </c>
      <c r="BQ54" t="s">
        <v>74</v>
      </c>
      <c r="BR54" t="s">
        <v>105</v>
      </c>
      <c r="BS54" t="s">
        <v>1114</v>
      </c>
      <c r="BT54" t="str">
        <f>HYPERLINK("https%3A%2F%2Fwww.webofscience.com%2Fwos%2Fwoscc%2Ffull-record%2FWOS:000906172300001","View Full Record in Web of Science")</f>
        <v>View Full Record in Web of Science</v>
      </c>
    </row>
    <row r="55" spans="1:72" x14ac:dyDescent="0.15">
      <c r="A55" t="s">
        <v>72</v>
      </c>
      <c r="B55" t="s">
        <v>1115</v>
      </c>
      <c r="C55" t="s">
        <v>74</v>
      </c>
      <c r="D55" t="s">
        <v>74</v>
      </c>
      <c r="E55" t="s">
        <v>74</v>
      </c>
      <c r="F55" t="s">
        <v>1116</v>
      </c>
      <c r="G55" t="s">
        <v>74</v>
      </c>
      <c r="H55" t="s">
        <v>74</v>
      </c>
      <c r="I55" t="s">
        <v>1117</v>
      </c>
      <c r="J55" t="s">
        <v>1118</v>
      </c>
      <c r="K55" t="s">
        <v>74</v>
      </c>
      <c r="L55" t="s">
        <v>74</v>
      </c>
      <c r="M55" t="s">
        <v>78</v>
      </c>
      <c r="N55" t="s">
        <v>79</v>
      </c>
      <c r="O55" t="s">
        <v>74</v>
      </c>
      <c r="P55" t="s">
        <v>74</v>
      </c>
      <c r="Q55" t="s">
        <v>74</v>
      </c>
      <c r="R55" t="s">
        <v>74</v>
      </c>
      <c r="S55" t="s">
        <v>74</v>
      </c>
      <c r="T55" t="s">
        <v>1119</v>
      </c>
      <c r="U55" t="s">
        <v>1120</v>
      </c>
      <c r="V55" t="s">
        <v>1121</v>
      </c>
      <c r="W55" t="s">
        <v>1122</v>
      </c>
      <c r="X55" t="s">
        <v>1123</v>
      </c>
      <c r="Y55" t="s">
        <v>1124</v>
      </c>
      <c r="Z55" t="s">
        <v>1125</v>
      </c>
      <c r="AA55" t="s">
        <v>1126</v>
      </c>
      <c r="AB55" t="s">
        <v>1127</v>
      </c>
      <c r="AC55" t="s">
        <v>1128</v>
      </c>
      <c r="AD55" t="s">
        <v>1128</v>
      </c>
      <c r="AE55" t="s">
        <v>1129</v>
      </c>
      <c r="AF55" t="s">
        <v>74</v>
      </c>
      <c r="AG55">
        <v>32</v>
      </c>
      <c r="AH55">
        <v>0</v>
      </c>
      <c r="AI55">
        <v>0</v>
      </c>
      <c r="AJ55">
        <v>5</v>
      </c>
      <c r="AK55">
        <v>5</v>
      </c>
      <c r="AL55" t="s">
        <v>92</v>
      </c>
      <c r="AM55" t="s">
        <v>93</v>
      </c>
      <c r="AN55" t="s">
        <v>94</v>
      </c>
      <c r="AO55" t="s">
        <v>1130</v>
      </c>
      <c r="AP55" t="s">
        <v>1131</v>
      </c>
      <c r="AQ55" t="s">
        <v>74</v>
      </c>
      <c r="AR55" t="s">
        <v>1132</v>
      </c>
      <c r="AS55" t="s">
        <v>1133</v>
      </c>
      <c r="AT55" t="s">
        <v>99</v>
      </c>
      <c r="AU55">
        <v>2023</v>
      </c>
      <c r="AV55">
        <v>21</v>
      </c>
      <c r="AW55">
        <v>1</v>
      </c>
      <c r="AX55" t="s">
        <v>74</v>
      </c>
      <c r="AY55" t="s">
        <v>74</v>
      </c>
      <c r="AZ55" t="s">
        <v>74</v>
      </c>
      <c r="BA55" t="s">
        <v>74</v>
      </c>
      <c r="BB55">
        <v>313</v>
      </c>
      <c r="BC55">
        <v>320</v>
      </c>
      <c r="BD55" t="s">
        <v>74</v>
      </c>
      <c r="BE55" t="s">
        <v>1134</v>
      </c>
      <c r="BF55" t="str">
        <f>HYPERLINK("http://dx.doi.org/10.1080/19476337.2023.2196321","http://dx.doi.org/10.1080/19476337.2023.2196321")</f>
        <v>http://dx.doi.org/10.1080/19476337.2023.2196321</v>
      </c>
      <c r="BG55" t="s">
        <v>74</v>
      </c>
      <c r="BH55" t="s">
        <v>74</v>
      </c>
      <c r="BI55">
        <v>8</v>
      </c>
      <c r="BJ55" t="s">
        <v>192</v>
      </c>
      <c r="BK55" t="s">
        <v>102</v>
      </c>
      <c r="BL55" t="s">
        <v>192</v>
      </c>
      <c r="BM55" t="s">
        <v>1135</v>
      </c>
      <c r="BN55" t="s">
        <v>74</v>
      </c>
      <c r="BO55" t="s">
        <v>126</v>
      </c>
      <c r="BP55" t="s">
        <v>74</v>
      </c>
      <c r="BQ55" t="s">
        <v>74</v>
      </c>
      <c r="BR55" t="s">
        <v>105</v>
      </c>
      <c r="BS55" t="s">
        <v>1136</v>
      </c>
      <c r="BT55" t="str">
        <f>HYPERLINK("https%3A%2F%2Fwww.webofscience.com%2Fwos%2Fwoscc%2Ffull-record%2FWOS:000973408200001","View Full Record in Web of Science")</f>
        <v>View Full Record in Web of Science</v>
      </c>
    </row>
    <row r="56" spans="1:72" x14ac:dyDescent="0.15">
      <c r="A56" t="s">
        <v>72</v>
      </c>
      <c r="B56" t="s">
        <v>1137</v>
      </c>
      <c r="C56" t="s">
        <v>74</v>
      </c>
      <c r="D56" t="s">
        <v>74</v>
      </c>
      <c r="E56" t="s">
        <v>74</v>
      </c>
      <c r="F56" t="s">
        <v>1138</v>
      </c>
      <c r="G56" t="s">
        <v>74</v>
      </c>
      <c r="H56" t="s">
        <v>74</v>
      </c>
      <c r="I56" t="s">
        <v>1139</v>
      </c>
      <c r="J56" t="s">
        <v>1140</v>
      </c>
      <c r="K56" t="s">
        <v>74</v>
      </c>
      <c r="L56" t="s">
        <v>74</v>
      </c>
      <c r="M56" t="s">
        <v>78</v>
      </c>
      <c r="N56" t="s">
        <v>171</v>
      </c>
      <c r="O56" t="s">
        <v>74</v>
      </c>
      <c r="P56" t="s">
        <v>74</v>
      </c>
      <c r="Q56" t="s">
        <v>74</v>
      </c>
      <c r="R56" t="s">
        <v>74</v>
      </c>
      <c r="S56" t="s">
        <v>74</v>
      </c>
      <c r="T56" t="s">
        <v>1141</v>
      </c>
      <c r="U56" t="s">
        <v>1142</v>
      </c>
      <c r="V56" t="s">
        <v>1143</v>
      </c>
      <c r="W56" t="s">
        <v>1144</v>
      </c>
      <c r="X56" t="s">
        <v>1145</v>
      </c>
      <c r="Y56" t="s">
        <v>1146</v>
      </c>
      <c r="Z56" t="s">
        <v>1147</v>
      </c>
      <c r="AA56" t="s">
        <v>1148</v>
      </c>
      <c r="AB56" t="s">
        <v>1149</v>
      </c>
      <c r="AC56" t="s">
        <v>1150</v>
      </c>
      <c r="AD56" t="s">
        <v>1151</v>
      </c>
      <c r="AE56" t="s">
        <v>1152</v>
      </c>
      <c r="AF56" t="s">
        <v>74</v>
      </c>
      <c r="AG56">
        <v>117</v>
      </c>
      <c r="AH56">
        <v>3</v>
      </c>
      <c r="AI56">
        <v>3</v>
      </c>
      <c r="AJ56">
        <v>32</v>
      </c>
      <c r="AK56">
        <v>57</v>
      </c>
      <c r="AL56" t="s">
        <v>92</v>
      </c>
      <c r="AM56" t="s">
        <v>93</v>
      </c>
      <c r="AN56" t="s">
        <v>94</v>
      </c>
      <c r="AO56" t="s">
        <v>1153</v>
      </c>
      <c r="AP56" t="s">
        <v>74</v>
      </c>
      <c r="AQ56" t="s">
        <v>74</v>
      </c>
      <c r="AR56" t="s">
        <v>1154</v>
      </c>
      <c r="AS56" t="s">
        <v>1155</v>
      </c>
      <c r="AT56" t="s">
        <v>99</v>
      </c>
      <c r="AU56">
        <v>2023</v>
      </c>
      <c r="AV56">
        <v>8</v>
      </c>
      <c r="AW56">
        <v>1</v>
      </c>
      <c r="AX56" t="s">
        <v>74</v>
      </c>
      <c r="AY56" t="s">
        <v>74</v>
      </c>
      <c r="AZ56" t="s">
        <v>74</v>
      </c>
      <c r="BA56" t="s">
        <v>74</v>
      </c>
      <c r="BB56" t="s">
        <v>74</v>
      </c>
      <c r="BC56" t="s">
        <v>74</v>
      </c>
      <c r="BD56">
        <v>2161936</v>
      </c>
      <c r="BE56" t="s">
        <v>1156</v>
      </c>
      <c r="BF56" t="str">
        <f>HYPERLINK("http://dx.doi.org/10.1080/23746149.2022.2161936","http://dx.doi.org/10.1080/23746149.2022.2161936")</f>
        <v>http://dx.doi.org/10.1080/23746149.2022.2161936</v>
      </c>
      <c r="BG56" t="s">
        <v>74</v>
      </c>
      <c r="BH56" t="s">
        <v>74</v>
      </c>
      <c r="BI56">
        <v>20</v>
      </c>
      <c r="BJ56" t="s">
        <v>1157</v>
      </c>
      <c r="BK56" t="s">
        <v>102</v>
      </c>
      <c r="BL56" t="s">
        <v>1158</v>
      </c>
      <c r="BM56" t="s">
        <v>1159</v>
      </c>
      <c r="BN56" t="s">
        <v>74</v>
      </c>
      <c r="BO56" t="s">
        <v>165</v>
      </c>
      <c r="BP56" t="s">
        <v>74</v>
      </c>
      <c r="BQ56" t="s">
        <v>74</v>
      </c>
      <c r="BR56" t="s">
        <v>105</v>
      </c>
      <c r="BS56" t="s">
        <v>1160</v>
      </c>
      <c r="BT56" t="str">
        <f>HYPERLINK("https%3A%2F%2Fwww.webofscience.com%2Fwos%2Fwoscc%2Ffull-record%2FWOS:000906515100001","View Full Record in Web of Science")</f>
        <v>View Full Record in Web of Science</v>
      </c>
    </row>
    <row r="57" spans="1:72" x14ac:dyDescent="0.15">
      <c r="A57" t="s">
        <v>72</v>
      </c>
      <c r="B57" t="s">
        <v>1161</v>
      </c>
      <c r="C57" t="s">
        <v>74</v>
      </c>
      <c r="D57" t="s">
        <v>74</v>
      </c>
      <c r="E57" t="s">
        <v>74</v>
      </c>
      <c r="F57" t="s">
        <v>1162</v>
      </c>
      <c r="G57" t="s">
        <v>74</v>
      </c>
      <c r="H57" t="s">
        <v>74</v>
      </c>
      <c r="I57" t="s">
        <v>1163</v>
      </c>
      <c r="J57" t="s">
        <v>736</v>
      </c>
      <c r="K57" t="s">
        <v>74</v>
      </c>
      <c r="L57" t="s">
        <v>74</v>
      </c>
      <c r="M57" t="s">
        <v>78</v>
      </c>
      <c r="N57" t="s">
        <v>79</v>
      </c>
      <c r="O57" t="s">
        <v>74</v>
      </c>
      <c r="P57" t="s">
        <v>74</v>
      </c>
      <c r="Q57" t="s">
        <v>74</v>
      </c>
      <c r="R57" t="s">
        <v>74</v>
      </c>
      <c r="S57" t="s">
        <v>74</v>
      </c>
      <c r="T57" t="s">
        <v>1164</v>
      </c>
      <c r="U57" t="s">
        <v>1165</v>
      </c>
      <c r="V57" t="s">
        <v>1166</v>
      </c>
      <c r="W57" t="s">
        <v>1167</v>
      </c>
      <c r="X57" t="s">
        <v>1168</v>
      </c>
      <c r="Y57" t="s">
        <v>1169</v>
      </c>
      <c r="Z57" t="s">
        <v>1170</v>
      </c>
      <c r="AA57" t="s">
        <v>1171</v>
      </c>
      <c r="AB57" t="s">
        <v>1172</v>
      </c>
      <c r="AC57" t="s">
        <v>74</v>
      </c>
      <c r="AD57" t="s">
        <v>74</v>
      </c>
      <c r="AE57" t="s">
        <v>74</v>
      </c>
      <c r="AF57" t="s">
        <v>74</v>
      </c>
      <c r="AG57">
        <v>58</v>
      </c>
      <c r="AH57">
        <v>0</v>
      </c>
      <c r="AI57">
        <v>0</v>
      </c>
      <c r="AJ57">
        <v>7</v>
      </c>
      <c r="AK57">
        <v>12</v>
      </c>
      <c r="AL57" t="s">
        <v>92</v>
      </c>
      <c r="AM57" t="s">
        <v>93</v>
      </c>
      <c r="AN57" t="s">
        <v>94</v>
      </c>
      <c r="AO57" t="s">
        <v>74</v>
      </c>
      <c r="AP57" t="s">
        <v>748</v>
      </c>
      <c r="AQ57" t="s">
        <v>74</v>
      </c>
      <c r="AR57" t="s">
        <v>749</v>
      </c>
      <c r="AS57" t="s">
        <v>750</v>
      </c>
      <c r="AT57" t="s">
        <v>99</v>
      </c>
      <c r="AU57">
        <v>2023</v>
      </c>
      <c r="AV57">
        <v>12</v>
      </c>
      <c r="AW57">
        <v>1</v>
      </c>
      <c r="AX57" t="s">
        <v>74</v>
      </c>
      <c r="AY57" t="s">
        <v>74</v>
      </c>
      <c r="AZ57" t="s">
        <v>74</v>
      </c>
      <c r="BA57" t="s">
        <v>74</v>
      </c>
      <c r="BB57" t="s">
        <v>74</v>
      </c>
      <c r="BC57" t="s">
        <v>74</v>
      </c>
      <c r="BD57">
        <v>2156815</v>
      </c>
      <c r="BE57" t="s">
        <v>1173</v>
      </c>
      <c r="BF57" t="str">
        <f>HYPERLINK("http://dx.doi.org/10.1080/22221751.2022.2156815","http://dx.doi.org/10.1080/22221751.2022.2156815")</f>
        <v>http://dx.doi.org/10.1080/22221751.2022.2156815</v>
      </c>
      <c r="BG57" t="s">
        <v>74</v>
      </c>
      <c r="BH57" t="s">
        <v>74</v>
      </c>
      <c r="BI57">
        <v>16</v>
      </c>
      <c r="BJ57" t="s">
        <v>752</v>
      </c>
      <c r="BK57" t="s">
        <v>102</v>
      </c>
      <c r="BL57" t="s">
        <v>752</v>
      </c>
      <c r="BM57" t="s">
        <v>1174</v>
      </c>
      <c r="BN57">
        <v>36495563</v>
      </c>
      <c r="BO57" t="s">
        <v>165</v>
      </c>
      <c r="BP57" t="s">
        <v>74</v>
      </c>
      <c r="BQ57" t="s">
        <v>74</v>
      </c>
      <c r="BR57" t="s">
        <v>105</v>
      </c>
      <c r="BS57" t="s">
        <v>1175</v>
      </c>
      <c r="BT57" t="str">
        <f>HYPERLINK("https%3A%2F%2Fwww.webofscience.com%2Fwos%2Fwoscc%2Ffull-record%2FWOS:000905750500001","View Full Record in Web of Science")</f>
        <v>View Full Record in Web of Science</v>
      </c>
    </row>
    <row r="58" spans="1:72" x14ac:dyDescent="0.15">
      <c r="A58" t="s">
        <v>72</v>
      </c>
      <c r="B58" t="s">
        <v>1176</v>
      </c>
      <c r="C58" t="s">
        <v>74</v>
      </c>
      <c r="D58" t="s">
        <v>74</v>
      </c>
      <c r="E58" t="s">
        <v>74</v>
      </c>
      <c r="F58" t="s">
        <v>1177</v>
      </c>
      <c r="G58" t="s">
        <v>74</v>
      </c>
      <c r="H58" t="s">
        <v>74</v>
      </c>
      <c r="I58" t="s">
        <v>1178</v>
      </c>
      <c r="J58" t="s">
        <v>1179</v>
      </c>
      <c r="K58" t="s">
        <v>74</v>
      </c>
      <c r="L58" t="s">
        <v>74</v>
      </c>
      <c r="M58" t="s">
        <v>78</v>
      </c>
      <c r="N58" t="s">
        <v>79</v>
      </c>
      <c r="O58" t="s">
        <v>74</v>
      </c>
      <c r="P58" t="s">
        <v>74</v>
      </c>
      <c r="Q58" t="s">
        <v>74</v>
      </c>
      <c r="R58" t="s">
        <v>74</v>
      </c>
      <c r="S58" t="s">
        <v>74</v>
      </c>
      <c r="T58" t="s">
        <v>1180</v>
      </c>
      <c r="U58" t="s">
        <v>1181</v>
      </c>
      <c r="V58" t="s">
        <v>1182</v>
      </c>
      <c r="W58" t="s">
        <v>1183</v>
      </c>
      <c r="X58" t="s">
        <v>1184</v>
      </c>
      <c r="Y58" t="s">
        <v>1185</v>
      </c>
      <c r="Z58" t="s">
        <v>1186</v>
      </c>
      <c r="AA58" t="s">
        <v>74</v>
      </c>
      <c r="AB58" t="s">
        <v>1187</v>
      </c>
      <c r="AC58" t="s">
        <v>74</v>
      </c>
      <c r="AD58" t="s">
        <v>74</v>
      </c>
      <c r="AE58" t="s">
        <v>74</v>
      </c>
      <c r="AF58" t="s">
        <v>74</v>
      </c>
      <c r="AG58">
        <v>101</v>
      </c>
      <c r="AH58">
        <v>0</v>
      </c>
      <c r="AI58">
        <v>0</v>
      </c>
      <c r="AJ58">
        <v>4</v>
      </c>
      <c r="AK58">
        <v>4</v>
      </c>
      <c r="AL58" t="s">
        <v>1188</v>
      </c>
      <c r="AM58" t="s">
        <v>93</v>
      </c>
      <c r="AN58" t="s">
        <v>1189</v>
      </c>
      <c r="AO58" t="s">
        <v>1190</v>
      </c>
      <c r="AP58" t="s">
        <v>74</v>
      </c>
      <c r="AQ58" t="s">
        <v>74</v>
      </c>
      <c r="AR58" t="s">
        <v>1191</v>
      </c>
      <c r="AS58" t="s">
        <v>1192</v>
      </c>
      <c r="AT58" t="s">
        <v>99</v>
      </c>
      <c r="AU58">
        <v>2023</v>
      </c>
      <c r="AV58">
        <v>10</v>
      </c>
      <c r="AW58">
        <v>1</v>
      </c>
      <c r="AX58" t="s">
        <v>74</v>
      </c>
      <c r="AY58" t="s">
        <v>74</v>
      </c>
      <c r="AZ58" t="s">
        <v>74</v>
      </c>
      <c r="BA58" t="s">
        <v>74</v>
      </c>
      <c r="BB58">
        <v>529</v>
      </c>
      <c r="BC58">
        <v>548</v>
      </c>
      <c r="BD58" t="s">
        <v>74</v>
      </c>
      <c r="BE58" t="s">
        <v>1193</v>
      </c>
      <c r="BF58" t="str">
        <f>HYPERLINK("http://dx.doi.org/10.1080/21681376.2023.2205501","http://dx.doi.org/10.1080/21681376.2023.2205501")</f>
        <v>http://dx.doi.org/10.1080/21681376.2023.2205501</v>
      </c>
      <c r="BG58" t="s">
        <v>74</v>
      </c>
      <c r="BH58" t="s">
        <v>74</v>
      </c>
      <c r="BI58">
        <v>20</v>
      </c>
      <c r="BJ58" t="s">
        <v>1194</v>
      </c>
      <c r="BK58" t="s">
        <v>211</v>
      </c>
      <c r="BL58" t="s">
        <v>1194</v>
      </c>
      <c r="BM58" t="s">
        <v>1195</v>
      </c>
      <c r="BN58" t="s">
        <v>74</v>
      </c>
      <c r="BO58" t="s">
        <v>1196</v>
      </c>
      <c r="BP58" t="s">
        <v>74</v>
      </c>
      <c r="BQ58" t="s">
        <v>74</v>
      </c>
      <c r="BR58" t="s">
        <v>105</v>
      </c>
      <c r="BS58" t="s">
        <v>1197</v>
      </c>
      <c r="BT58" t="str">
        <f>HYPERLINK("https%3A%2F%2Fwww.webofscience.com%2Fwos%2Fwoscc%2Ffull-record%2FWOS:000986354300001","View Full Record in Web of Science")</f>
        <v>View Full Record in Web of Science</v>
      </c>
    </row>
    <row r="59" spans="1:72" x14ac:dyDescent="0.15">
      <c r="A59" t="s">
        <v>72</v>
      </c>
      <c r="B59" t="s">
        <v>1198</v>
      </c>
      <c r="C59" t="s">
        <v>74</v>
      </c>
      <c r="D59" t="s">
        <v>74</v>
      </c>
      <c r="E59" t="s">
        <v>74</v>
      </c>
      <c r="F59" t="s">
        <v>1199</v>
      </c>
      <c r="G59" t="s">
        <v>74</v>
      </c>
      <c r="H59" t="s">
        <v>74</v>
      </c>
      <c r="I59" t="s">
        <v>1200</v>
      </c>
      <c r="J59" t="s">
        <v>1201</v>
      </c>
      <c r="K59" t="s">
        <v>74</v>
      </c>
      <c r="L59" t="s">
        <v>74</v>
      </c>
      <c r="M59" t="s">
        <v>78</v>
      </c>
      <c r="N59" t="s">
        <v>79</v>
      </c>
      <c r="O59" t="s">
        <v>74</v>
      </c>
      <c r="P59" t="s">
        <v>74</v>
      </c>
      <c r="Q59" t="s">
        <v>74</v>
      </c>
      <c r="R59" t="s">
        <v>74</v>
      </c>
      <c r="S59" t="s">
        <v>74</v>
      </c>
      <c r="T59" t="s">
        <v>1202</v>
      </c>
      <c r="U59" t="s">
        <v>1203</v>
      </c>
      <c r="V59" t="s">
        <v>1204</v>
      </c>
      <c r="W59" t="s">
        <v>1205</v>
      </c>
      <c r="X59" t="s">
        <v>1206</v>
      </c>
      <c r="Y59" t="s">
        <v>1207</v>
      </c>
      <c r="Z59" t="s">
        <v>1208</v>
      </c>
      <c r="AA59" t="s">
        <v>1209</v>
      </c>
      <c r="AB59" t="s">
        <v>1210</v>
      </c>
      <c r="AC59" t="s">
        <v>1211</v>
      </c>
      <c r="AD59" t="s">
        <v>1212</v>
      </c>
      <c r="AE59" t="s">
        <v>1213</v>
      </c>
      <c r="AF59" t="s">
        <v>74</v>
      </c>
      <c r="AG59">
        <v>23</v>
      </c>
      <c r="AH59">
        <v>1</v>
      </c>
      <c r="AI59">
        <v>1</v>
      </c>
      <c r="AJ59">
        <v>63</v>
      </c>
      <c r="AK59">
        <v>101</v>
      </c>
      <c r="AL59" t="s">
        <v>92</v>
      </c>
      <c r="AM59" t="s">
        <v>93</v>
      </c>
      <c r="AN59" t="s">
        <v>94</v>
      </c>
      <c r="AO59" t="s">
        <v>1214</v>
      </c>
      <c r="AP59" t="s">
        <v>1215</v>
      </c>
      <c r="AQ59" t="s">
        <v>74</v>
      </c>
      <c r="AR59" t="s">
        <v>1201</v>
      </c>
      <c r="AS59" t="s">
        <v>1216</v>
      </c>
      <c r="AT59" t="s">
        <v>99</v>
      </c>
      <c r="AU59">
        <v>2023</v>
      </c>
      <c r="AV59">
        <v>9</v>
      </c>
      <c r="AW59">
        <v>1</v>
      </c>
      <c r="AX59" t="s">
        <v>74</v>
      </c>
      <c r="AY59" t="s">
        <v>74</v>
      </c>
      <c r="AZ59" t="s">
        <v>74</v>
      </c>
      <c r="BA59" t="s">
        <v>74</v>
      </c>
      <c r="BB59">
        <v>1</v>
      </c>
      <c r="BC59">
        <v>9</v>
      </c>
      <c r="BD59" t="s">
        <v>74</v>
      </c>
      <c r="BE59" t="s">
        <v>1217</v>
      </c>
      <c r="BF59" t="str">
        <f>HYPERLINK("http://dx.doi.org/10.1080/20550324.2023.2169985","http://dx.doi.org/10.1080/20550324.2023.2169985")</f>
        <v>http://dx.doi.org/10.1080/20550324.2023.2169985</v>
      </c>
      <c r="BG59" t="s">
        <v>74</v>
      </c>
      <c r="BH59" t="s">
        <v>74</v>
      </c>
      <c r="BI59">
        <v>9</v>
      </c>
      <c r="BJ59" t="s">
        <v>1218</v>
      </c>
      <c r="BK59" t="s">
        <v>102</v>
      </c>
      <c r="BL59" t="s">
        <v>1219</v>
      </c>
      <c r="BM59" t="s">
        <v>1220</v>
      </c>
      <c r="BN59" t="s">
        <v>74</v>
      </c>
      <c r="BO59" t="s">
        <v>126</v>
      </c>
      <c r="BP59" t="s">
        <v>74</v>
      </c>
      <c r="BQ59" t="s">
        <v>74</v>
      </c>
      <c r="BR59" t="s">
        <v>105</v>
      </c>
      <c r="BS59" t="s">
        <v>1221</v>
      </c>
      <c r="BT59" t="str">
        <f>HYPERLINK("https%3A%2F%2Fwww.webofscience.com%2Fwos%2Fwoscc%2Ffull-record%2FWOS:000924372300001","View Full Record in Web of Science")</f>
        <v>View Full Record in Web of Science</v>
      </c>
    </row>
    <row r="60" spans="1:72" x14ac:dyDescent="0.15">
      <c r="A60" t="s">
        <v>72</v>
      </c>
      <c r="B60" t="s">
        <v>1222</v>
      </c>
      <c r="C60" t="s">
        <v>74</v>
      </c>
      <c r="D60" t="s">
        <v>74</v>
      </c>
      <c r="E60" t="s">
        <v>74</v>
      </c>
      <c r="F60" t="s">
        <v>1223</v>
      </c>
      <c r="G60" t="s">
        <v>74</v>
      </c>
      <c r="H60" t="s">
        <v>74</v>
      </c>
      <c r="I60" t="s">
        <v>1224</v>
      </c>
      <c r="J60" t="s">
        <v>1078</v>
      </c>
      <c r="K60" t="s">
        <v>74</v>
      </c>
      <c r="L60" t="s">
        <v>74</v>
      </c>
      <c r="M60" t="s">
        <v>78</v>
      </c>
      <c r="N60" t="s">
        <v>79</v>
      </c>
      <c r="O60" t="s">
        <v>74</v>
      </c>
      <c r="P60" t="s">
        <v>74</v>
      </c>
      <c r="Q60" t="s">
        <v>74</v>
      </c>
      <c r="R60" t="s">
        <v>74</v>
      </c>
      <c r="S60" t="s">
        <v>74</v>
      </c>
      <c r="T60" t="s">
        <v>1225</v>
      </c>
      <c r="U60" t="s">
        <v>1226</v>
      </c>
      <c r="V60" t="s">
        <v>1227</v>
      </c>
      <c r="W60" t="s">
        <v>74</v>
      </c>
      <c r="X60" t="s">
        <v>74</v>
      </c>
      <c r="Y60" t="s">
        <v>74</v>
      </c>
      <c r="Z60" t="s">
        <v>1228</v>
      </c>
      <c r="AA60" t="s">
        <v>74</v>
      </c>
      <c r="AB60" t="s">
        <v>74</v>
      </c>
      <c r="AC60" t="s">
        <v>74</v>
      </c>
      <c r="AD60" t="s">
        <v>74</v>
      </c>
      <c r="AE60" t="s">
        <v>74</v>
      </c>
      <c r="AF60" t="s">
        <v>74</v>
      </c>
      <c r="AG60">
        <v>36</v>
      </c>
      <c r="AH60">
        <v>0</v>
      </c>
      <c r="AI60">
        <v>0</v>
      </c>
      <c r="AJ60">
        <v>8</v>
      </c>
      <c r="AK60">
        <v>8</v>
      </c>
      <c r="AL60" t="s">
        <v>287</v>
      </c>
      <c r="AM60" t="s">
        <v>288</v>
      </c>
      <c r="AN60" t="s">
        <v>289</v>
      </c>
      <c r="AO60" t="s">
        <v>1090</v>
      </c>
      <c r="AP60" t="s">
        <v>74</v>
      </c>
      <c r="AQ60" t="s">
        <v>74</v>
      </c>
      <c r="AR60" t="s">
        <v>1091</v>
      </c>
      <c r="AS60" t="s">
        <v>1092</v>
      </c>
      <c r="AT60" t="s">
        <v>99</v>
      </c>
      <c r="AU60">
        <v>2023</v>
      </c>
      <c r="AV60">
        <v>10</v>
      </c>
      <c r="AW60">
        <v>1</v>
      </c>
      <c r="AX60" t="s">
        <v>74</v>
      </c>
      <c r="AY60" t="s">
        <v>74</v>
      </c>
      <c r="AZ60" t="s">
        <v>74</v>
      </c>
      <c r="BA60" t="s">
        <v>74</v>
      </c>
      <c r="BB60" t="s">
        <v>74</v>
      </c>
      <c r="BC60" t="s">
        <v>74</v>
      </c>
      <c r="BD60">
        <v>2154004</v>
      </c>
      <c r="BE60" t="s">
        <v>1229</v>
      </c>
      <c r="BF60" t="str">
        <f>HYPERLINK("http://dx.doi.org/10.1080/23311916.2022.2154004","http://dx.doi.org/10.1080/23311916.2022.2154004")</f>
        <v>http://dx.doi.org/10.1080/23311916.2022.2154004</v>
      </c>
      <c r="BG60" t="s">
        <v>74</v>
      </c>
      <c r="BH60" t="s">
        <v>74</v>
      </c>
      <c r="BI60">
        <v>22</v>
      </c>
      <c r="BJ60" t="s">
        <v>1094</v>
      </c>
      <c r="BK60" t="s">
        <v>211</v>
      </c>
      <c r="BL60" t="s">
        <v>1095</v>
      </c>
      <c r="BM60" t="s">
        <v>1230</v>
      </c>
      <c r="BN60" t="s">
        <v>74</v>
      </c>
      <c r="BO60" t="s">
        <v>126</v>
      </c>
      <c r="BP60" t="s">
        <v>74</v>
      </c>
      <c r="BQ60" t="s">
        <v>74</v>
      </c>
      <c r="BR60" t="s">
        <v>105</v>
      </c>
      <c r="BS60" t="s">
        <v>1231</v>
      </c>
      <c r="BT60" t="str">
        <f>HYPERLINK("https%3A%2F%2Fwww.webofscience.com%2Fwos%2Fwoscc%2Ffull-record%2FWOS:000924604500001","View Full Record in Web of Science")</f>
        <v>View Full Record in Web of Science</v>
      </c>
    </row>
    <row r="61" spans="1:72" x14ac:dyDescent="0.15">
      <c r="A61" t="s">
        <v>72</v>
      </c>
      <c r="B61" t="s">
        <v>1232</v>
      </c>
      <c r="C61" t="s">
        <v>74</v>
      </c>
      <c r="D61" t="s">
        <v>74</v>
      </c>
      <c r="E61" t="s">
        <v>74</v>
      </c>
      <c r="F61" t="s">
        <v>1233</v>
      </c>
      <c r="G61" t="s">
        <v>74</v>
      </c>
      <c r="H61" t="s">
        <v>74</v>
      </c>
      <c r="I61" t="s">
        <v>1234</v>
      </c>
      <c r="J61" t="s">
        <v>497</v>
      </c>
      <c r="K61" t="s">
        <v>74</v>
      </c>
      <c r="L61" t="s">
        <v>74</v>
      </c>
      <c r="M61" t="s">
        <v>78</v>
      </c>
      <c r="N61" t="s">
        <v>79</v>
      </c>
      <c r="O61" t="s">
        <v>74</v>
      </c>
      <c r="P61" t="s">
        <v>74</v>
      </c>
      <c r="Q61" t="s">
        <v>74</v>
      </c>
      <c r="R61" t="s">
        <v>74</v>
      </c>
      <c r="S61" t="s">
        <v>74</v>
      </c>
      <c r="T61" t="s">
        <v>1235</v>
      </c>
      <c r="U61" t="s">
        <v>1236</v>
      </c>
      <c r="V61" t="s">
        <v>1237</v>
      </c>
      <c r="W61" t="s">
        <v>1238</v>
      </c>
      <c r="X61" t="s">
        <v>1239</v>
      </c>
      <c r="Y61" t="s">
        <v>1240</v>
      </c>
      <c r="Z61" t="s">
        <v>1241</v>
      </c>
      <c r="AA61" t="s">
        <v>74</v>
      </c>
      <c r="AB61" t="s">
        <v>1242</v>
      </c>
      <c r="AC61" t="s">
        <v>74</v>
      </c>
      <c r="AD61" t="s">
        <v>74</v>
      </c>
      <c r="AE61" t="s">
        <v>74</v>
      </c>
      <c r="AF61" t="s">
        <v>74</v>
      </c>
      <c r="AG61">
        <v>70</v>
      </c>
      <c r="AH61">
        <v>0</v>
      </c>
      <c r="AI61">
        <v>0</v>
      </c>
      <c r="AJ61">
        <v>16</v>
      </c>
      <c r="AK61">
        <v>19</v>
      </c>
      <c r="AL61" t="s">
        <v>92</v>
      </c>
      <c r="AM61" t="s">
        <v>93</v>
      </c>
      <c r="AN61" t="s">
        <v>94</v>
      </c>
      <c r="AO61" t="s">
        <v>510</v>
      </c>
      <c r="AP61" t="s">
        <v>511</v>
      </c>
      <c r="AQ61" t="s">
        <v>74</v>
      </c>
      <c r="AR61" t="s">
        <v>512</v>
      </c>
      <c r="AS61" t="s">
        <v>513</v>
      </c>
      <c r="AT61" t="s">
        <v>99</v>
      </c>
      <c r="AU61">
        <v>2023</v>
      </c>
      <c r="AV61">
        <v>18</v>
      </c>
      <c r="AW61">
        <v>1</v>
      </c>
      <c r="AX61" t="s">
        <v>74</v>
      </c>
      <c r="AY61" t="s">
        <v>74</v>
      </c>
      <c r="AZ61" t="s">
        <v>74</v>
      </c>
      <c r="BA61" t="s">
        <v>74</v>
      </c>
      <c r="BB61" t="s">
        <v>74</v>
      </c>
      <c r="BC61" t="s">
        <v>74</v>
      </c>
      <c r="BD61" t="s">
        <v>1243</v>
      </c>
      <c r="BE61" t="s">
        <v>1244</v>
      </c>
      <c r="BF61" t="str">
        <f>HYPERLINK("http://dx.doi.org/10.1080/17452759.2023.2174146","http://dx.doi.org/10.1080/17452759.2023.2174146")</f>
        <v>http://dx.doi.org/10.1080/17452759.2023.2174146</v>
      </c>
      <c r="BG61" t="s">
        <v>74</v>
      </c>
      <c r="BH61" t="s">
        <v>74</v>
      </c>
      <c r="BI61">
        <v>22</v>
      </c>
      <c r="BJ61" t="s">
        <v>516</v>
      </c>
      <c r="BK61" t="s">
        <v>102</v>
      </c>
      <c r="BL61" t="s">
        <v>517</v>
      </c>
      <c r="BM61" t="s">
        <v>1245</v>
      </c>
      <c r="BN61" t="s">
        <v>74</v>
      </c>
      <c r="BO61" t="s">
        <v>165</v>
      </c>
      <c r="BP61" t="s">
        <v>74</v>
      </c>
      <c r="BQ61" t="s">
        <v>74</v>
      </c>
      <c r="BR61" t="s">
        <v>105</v>
      </c>
      <c r="BS61" t="s">
        <v>1246</v>
      </c>
      <c r="BT61" t="str">
        <f>HYPERLINK("https%3A%2F%2Fwww.webofscience.com%2Fwos%2Fwoscc%2Ffull-record%2FWOS:000940140000001","View Full Record in Web of Science")</f>
        <v>View Full Record in Web of Science</v>
      </c>
    </row>
    <row r="62" spans="1:72" x14ac:dyDescent="0.15">
      <c r="A62" t="s">
        <v>72</v>
      </c>
      <c r="B62" t="s">
        <v>1247</v>
      </c>
      <c r="C62" t="s">
        <v>74</v>
      </c>
      <c r="D62" t="s">
        <v>74</v>
      </c>
      <c r="E62" t="s">
        <v>74</v>
      </c>
      <c r="F62" t="s">
        <v>1248</v>
      </c>
      <c r="G62" t="s">
        <v>74</v>
      </c>
      <c r="H62" t="s">
        <v>74</v>
      </c>
      <c r="I62" t="s">
        <v>1249</v>
      </c>
      <c r="J62" t="s">
        <v>1250</v>
      </c>
      <c r="K62" t="s">
        <v>74</v>
      </c>
      <c r="L62" t="s">
        <v>74</v>
      </c>
      <c r="M62" t="s">
        <v>78</v>
      </c>
      <c r="N62" t="s">
        <v>79</v>
      </c>
      <c r="O62" t="s">
        <v>74</v>
      </c>
      <c r="P62" t="s">
        <v>74</v>
      </c>
      <c r="Q62" t="s">
        <v>74</v>
      </c>
      <c r="R62" t="s">
        <v>74</v>
      </c>
      <c r="S62" t="s">
        <v>74</v>
      </c>
      <c r="T62" t="s">
        <v>1251</v>
      </c>
      <c r="U62" t="s">
        <v>1252</v>
      </c>
      <c r="V62" t="s">
        <v>1253</v>
      </c>
      <c r="W62" t="s">
        <v>1254</v>
      </c>
      <c r="X62" t="s">
        <v>1255</v>
      </c>
      <c r="Y62" t="s">
        <v>1256</v>
      </c>
      <c r="Z62" t="s">
        <v>1257</v>
      </c>
      <c r="AA62" t="s">
        <v>74</v>
      </c>
      <c r="AB62" t="s">
        <v>1258</v>
      </c>
      <c r="AC62" t="s">
        <v>1259</v>
      </c>
      <c r="AD62" t="s">
        <v>1260</v>
      </c>
      <c r="AE62" t="s">
        <v>1261</v>
      </c>
      <c r="AF62" t="s">
        <v>74</v>
      </c>
      <c r="AG62">
        <v>32</v>
      </c>
      <c r="AH62">
        <v>2</v>
      </c>
      <c r="AI62">
        <v>2</v>
      </c>
      <c r="AJ62">
        <v>21</v>
      </c>
      <c r="AK62">
        <v>54</v>
      </c>
      <c r="AL62" t="s">
        <v>92</v>
      </c>
      <c r="AM62" t="s">
        <v>93</v>
      </c>
      <c r="AN62" t="s">
        <v>94</v>
      </c>
      <c r="AO62" t="s">
        <v>1262</v>
      </c>
      <c r="AP62" t="s">
        <v>1263</v>
      </c>
      <c r="AQ62" t="s">
        <v>74</v>
      </c>
      <c r="AR62" t="s">
        <v>1264</v>
      </c>
      <c r="AS62" t="s">
        <v>1265</v>
      </c>
      <c r="AT62" t="s">
        <v>99</v>
      </c>
      <c r="AU62">
        <v>2023</v>
      </c>
      <c r="AV62">
        <v>26</v>
      </c>
      <c r="AW62">
        <v>1</v>
      </c>
      <c r="AX62" t="s">
        <v>74</v>
      </c>
      <c r="AY62" t="s">
        <v>74</v>
      </c>
      <c r="AZ62" t="s">
        <v>74</v>
      </c>
      <c r="BA62" t="s">
        <v>74</v>
      </c>
      <c r="BB62">
        <v>23</v>
      </c>
      <c r="BC62">
        <v>30</v>
      </c>
      <c r="BD62" t="s">
        <v>74</v>
      </c>
      <c r="BE62" t="s">
        <v>1266</v>
      </c>
      <c r="BF62" t="str">
        <f>HYPERLINK("http://dx.doi.org/10.1080/15685551.2022.2162282","http://dx.doi.org/10.1080/15685551.2022.2162282")</f>
        <v>http://dx.doi.org/10.1080/15685551.2022.2162282</v>
      </c>
      <c r="BG62" t="s">
        <v>74</v>
      </c>
      <c r="BH62" t="s">
        <v>74</v>
      </c>
      <c r="BI62">
        <v>8</v>
      </c>
      <c r="BJ62" t="s">
        <v>1267</v>
      </c>
      <c r="BK62" t="s">
        <v>102</v>
      </c>
      <c r="BL62" t="s">
        <v>1267</v>
      </c>
      <c r="BM62" t="s">
        <v>1268</v>
      </c>
      <c r="BN62">
        <v>36605894</v>
      </c>
      <c r="BO62" t="s">
        <v>104</v>
      </c>
      <c r="BP62" t="s">
        <v>74</v>
      </c>
      <c r="BQ62" t="s">
        <v>74</v>
      </c>
      <c r="BR62" t="s">
        <v>105</v>
      </c>
      <c r="BS62" t="s">
        <v>1269</v>
      </c>
      <c r="BT62" t="str">
        <f>HYPERLINK("https%3A%2F%2Fwww.webofscience.com%2Fwos%2Fwoscc%2Ffull-record%2FWOS:000904706700001","View Full Record in Web of Science")</f>
        <v>View Full Record in Web of Science</v>
      </c>
    </row>
    <row r="63" spans="1:72" x14ac:dyDescent="0.15">
      <c r="A63" t="s">
        <v>72</v>
      </c>
      <c r="B63" t="s">
        <v>1270</v>
      </c>
      <c r="C63" t="s">
        <v>74</v>
      </c>
      <c r="D63" t="s">
        <v>74</v>
      </c>
      <c r="E63" t="s">
        <v>74</v>
      </c>
      <c r="F63" t="s">
        <v>1271</v>
      </c>
      <c r="G63" t="s">
        <v>74</v>
      </c>
      <c r="H63" t="s">
        <v>74</v>
      </c>
      <c r="I63" t="s">
        <v>1272</v>
      </c>
      <c r="J63" t="s">
        <v>1273</v>
      </c>
      <c r="K63" t="s">
        <v>74</v>
      </c>
      <c r="L63" t="s">
        <v>74</v>
      </c>
      <c r="M63" t="s">
        <v>78</v>
      </c>
      <c r="N63" t="s">
        <v>171</v>
      </c>
      <c r="O63" t="s">
        <v>74</v>
      </c>
      <c r="P63" t="s">
        <v>74</v>
      </c>
      <c r="Q63" t="s">
        <v>74</v>
      </c>
      <c r="R63" t="s">
        <v>74</v>
      </c>
      <c r="S63" t="s">
        <v>74</v>
      </c>
      <c r="T63" t="s">
        <v>1274</v>
      </c>
      <c r="U63" t="s">
        <v>1275</v>
      </c>
      <c r="V63" t="s">
        <v>1276</v>
      </c>
      <c r="W63" t="s">
        <v>1277</v>
      </c>
      <c r="X63" t="s">
        <v>1278</v>
      </c>
      <c r="Y63" t="s">
        <v>1279</v>
      </c>
      <c r="Z63" t="s">
        <v>1280</v>
      </c>
      <c r="AA63" t="s">
        <v>74</v>
      </c>
      <c r="AB63" t="s">
        <v>74</v>
      </c>
      <c r="AC63" t="s">
        <v>1281</v>
      </c>
      <c r="AD63" t="s">
        <v>1282</v>
      </c>
      <c r="AE63" t="s">
        <v>1283</v>
      </c>
      <c r="AF63" t="s">
        <v>74</v>
      </c>
      <c r="AG63">
        <v>227</v>
      </c>
      <c r="AH63">
        <v>0</v>
      </c>
      <c r="AI63">
        <v>0</v>
      </c>
      <c r="AJ63">
        <v>35</v>
      </c>
      <c r="AK63">
        <v>35</v>
      </c>
      <c r="AL63" t="s">
        <v>184</v>
      </c>
      <c r="AM63" t="s">
        <v>185</v>
      </c>
      <c r="AN63" t="s">
        <v>186</v>
      </c>
      <c r="AO63" t="s">
        <v>1284</v>
      </c>
      <c r="AP63" t="s">
        <v>1285</v>
      </c>
      <c r="AQ63" t="s">
        <v>74</v>
      </c>
      <c r="AR63" t="s">
        <v>1273</v>
      </c>
      <c r="AS63" t="s">
        <v>1286</v>
      </c>
      <c r="AT63" t="s">
        <v>99</v>
      </c>
      <c r="AU63">
        <v>2023</v>
      </c>
      <c r="AV63">
        <v>14</v>
      </c>
      <c r="AW63">
        <v>1</v>
      </c>
      <c r="AX63" t="s">
        <v>74</v>
      </c>
      <c r="AY63" t="s">
        <v>74</v>
      </c>
      <c r="AZ63" t="s">
        <v>74</v>
      </c>
      <c r="BA63" t="s">
        <v>74</v>
      </c>
      <c r="BB63">
        <v>81</v>
      </c>
      <c r="BC63">
        <v>112</v>
      </c>
      <c r="BD63" t="s">
        <v>74</v>
      </c>
      <c r="BE63" t="s">
        <v>1287</v>
      </c>
      <c r="BF63" t="str">
        <f>HYPERLINK("http://dx.doi.org/10.1080/21655979.2022.2095702","http://dx.doi.org/10.1080/21655979.2022.2095702")</f>
        <v>http://dx.doi.org/10.1080/21655979.2022.2095702</v>
      </c>
      <c r="BG63" t="s">
        <v>74</v>
      </c>
      <c r="BH63" t="s">
        <v>74</v>
      </c>
      <c r="BI63">
        <v>32</v>
      </c>
      <c r="BJ63" t="s">
        <v>1288</v>
      </c>
      <c r="BK63" t="s">
        <v>102</v>
      </c>
      <c r="BL63" t="s">
        <v>1288</v>
      </c>
      <c r="BM63" t="s">
        <v>1289</v>
      </c>
      <c r="BN63">
        <v>37401849</v>
      </c>
      <c r="BO63" t="s">
        <v>165</v>
      </c>
      <c r="BP63" t="s">
        <v>74</v>
      </c>
      <c r="BQ63" t="s">
        <v>74</v>
      </c>
      <c r="BR63" t="s">
        <v>105</v>
      </c>
      <c r="BS63" t="s">
        <v>1290</v>
      </c>
      <c r="BT63" t="str">
        <f>HYPERLINK("https%3A%2F%2Fwww.webofscience.com%2Fwos%2Fwoscc%2Ffull-record%2FWOS:001022992000001","View Full Record in Web of Science")</f>
        <v>View Full Record in Web of Science</v>
      </c>
    </row>
    <row r="64" spans="1:72" x14ac:dyDescent="0.15">
      <c r="A64" t="s">
        <v>72</v>
      </c>
      <c r="B64" t="s">
        <v>1291</v>
      </c>
      <c r="C64" t="s">
        <v>74</v>
      </c>
      <c r="D64" t="s">
        <v>74</v>
      </c>
      <c r="E64" t="s">
        <v>74</v>
      </c>
      <c r="F64" t="s">
        <v>1292</v>
      </c>
      <c r="G64" t="s">
        <v>74</v>
      </c>
      <c r="H64" t="s">
        <v>74</v>
      </c>
      <c r="I64" t="s">
        <v>1293</v>
      </c>
      <c r="J64" t="s">
        <v>1294</v>
      </c>
      <c r="K64" t="s">
        <v>74</v>
      </c>
      <c r="L64" t="s">
        <v>74</v>
      </c>
      <c r="M64" t="s">
        <v>78</v>
      </c>
      <c r="N64" t="s">
        <v>79</v>
      </c>
      <c r="O64" t="s">
        <v>74</v>
      </c>
      <c r="P64" t="s">
        <v>74</v>
      </c>
      <c r="Q64" t="s">
        <v>74</v>
      </c>
      <c r="R64" t="s">
        <v>74</v>
      </c>
      <c r="S64" t="s">
        <v>74</v>
      </c>
      <c r="T64" t="s">
        <v>1295</v>
      </c>
      <c r="U64" t="s">
        <v>1296</v>
      </c>
      <c r="V64" t="s">
        <v>1297</v>
      </c>
      <c r="W64" t="s">
        <v>1298</v>
      </c>
      <c r="X64" t="s">
        <v>1299</v>
      </c>
      <c r="Y64" t="s">
        <v>1300</v>
      </c>
      <c r="Z64" t="s">
        <v>1301</v>
      </c>
      <c r="AA64" t="s">
        <v>1302</v>
      </c>
      <c r="AB64" t="s">
        <v>1303</v>
      </c>
      <c r="AC64" t="s">
        <v>74</v>
      </c>
      <c r="AD64" t="s">
        <v>74</v>
      </c>
      <c r="AE64" t="s">
        <v>74</v>
      </c>
      <c r="AF64" t="s">
        <v>74</v>
      </c>
      <c r="AG64">
        <v>63</v>
      </c>
      <c r="AH64">
        <v>1</v>
      </c>
      <c r="AI64">
        <v>1</v>
      </c>
      <c r="AJ64">
        <v>14</v>
      </c>
      <c r="AK64">
        <v>24</v>
      </c>
      <c r="AL64" t="s">
        <v>92</v>
      </c>
      <c r="AM64" t="s">
        <v>93</v>
      </c>
      <c r="AN64" t="s">
        <v>94</v>
      </c>
      <c r="AO64" t="s">
        <v>1304</v>
      </c>
      <c r="AP64" t="s">
        <v>1305</v>
      </c>
      <c r="AQ64" t="s">
        <v>74</v>
      </c>
      <c r="AR64" t="s">
        <v>1306</v>
      </c>
      <c r="AS64" t="s">
        <v>1307</v>
      </c>
      <c r="AT64" t="s">
        <v>99</v>
      </c>
      <c r="AU64">
        <v>2023</v>
      </c>
      <c r="AV64">
        <v>61</v>
      </c>
      <c r="AW64">
        <v>1</v>
      </c>
      <c r="AX64" t="s">
        <v>74</v>
      </c>
      <c r="AY64" t="s">
        <v>74</v>
      </c>
      <c r="AZ64" t="s">
        <v>74</v>
      </c>
      <c r="BA64" t="s">
        <v>74</v>
      </c>
      <c r="BB64">
        <v>213</v>
      </c>
      <c r="BC64">
        <v>227</v>
      </c>
      <c r="BD64" t="s">
        <v>74</v>
      </c>
      <c r="BE64" t="s">
        <v>1308</v>
      </c>
      <c r="BF64" t="str">
        <f>HYPERLINK("http://dx.doi.org/10.1080/13880209.2023.2165114","http://dx.doi.org/10.1080/13880209.2023.2165114")</f>
        <v>http://dx.doi.org/10.1080/13880209.2023.2165114</v>
      </c>
      <c r="BG64" t="s">
        <v>74</v>
      </c>
      <c r="BH64" t="s">
        <v>74</v>
      </c>
      <c r="BI64">
        <v>15</v>
      </c>
      <c r="BJ64" t="s">
        <v>1309</v>
      </c>
      <c r="BK64" t="s">
        <v>102</v>
      </c>
      <c r="BL64" t="s">
        <v>1309</v>
      </c>
      <c r="BM64" t="s">
        <v>1310</v>
      </c>
      <c r="BN64">
        <v>36688426</v>
      </c>
      <c r="BO64" t="s">
        <v>104</v>
      </c>
      <c r="BP64" t="s">
        <v>74</v>
      </c>
      <c r="BQ64" t="s">
        <v>74</v>
      </c>
      <c r="BR64" t="s">
        <v>105</v>
      </c>
      <c r="BS64" t="s">
        <v>1311</v>
      </c>
      <c r="BT64" t="str">
        <f>HYPERLINK("https%3A%2F%2Fwww.webofscience.com%2Fwos%2Fwoscc%2Ffull-record%2FWOS:000917372700001","View Full Record in Web of Science")</f>
        <v>View Full Record in Web of Science</v>
      </c>
    </row>
    <row r="65" spans="1:72" x14ac:dyDescent="0.15">
      <c r="A65" t="s">
        <v>72</v>
      </c>
      <c r="B65" t="s">
        <v>1312</v>
      </c>
      <c r="C65" t="s">
        <v>74</v>
      </c>
      <c r="D65" t="s">
        <v>74</v>
      </c>
      <c r="E65" t="s">
        <v>74</v>
      </c>
      <c r="F65" t="s">
        <v>1313</v>
      </c>
      <c r="G65" t="s">
        <v>74</v>
      </c>
      <c r="H65" t="s">
        <v>74</v>
      </c>
      <c r="I65" t="s">
        <v>1314</v>
      </c>
      <c r="J65" t="s">
        <v>1315</v>
      </c>
      <c r="K65" t="s">
        <v>74</v>
      </c>
      <c r="L65" t="s">
        <v>74</v>
      </c>
      <c r="M65" t="s">
        <v>78</v>
      </c>
      <c r="N65" t="s">
        <v>79</v>
      </c>
      <c r="O65" t="s">
        <v>74</v>
      </c>
      <c r="P65" t="s">
        <v>74</v>
      </c>
      <c r="Q65" t="s">
        <v>74</v>
      </c>
      <c r="R65" t="s">
        <v>74</v>
      </c>
      <c r="S65" t="s">
        <v>74</v>
      </c>
      <c r="T65" t="s">
        <v>1316</v>
      </c>
      <c r="U65" t="s">
        <v>1317</v>
      </c>
      <c r="V65" t="s">
        <v>1318</v>
      </c>
      <c r="W65" t="s">
        <v>1319</v>
      </c>
      <c r="X65" t="s">
        <v>1320</v>
      </c>
      <c r="Y65" t="s">
        <v>1321</v>
      </c>
      <c r="Z65" t="s">
        <v>1322</v>
      </c>
      <c r="AA65" t="s">
        <v>74</v>
      </c>
      <c r="AB65" t="s">
        <v>1323</v>
      </c>
      <c r="AC65" t="s">
        <v>1324</v>
      </c>
      <c r="AD65" t="s">
        <v>1324</v>
      </c>
      <c r="AE65" t="s">
        <v>1325</v>
      </c>
      <c r="AF65" t="s">
        <v>74</v>
      </c>
      <c r="AG65">
        <v>40</v>
      </c>
      <c r="AH65">
        <v>0</v>
      </c>
      <c r="AI65">
        <v>0</v>
      </c>
      <c r="AJ65">
        <v>2</v>
      </c>
      <c r="AK65">
        <v>2</v>
      </c>
      <c r="AL65" t="s">
        <v>92</v>
      </c>
      <c r="AM65" t="s">
        <v>93</v>
      </c>
      <c r="AN65" t="s">
        <v>94</v>
      </c>
      <c r="AO65" t="s">
        <v>1326</v>
      </c>
      <c r="AP65" t="s">
        <v>1327</v>
      </c>
      <c r="AQ65" t="s">
        <v>74</v>
      </c>
      <c r="AR65" t="s">
        <v>1328</v>
      </c>
      <c r="AS65" t="s">
        <v>1329</v>
      </c>
      <c r="AT65" t="s">
        <v>99</v>
      </c>
      <c r="AU65">
        <v>2023</v>
      </c>
      <c r="AV65">
        <v>34</v>
      </c>
      <c r="AW65">
        <v>1</v>
      </c>
      <c r="AX65" t="s">
        <v>74</v>
      </c>
      <c r="AY65" t="s">
        <v>74</v>
      </c>
      <c r="AZ65" t="s">
        <v>74</v>
      </c>
      <c r="BA65" t="s">
        <v>74</v>
      </c>
      <c r="BB65" t="s">
        <v>74</v>
      </c>
      <c r="BC65" t="s">
        <v>74</v>
      </c>
      <c r="BD65">
        <v>2220446</v>
      </c>
      <c r="BE65" t="s">
        <v>1330</v>
      </c>
      <c r="BF65" t="str">
        <f>HYPERLINK("http://dx.doi.org/10.1080/09546634.2023.2220446","http://dx.doi.org/10.1080/09546634.2023.2220446")</f>
        <v>http://dx.doi.org/10.1080/09546634.2023.2220446</v>
      </c>
      <c r="BG65" t="s">
        <v>74</v>
      </c>
      <c r="BH65" t="s">
        <v>74</v>
      </c>
      <c r="BI65">
        <v>10</v>
      </c>
      <c r="BJ65" t="s">
        <v>1331</v>
      </c>
      <c r="BK65" t="s">
        <v>102</v>
      </c>
      <c r="BL65" t="s">
        <v>1331</v>
      </c>
      <c r="BM65" t="s">
        <v>1332</v>
      </c>
      <c r="BN65">
        <v>37341243</v>
      </c>
      <c r="BO65" t="s">
        <v>126</v>
      </c>
      <c r="BP65" t="s">
        <v>74</v>
      </c>
      <c r="BQ65" t="s">
        <v>74</v>
      </c>
      <c r="BR65" t="s">
        <v>105</v>
      </c>
      <c r="BS65" t="s">
        <v>1333</v>
      </c>
      <c r="BT65" t="str">
        <f>HYPERLINK("https%3A%2F%2Fwww.webofscience.com%2Fwos%2Fwoscc%2Ffull-record%2FWOS:001012325700001","View Full Record in Web of Science")</f>
        <v>View Full Record in Web of Science</v>
      </c>
    </row>
    <row r="66" spans="1:72" x14ac:dyDescent="0.15">
      <c r="A66" t="s">
        <v>72</v>
      </c>
      <c r="B66" t="s">
        <v>1334</v>
      </c>
      <c r="C66" t="s">
        <v>74</v>
      </c>
      <c r="D66" t="s">
        <v>74</v>
      </c>
      <c r="E66" t="s">
        <v>74</v>
      </c>
      <c r="F66" t="s">
        <v>1335</v>
      </c>
      <c r="G66" t="s">
        <v>74</v>
      </c>
      <c r="H66" t="s">
        <v>74</v>
      </c>
      <c r="I66" t="s">
        <v>1336</v>
      </c>
      <c r="J66" t="s">
        <v>1337</v>
      </c>
      <c r="K66" t="s">
        <v>74</v>
      </c>
      <c r="L66" t="s">
        <v>74</v>
      </c>
      <c r="M66" t="s">
        <v>78</v>
      </c>
      <c r="N66" t="s">
        <v>79</v>
      </c>
      <c r="O66" t="s">
        <v>74</v>
      </c>
      <c r="P66" t="s">
        <v>74</v>
      </c>
      <c r="Q66" t="s">
        <v>74</v>
      </c>
      <c r="R66" t="s">
        <v>74</v>
      </c>
      <c r="S66" t="s">
        <v>74</v>
      </c>
      <c r="T66" t="s">
        <v>1338</v>
      </c>
      <c r="U66" t="s">
        <v>1339</v>
      </c>
      <c r="V66" t="s">
        <v>1340</v>
      </c>
      <c r="W66" t="s">
        <v>1341</v>
      </c>
      <c r="X66" t="s">
        <v>1342</v>
      </c>
      <c r="Y66" t="s">
        <v>1343</v>
      </c>
      <c r="Z66" t="s">
        <v>1344</v>
      </c>
      <c r="AA66" t="s">
        <v>74</v>
      </c>
      <c r="AB66" t="s">
        <v>74</v>
      </c>
      <c r="AC66" t="s">
        <v>1345</v>
      </c>
      <c r="AD66" t="s">
        <v>1346</v>
      </c>
      <c r="AE66" t="s">
        <v>1347</v>
      </c>
      <c r="AF66" t="s">
        <v>74</v>
      </c>
      <c r="AG66">
        <v>39</v>
      </c>
      <c r="AH66">
        <v>0</v>
      </c>
      <c r="AI66">
        <v>0</v>
      </c>
      <c r="AJ66">
        <v>1</v>
      </c>
      <c r="AK66">
        <v>1</v>
      </c>
      <c r="AL66" t="s">
        <v>184</v>
      </c>
      <c r="AM66" t="s">
        <v>185</v>
      </c>
      <c r="AN66" t="s">
        <v>186</v>
      </c>
      <c r="AO66" t="s">
        <v>1348</v>
      </c>
      <c r="AP66" t="s">
        <v>1349</v>
      </c>
      <c r="AQ66" t="s">
        <v>74</v>
      </c>
      <c r="AR66" t="s">
        <v>1350</v>
      </c>
      <c r="AS66" t="s">
        <v>1351</v>
      </c>
      <c r="AT66" t="s">
        <v>99</v>
      </c>
      <c r="AU66">
        <v>2023</v>
      </c>
      <c r="AV66">
        <v>24</v>
      </c>
      <c r="AW66">
        <v>1</v>
      </c>
      <c r="AX66" t="s">
        <v>74</v>
      </c>
      <c r="AY66" t="s">
        <v>74</v>
      </c>
      <c r="AZ66" t="s">
        <v>74</v>
      </c>
      <c r="BA66" t="s">
        <v>74</v>
      </c>
      <c r="BB66" t="s">
        <v>74</v>
      </c>
      <c r="BC66" t="s">
        <v>74</v>
      </c>
      <c r="BD66">
        <v>2234140</v>
      </c>
      <c r="BE66" t="s">
        <v>1352</v>
      </c>
      <c r="BF66" t="str">
        <f>HYPERLINK("http://dx.doi.org/10.1080/15384047.2023.2234140","http://dx.doi.org/10.1080/15384047.2023.2234140")</f>
        <v>http://dx.doi.org/10.1080/15384047.2023.2234140</v>
      </c>
      <c r="BG66" t="s">
        <v>74</v>
      </c>
      <c r="BH66" t="s">
        <v>74</v>
      </c>
      <c r="BI66">
        <v>10</v>
      </c>
      <c r="BJ66" t="s">
        <v>1353</v>
      </c>
      <c r="BK66" t="s">
        <v>102</v>
      </c>
      <c r="BL66" t="s">
        <v>1353</v>
      </c>
      <c r="BM66" t="s">
        <v>1354</v>
      </c>
      <c r="BN66">
        <v>37455418</v>
      </c>
      <c r="BO66" t="s">
        <v>104</v>
      </c>
      <c r="BP66" t="s">
        <v>74</v>
      </c>
      <c r="BQ66" t="s">
        <v>74</v>
      </c>
      <c r="BR66" t="s">
        <v>105</v>
      </c>
      <c r="BS66" t="s">
        <v>1355</v>
      </c>
      <c r="BT66" t="str">
        <f>HYPERLINK("https%3A%2F%2Fwww.webofscience.com%2Fwos%2Fwoscc%2Ffull-record%2FWOS:001027192400001","View Full Record in Web of Science")</f>
        <v>View Full Record in Web of Science</v>
      </c>
    </row>
    <row r="67" spans="1:72" x14ac:dyDescent="0.15">
      <c r="A67" t="s">
        <v>72</v>
      </c>
      <c r="B67" t="s">
        <v>1356</v>
      </c>
      <c r="C67" t="s">
        <v>74</v>
      </c>
      <c r="D67" t="s">
        <v>74</v>
      </c>
      <c r="E67" t="s">
        <v>74</v>
      </c>
      <c r="F67" t="s">
        <v>1357</v>
      </c>
      <c r="G67" t="s">
        <v>74</v>
      </c>
      <c r="H67" t="s">
        <v>74</v>
      </c>
      <c r="I67" t="s">
        <v>1358</v>
      </c>
      <c r="J67" t="s">
        <v>1359</v>
      </c>
      <c r="K67" t="s">
        <v>74</v>
      </c>
      <c r="L67" t="s">
        <v>74</v>
      </c>
      <c r="M67" t="s">
        <v>78</v>
      </c>
      <c r="N67" t="s">
        <v>79</v>
      </c>
      <c r="O67" t="s">
        <v>74</v>
      </c>
      <c r="P67" t="s">
        <v>74</v>
      </c>
      <c r="Q67" t="s">
        <v>74</v>
      </c>
      <c r="R67" t="s">
        <v>74</v>
      </c>
      <c r="S67" t="s">
        <v>74</v>
      </c>
      <c r="T67" t="s">
        <v>1360</v>
      </c>
      <c r="U67" t="s">
        <v>1361</v>
      </c>
      <c r="V67" t="s">
        <v>1362</v>
      </c>
      <c r="W67" t="s">
        <v>1363</v>
      </c>
      <c r="X67" t="s">
        <v>1364</v>
      </c>
      <c r="Y67" t="s">
        <v>1365</v>
      </c>
      <c r="Z67" t="s">
        <v>1366</v>
      </c>
      <c r="AA67" t="s">
        <v>74</v>
      </c>
      <c r="AB67" t="s">
        <v>74</v>
      </c>
      <c r="AC67" t="s">
        <v>1367</v>
      </c>
      <c r="AD67" t="s">
        <v>1368</v>
      </c>
      <c r="AE67" t="s">
        <v>1369</v>
      </c>
      <c r="AF67" t="s">
        <v>74</v>
      </c>
      <c r="AG67">
        <v>30</v>
      </c>
      <c r="AH67">
        <v>0</v>
      </c>
      <c r="AI67">
        <v>0</v>
      </c>
      <c r="AJ67">
        <v>5</v>
      </c>
      <c r="AK67">
        <v>5</v>
      </c>
      <c r="AL67" t="s">
        <v>92</v>
      </c>
      <c r="AM67" t="s">
        <v>93</v>
      </c>
      <c r="AN67" t="s">
        <v>94</v>
      </c>
      <c r="AO67" t="s">
        <v>1370</v>
      </c>
      <c r="AP67" t="s">
        <v>1371</v>
      </c>
      <c r="AQ67" t="s">
        <v>74</v>
      </c>
      <c r="AR67" t="s">
        <v>1372</v>
      </c>
      <c r="AS67" t="s">
        <v>1373</v>
      </c>
      <c r="AT67" t="s">
        <v>99</v>
      </c>
      <c r="AU67">
        <v>2023</v>
      </c>
      <c r="AV67">
        <v>40</v>
      </c>
      <c r="AW67">
        <v>1</v>
      </c>
      <c r="AX67" t="s">
        <v>74</v>
      </c>
      <c r="AY67" t="s">
        <v>74</v>
      </c>
      <c r="AZ67" t="s">
        <v>74</v>
      </c>
      <c r="BA67" t="s">
        <v>74</v>
      </c>
      <c r="BB67" t="s">
        <v>74</v>
      </c>
      <c r="BC67" t="s">
        <v>74</v>
      </c>
      <c r="BD67">
        <v>2188151</v>
      </c>
      <c r="BE67" t="s">
        <v>1374</v>
      </c>
      <c r="BF67" t="str">
        <f>HYPERLINK("http://dx.doi.org/10.1080/02656736.2023.2188151","http://dx.doi.org/10.1080/02656736.2023.2188151")</f>
        <v>http://dx.doi.org/10.1080/02656736.2023.2188151</v>
      </c>
      <c r="BG67" t="s">
        <v>74</v>
      </c>
      <c r="BH67" t="s">
        <v>74</v>
      </c>
      <c r="BI67">
        <v>10</v>
      </c>
      <c r="BJ67" t="s">
        <v>1375</v>
      </c>
      <c r="BK67" t="s">
        <v>102</v>
      </c>
      <c r="BL67" t="s">
        <v>1375</v>
      </c>
      <c r="BM67" t="s">
        <v>1376</v>
      </c>
      <c r="BN67">
        <v>36919520</v>
      </c>
      <c r="BO67" t="s">
        <v>126</v>
      </c>
      <c r="BP67" t="s">
        <v>74</v>
      </c>
      <c r="BQ67" t="s">
        <v>74</v>
      </c>
      <c r="BR67" t="s">
        <v>105</v>
      </c>
      <c r="BS67" t="s">
        <v>1377</v>
      </c>
      <c r="BT67" t="str">
        <f>HYPERLINK("https%3A%2F%2Fwww.webofscience.com%2Fwos%2Fwoscc%2Ffull-record%2FWOS:000952422900001","View Full Record in Web of Science")</f>
        <v>View Full Record in Web of Science</v>
      </c>
    </row>
    <row r="68" spans="1:72" x14ac:dyDescent="0.15">
      <c r="A68" t="s">
        <v>72</v>
      </c>
      <c r="B68" t="s">
        <v>1378</v>
      </c>
      <c r="C68" t="s">
        <v>74</v>
      </c>
      <c r="D68" t="s">
        <v>74</v>
      </c>
      <c r="E68" t="s">
        <v>74</v>
      </c>
      <c r="F68" t="s">
        <v>1379</v>
      </c>
      <c r="G68" t="s">
        <v>74</v>
      </c>
      <c r="H68" t="s">
        <v>74</v>
      </c>
      <c r="I68" t="s">
        <v>1380</v>
      </c>
      <c r="J68" t="s">
        <v>359</v>
      </c>
      <c r="K68" t="s">
        <v>74</v>
      </c>
      <c r="L68" t="s">
        <v>74</v>
      </c>
      <c r="M68" t="s">
        <v>78</v>
      </c>
      <c r="N68" t="s">
        <v>79</v>
      </c>
      <c r="O68" t="s">
        <v>74</v>
      </c>
      <c r="P68" t="s">
        <v>74</v>
      </c>
      <c r="Q68" t="s">
        <v>74</v>
      </c>
      <c r="R68" t="s">
        <v>74</v>
      </c>
      <c r="S68" t="s">
        <v>74</v>
      </c>
      <c r="T68" t="s">
        <v>1381</v>
      </c>
      <c r="U68" t="s">
        <v>1382</v>
      </c>
      <c r="V68" t="s">
        <v>1383</v>
      </c>
      <c r="W68" t="s">
        <v>1384</v>
      </c>
      <c r="X68" t="s">
        <v>1385</v>
      </c>
      <c r="Y68" t="s">
        <v>1386</v>
      </c>
      <c r="Z68" t="s">
        <v>1387</v>
      </c>
      <c r="AA68" t="s">
        <v>1388</v>
      </c>
      <c r="AB68" t="s">
        <v>1389</v>
      </c>
      <c r="AC68" t="s">
        <v>74</v>
      </c>
      <c r="AD68" t="s">
        <v>74</v>
      </c>
      <c r="AE68" t="s">
        <v>74</v>
      </c>
      <c r="AF68" t="s">
        <v>74</v>
      </c>
      <c r="AG68">
        <v>47</v>
      </c>
      <c r="AH68">
        <v>0</v>
      </c>
      <c r="AI68">
        <v>0</v>
      </c>
      <c r="AJ68">
        <v>5</v>
      </c>
      <c r="AK68">
        <v>8</v>
      </c>
      <c r="AL68" t="s">
        <v>287</v>
      </c>
      <c r="AM68" t="s">
        <v>288</v>
      </c>
      <c r="AN68" t="s">
        <v>289</v>
      </c>
      <c r="AO68" t="s">
        <v>369</v>
      </c>
      <c r="AP68" t="s">
        <v>74</v>
      </c>
      <c r="AQ68" t="s">
        <v>74</v>
      </c>
      <c r="AR68" t="s">
        <v>370</v>
      </c>
      <c r="AS68" t="s">
        <v>371</v>
      </c>
      <c r="AT68" t="s">
        <v>99</v>
      </c>
      <c r="AU68">
        <v>2023</v>
      </c>
      <c r="AV68">
        <v>11</v>
      </c>
      <c r="AW68">
        <v>1</v>
      </c>
      <c r="AX68" t="s">
        <v>74</v>
      </c>
      <c r="AY68" t="s">
        <v>74</v>
      </c>
      <c r="AZ68" t="s">
        <v>74</v>
      </c>
      <c r="BA68" t="s">
        <v>74</v>
      </c>
      <c r="BB68" t="s">
        <v>74</v>
      </c>
      <c r="BC68" t="s">
        <v>74</v>
      </c>
      <c r="BD68">
        <v>2171609</v>
      </c>
      <c r="BE68" t="s">
        <v>1390</v>
      </c>
      <c r="BF68" t="str">
        <f>HYPERLINK("http://dx.doi.org/10.1080/23322039.2023.2171609","http://dx.doi.org/10.1080/23322039.2023.2171609")</f>
        <v>http://dx.doi.org/10.1080/23322039.2023.2171609</v>
      </c>
      <c r="BG68" t="s">
        <v>74</v>
      </c>
      <c r="BH68" t="s">
        <v>74</v>
      </c>
      <c r="BI68">
        <v>20</v>
      </c>
      <c r="BJ68" t="s">
        <v>373</v>
      </c>
      <c r="BK68" t="s">
        <v>211</v>
      </c>
      <c r="BL68" t="s">
        <v>295</v>
      </c>
      <c r="BM68" t="s">
        <v>1391</v>
      </c>
      <c r="BN68" t="s">
        <v>74</v>
      </c>
      <c r="BO68" t="s">
        <v>126</v>
      </c>
      <c r="BP68" t="s">
        <v>74</v>
      </c>
      <c r="BQ68" t="s">
        <v>74</v>
      </c>
      <c r="BR68" t="s">
        <v>105</v>
      </c>
      <c r="BS68" t="s">
        <v>1392</v>
      </c>
      <c r="BT68" t="str">
        <f>HYPERLINK("https%3A%2F%2Fwww.webofscience.com%2Fwos%2Fwoscc%2Ffull-record%2FWOS:000939670300001","View Full Record in Web of Science")</f>
        <v>View Full Record in Web of Science</v>
      </c>
    </row>
    <row r="69" spans="1:72" x14ac:dyDescent="0.15">
      <c r="A69" t="s">
        <v>72</v>
      </c>
      <c r="B69" t="s">
        <v>1393</v>
      </c>
      <c r="C69" t="s">
        <v>74</v>
      </c>
      <c r="D69" t="s">
        <v>74</v>
      </c>
      <c r="E69" t="s">
        <v>74</v>
      </c>
      <c r="F69" t="s">
        <v>1394</v>
      </c>
      <c r="G69" t="s">
        <v>74</v>
      </c>
      <c r="H69" t="s">
        <v>74</v>
      </c>
      <c r="I69" t="s">
        <v>1395</v>
      </c>
      <c r="J69" t="s">
        <v>1118</v>
      </c>
      <c r="K69" t="s">
        <v>74</v>
      </c>
      <c r="L69" t="s">
        <v>74</v>
      </c>
      <c r="M69" t="s">
        <v>78</v>
      </c>
      <c r="N69" t="s">
        <v>79</v>
      </c>
      <c r="O69" t="s">
        <v>74</v>
      </c>
      <c r="P69" t="s">
        <v>74</v>
      </c>
      <c r="Q69" t="s">
        <v>74</v>
      </c>
      <c r="R69" t="s">
        <v>74</v>
      </c>
      <c r="S69" t="s">
        <v>74</v>
      </c>
      <c r="T69" t="s">
        <v>1396</v>
      </c>
      <c r="U69" t="s">
        <v>1397</v>
      </c>
      <c r="V69" t="s">
        <v>1398</v>
      </c>
      <c r="W69" t="s">
        <v>1399</v>
      </c>
      <c r="X69" t="s">
        <v>1400</v>
      </c>
      <c r="Y69" t="s">
        <v>1401</v>
      </c>
      <c r="Z69" t="s">
        <v>1402</v>
      </c>
      <c r="AA69" t="s">
        <v>74</v>
      </c>
      <c r="AB69" t="s">
        <v>74</v>
      </c>
      <c r="AC69" t="s">
        <v>74</v>
      </c>
      <c r="AD69" t="s">
        <v>74</v>
      </c>
      <c r="AE69" t="s">
        <v>74</v>
      </c>
      <c r="AF69" t="s">
        <v>74</v>
      </c>
      <c r="AG69">
        <v>60</v>
      </c>
      <c r="AH69">
        <v>0</v>
      </c>
      <c r="AI69">
        <v>0</v>
      </c>
      <c r="AJ69">
        <v>7</v>
      </c>
      <c r="AK69">
        <v>7</v>
      </c>
      <c r="AL69" t="s">
        <v>92</v>
      </c>
      <c r="AM69" t="s">
        <v>93</v>
      </c>
      <c r="AN69" t="s">
        <v>94</v>
      </c>
      <c r="AO69" t="s">
        <v>1130</v>
      </c>
      <c r="AP69" t="s">
        <v>1131</v>
      </c>
      <c r="AQ69" t="s">
        <v>74</v>
      </c>
      <c r="AR69" t="s">
        <v>1132</v>
      </c>
      <c r="AS69" t="s">
        <v>1133</v>
      </c>
      <c r="AT69" t="s">
        <v>99</v>
      </c>
      <c r="AU69">
        <v>2023</v>
      </c>
      <c r="AV69">
        <v>21</v>
      </c>
      <c r="AW69">
        <v>1</v>
      </c>
      <c r="AX69" t="s">
        <v>74</v>
      </c>
      <c r="AY69" t="s">
        <v>74</v>
      </c>
      <c r="AZ69" t="s">
        <v>74</v>
      </c>
      <c r="BA69" t="s">
        <v>74</v>
      </c>
      <c r="BB69">
        <v>258</v>
      </c>
      <c r="BC69">
        <v>268</v>
      </c>
      <c r="BD69" t="s">
        <v>74</v>
      </c>
      <c r="BE69" t="s">
        <v>1403</v>
      </c>
      <c r="BF69" t="str">
        <f>HYPERLINK("http://dx.doi.org/10.1080/19476337.2023.2190792","http://dx.doi.org/10.1080/19476337.2023.2190792")</f>
        <v>http://dx.doi.org/10.1080/19476337.2023.2190792</v>
      </c>
      <c r="BG69" t="s">
        <v>74</v>
      </c>
      <c r="BH69" t="s">
        <v>74</v>
      </c>
      <c r="BI69">
        <v>11</v>
      </c>
      <c r="BJ69" t="s">
        <v>192</v>
      </c>
      <c r="BK69" t="s">
        <v>102</v>
      </c>
      <c r="BL69" t="s">
        <v>192</v>
      </c>
      <c r="BM69" t="s">
        <v>1404</v>
      </c>
      <c r="BN69" t="s">
        <v>74</v>
      </c>
      <c r="BO69" t="s">
        <v>126</v>
      </c>
      <c r="BP69" t="s">
        <v>74</v>
      </c>
      <c r="BQ69" t="s">
        <v>74</v>
      </c>
      <c r="BR69" t="s">
        <v>105</v>
      </c>
      <c r="BS69" t="s">
        <v>1405</v>
      </c>
      <c r="BT69" t="str">
        <f>HYPERLINK("https%3A%2F%2Fwww.webofscience.com%2Fwos%2Fwoscc%2Ffull-record%2FWOS:000957140400001","View Full Record in Web of Science")</f>
        <v>View Full Record in Web of Science</v>
      </c>
    </row>
    <row r="70" spans="1:72" x14ac:dyDescent="0.15">
      <c r="A70" t="s">
        <v>72</v>
      </c>
      <c r="B70" t="s">
        <v>1406</v>
      </c>
      <c r="C70" t="s">
        <v>74</v>
      </c>
      <c r="D70" t="s">
        <v>74</v>
      </c>
      <c r="E70" t="s">
        <v>74</v>
      </c>
      <c r="F70" t="s">
        <v>1407</v>
      </c>
      <c r="G70" t="s">
        <v>74</v>
      </c>
      <c r="H70" t="s">
        <v>74</v>
      </c>
      <c r="I70" t="s">
        <v>1408</v>
      </c>
      <c r="J70" t="s">
        <v>1409</v>
      </c>
      <c r="K70" t="s">
        <v>74</v>
      </c>
      <c r="L70" t="s">
        <v>74</v>
      </c>
      <c r="M70" t="s">
        <v>78</v>
      </c>
      <c r="N70" t="s">
        <v>79</v>
      </c>
      <c r="O70" t="s">
        <v>74</v>
      </c>
      <c r="P70" t="s">
        <v>74</v>
      </c>
      <c r="Q70" t="s">
        <v>74</v>
      </c>
      <c r="R70" t="s">
        <v>74</v>
      </c>
      <c r="S70" t="s">
        <v>74</v>
      </c>
      <c r="T70" t="s">
        <v>1410</v>
      </c>
      <c r="U70" t="s">
        <v>1411</v>
      </c>
      <c r="V70" t="s">
        <v>1412</v>
      </c>
      <c r="W70" t="s">
        <v>1413</v>
      </c>
      <c r="X70" t="s">
        <v>1414</v>
      </c>
      <c r="Y70" t="s">
        <v>1415</v>
      </c>
      <c r="Z70" t="s">
        <v>1416</v>
      </c>
      <c r="AA70" t="s">
        <v>74</v>
      </c>
      <c r="AB70" t="s">
        <v>1417</v>
      </c>
      <c r="AC70" t="s">
        <v>1418</v>
      </c>
      <c r="AD70" t="s">
        <v>1418</v>
      </c>
      <c r="AE70" t="s">
        <v>1419</v>
      </c>
      <c r="AF70" t="s">
        <v>74</v>
      </c>
      <c r="AG70">
        <v>70</v>
      </c>
      <c r="AH70">
        <v>0</v>
      </c>
      <c r="AI70">
        <v>0</v>
      </c>
      <c r="AJ70">
        <v>3</v>
      </c>
      <c r="AK70">
        <v>3</v>
      </c>
      <c r="AL70" t="s">
        <v>92</v>
      </c>
      <c r="AM70" t="s">
        <v>93</v>
      </c>
      <c r="AN70" t="s">
        <v>94</v>
      </c>
      <c r="AO70" t="s">
        <v>1420</v>
      </c>
      <c r="AP70" t="s">
        <v>1421</v>
      </c>
      <c r="AQ70" t="s">
        <v>74</v>
      </c>
      <c r="AR70" t="s">
        <v>1422</v>
      </c>
      <c r="AS70" t="s">
        <v>1423</v>
      </c>
      <c r="AT70" t="s">
        <v>99</v>
      </c>
      <c r="AU70">
        <v>2023</v>
      </c>
      <c r="AV70">
        <v>22</v>
      </c>
      <c r="AW70">
        <v>1</v>
      </c>
      <c r="AX70" t="s">
        <v>74</v>
      </c>
      <c r="AY70" t="s">
        <v>74</v>
      </c>
      <c r="AZ70" t="s">
        <v>74</v>
      </c>
      <c r="BA70" t="s">
        <v>74</v>
      </c>
      <c r="BB70">
        <v>481</v>
      </c>
      <c r="BC70">
        <v>494</v>
      </c>
      <c r="BD70" t="s">
        <v>74</v>
      </c>
      <c r="BE70" t="s">
        <v>1424</v>
      </c>
      <c r="BF70" t="str">
        <f>HYPERLINK("http://dx.doi.org/10.1080/14760584.2023.2217257","http://dx.doi.org/10.1080/14760584.2023.2217257")</f>
        <v>http://dx.doi.org/10.1080/14760584.2023.2217257</v>
      </c>
      <c r="BG70" t="s">
        <v>74</v>
      </c>
      <c r="BH70" t="s">
        <v>74</v>
      </c>
      <c r="BI70">
        <v>14</v>
      </c>
      <c r="BJ70" t="s">
        <v>1425</v>
      </c>
      <c r="BK70" t="s">
        <v>102</v>
      </c>
      <c r="BL70" t="s">
        <v>1425</v>
      </c>
      <c r="BM70" t="s">
        <v>1426</v>
      </c>
      <c r="BN70">
        <v>37218717</v>
      </c>
      <c r="BO70" t="s">
        <v>1196</v>
      </c>
      <c r="BP70" t="s">
        <v>74</v>
      </c>
      <c r="BQ70" t="s">
        <v>74</v>
      </c>
      <c r="BR70" t="s">
        <v>105</v>
      </c>
      <c r="BS70" t="s">
        <v>1427</v>
      </c>
      <c r="BT70" t="str">
        <f>HYPERLINK("https%3A%2F%2Fwww.webofscience.com%2Fwos%2Fwoscc%2Ffull-record%2FWOS:000999417200001","View Full Record in Web of Science")</f>
        <v>View Full Record in Web of Science</v>
      </c>
    </row>
    <row r="71" spans="1:72" x14ac:dyDescent="0.15">
      <c r="A71" t="s">
        <v>72</v>
      </c>
      <c r="B71" t="s">
        <v>1428</v>
      </c>
      <c r="C71" t="s">
        <v>74</v>
      </c>
      <c r="D71" t="s">
        <v>74</v>
      </c>
      <c r="E71" t="s">
        <v>74</v>
      </c>
      <c r="F71" t="s">
        <v>1429</v>
      </c>
      <c r="G71" t="s">
        <v>74</v>
      </c>
      <c r="H71" t="s">
        <v>74</v>
      </c>
      <c r="I71" t="s">
        <v>1430</v>
      </c>
      <c r="J71" t="s">
        <v>198</v>
      </c>
      <c r="K71" t="s">
        <v>74</v>
      </c>
      <c r="L71" t="s">
        <v>74</v>
      </c>
      <c r="M71" t="s">
        <v>78</v>
      </c>
      <c r="N71" t="s">
        <v>79</v>
      </c>
      <c r="O71" t="s">
        <v>74</v>
      </c>
      <c r="P71" t="s">
        <v>74</v>
      </c>
      <c r="Q71" t="s">
        <v>74</v>
      </c>
      <c r="R71" t="s">
        <v>74</v>
      </c>
      <c r="S71" t="s">
        <v>74</v>
      </c>
      <c r="T71" t="s">
        <v>1431</v>
      </c>
      <c r="U71" t="s">
        <v>74</v>
      </c>
      <c r="V71" t="s">
        <v>1432</v>
      </c>
      <c r="W71" t="s">
        <v>1433</v>
      </c>
      <c r="X71" t="s">
        <v>1434</v>
      </c>
      <c r="Y71" t="s">
        <v>1435</v>
      </c>
      <c r="Z71" t="s">
        <v>1436</v>
      </c>
      <c r="AA71" t="s">
        <v>74</v>
      </c>
      <c r="AB71" t="s">
        <v>74</v>
      </c>
      <c r="AC71" t="s">
        <v>74</v>
      </c>
      <c r="AD71" t="s">
        <v>74</v>
      </c>
      <c r="AE71" t="s">
        <v>74</v>
      </c>
      <c r="AF71" t="s">
        <v>74</v>
      </c>
      <c r="AG71">
        <v>16</v>
      </c>
      <c r="AH71">
        <v>0</v>
      </c>
      <c r="AI71">
        <v>0</v>
      </c>
      <c r="AJ71">
        <v>2</v>
      </c>
      <c r="AK71">
        <v>2</v>
      </c>
      <c r="AL71" t="s">
        <v>92</v>
      </c>
      <c r="AM71" t="s">
        <v>93</v>
      </c>
      <c r="AN71" t="s">
        <v>94</v>
      </c>
      <c r="AO71" t="s">
        <v>74</v>
      </c>
      <c r="AP71" t="s">
        <v>206</v>
      </c>
      <c r="AQ71" t="s">
        <v>74</v>
      </c>
      <c r="AR71" t="s">
        <v>207</v>
      </c>
      <c r="AS71" t="s">
        <v>208</v>
      </c>
      <c r="AT71" t="s">
        <v>99</v>
      </c>
      <c r="AU71">
        <v>2023</v>
      </c>
      <c r="AV71">
        <v>39</v>
      </c>
      <c r="AW71">
        <v>1</v>
      </c>
      <c r="AX71" t="s">
        <v>74</v>
      </c>
      <c r="AY71" t="s">
        <v>74</v>
      </c>
      <c r="AZ71" t="s">
        <v>74</v>
      </c>
      <c r="BA71" t="s">
        <v>74</v>
      </c>
      <c r="BB71">
        <v>95</v>
      </c>
      <c r="BC71">
        <v>99</v>
      </c>
      <c r="BD71" t="s">
        <v>74</v>
      </c>
      <c r="BE71" t="s">
        <v>1437</v>
      </c>
      <c r="BF71" t="str">
        <f>HYPERLINK("http://dx.doi.org/10.1080/11101849.2023.2171545","http://dx.doi.org/10.1080/11101849.2023.2171545")</f>
        <v>http://dx.doi.org/10.1080/11101849.2023.2171545</v>
      </c>
      <c r="BG71" t="s">
        <v>74</v>
      </c>
      <c r="BH71" t="s">
        <v>74</v>
      </c>
      <c r="BI71">
        <v>5</v>
      </c>
      <c r="BJ71" t="s">
        <v>210</v>
      </c>
      <c r="BK71" t="s">
        <v>211</v>
      </c>
      <c r="BL71" t="s">
        <v>210</v>
      </c>
      <c r="BM71" t="s">
        <v>1438</v>
      </c>
      <c r="BN71" t="s">
        <v>74</v>
      </c>
      <c r="BO71" t="s">
        <v>126</v>
      </c>
      <c r="BP71" t="s">
        <v>74</v>
      </c>
      <c r="BQ71" t="s">
        <v>74</v>
      </c>
      <c r="BR71" t="s">
        <v>105</v>
      </c>
      <c r="BS71" t="s">
        <v>1439</v>
      </c>
      <c r="BT71" t="str">
        <f>HYPERLINK("https%3A%2F%2Fwww.webofscience.com%2Fwos%2Fwoscc%2Ffull-record%2FWOS:000921751100001","View Full Record in Web of Science")</f>
        <v>View Full Record in Web of Science</v>
      </c>
    </row>
    <row r="72" spans="1:72" x14ac:dyDescent="0.15">
      <c r="A72" t="s">
        <v>72</v>
      </c>
      <c r="B72" t="s">
        <v>1440</v>
      </c>
      <c r="C72" t="s">
        <v>74</v>
      </c>
      <c r="D72" t="s">
        <v>74</v>
      </c>
      <c r="E72" t="s">
        <v>74</v>
      </c>
      <c r="F72" t="s">
        <v>1441</v>
      </c>
      <c r="G72" t="s">
        <v>74</v>
      </c>
      <c r="H72" t="s">
        <v>74</v>
      </c>
      <c r="I72" t="s">
        <v>1442</v>
      </c>
      <c r="J72" t="s">
        <v>1443</v>
      </c>
      <c r="K72" t="s">
        <v>74</v>
      </c>
      <c r="L72" t="s">
        <v>74</v>
      </c>
      <c r="M72" t="s">
        <v>78</v>
      </c>
      <c r="N72" t="s">
        <v>1444</v>
      </c>
      <c r="O72" t="s">
        <v>74</v>
      </c>
      <c r="P72" t="s">
        <v>74</v>
      </c>
      <c r="Q72" t="s">
        <v>74</v>
      </c>
      <c r="R72" t="s">
        <v>74</v>
      </c>
      <c r="S72" t="s">
        <v>74</v>
      </c>
      <c r="T72" t="s">
        <v>74</v>
      </c>
      <c r="U72" t="s">
        <v>74</v>
      </c>
      <c r="V72" t="s">
        <v>74</v>
      </c>
      <c r="W72" t="s">
        <v>74</v>
      </c>
      <c r="X72" t="s">
        <v>74</v>
      </c>
      <c r="Y72" t="s">
        <v>74</v>
      </c>
      <c r="Z72" t="s">
        <v>74</v>
      </c>
      <c r="AA72" t="s">
        <v>1445</v>
      </c>
      <c r="AB72" t="s">
        <v>1446</v>
      </c>
      <c r="AC72" t="s">
        <v>74</v>
      </c>
      <c r="AD72" t="s">
        <v>74</v>
      </c>
      <c r="AE72" t="s">
        <v>74</v>
      </c>
      <c r="AF72" t="s">
        <v>74</v>
      </c>
      <c r="AG72">
        <v>1</v>
      </c>
      <c r="AH72">
        <v>0</v>
      </c>
      <c r="AI72">
        <v>0</v>
      </c>
      <c r="AJ72">
        <v>1</v>
      </c>
      <c r="AK72">
        <v>1</v>
      </c>
      <c r="AL72" t="s">
        <v>92</v>
      </c>
      <c r="AM72" t="s">
        <v>93</v>
      </c>
      <c r="AN72" t="s">
        <v>94</v>
      </c>
      <c r="AO72" t="s">
        <v>1447</v>
      </c>
      <c r="AP72" t="s">
        <v>1448</v>
      </c>
      <c r="AQ72" t="s">
        <v>74</v>
      </c>
      <c r="AR72" t="s">
        <v>1449</v>
      </c>
      <c r="AS72" t="s">
        <v>1450</v>
      </c>
      <c r="AT72" t="s">
        <v>99</v>
      </c>
      <c r="AU72">
        <v>2023</v>
      </c>
      <c r="AV72">
        <v>38</v>
      </c>
      <c r="AW72">
        <v>1</v>
      </c>
      <c r="AX72" t="s">
        <v>74</v>
      </c>
      <c r="AY72" t="s">
        <v>74</v>
      </c>
      <c r="AZ72" t="s">
        <v>74</v>
      </c>
      <c r="BA72" t="s">
        <v>74</v>
      </c>
      <c r="BB72" t="s">
        <v>74</v>
      </c>
      <c r="BC72" t="s">
        <v>74</v>
      </c>
      <c r="BD72">
        <v>2218746</v>
      </c>
      <c r="BE72" t="s">
        <v>1451</v>
      </c>
      <c r="BF72" t="str">
        <f>HYPERLINK("http://dx.doi.org/10.1080/14756366.2023.2218746","http://dx.doi.org/10.1080/14756366.2023.2218746")</f>
        <v>http://dx.doi.org/10.1080/14756366.2023.2218746</v>
      </c>
      <c r="BG72" t="s">
        <v>74</v>
      </c>
      <c r="BH72" t="s">
        <v>74</v>
      </c>
      <c r="BI72">
        <v>7</v>
      </c>
      <c r="BJ72" t="s">
        <v>1452</v>
      </c>
      <c r="BK72" t="s">
        <v>102</v>
      </c>
      <c r="BL72" t="s">
        <v>1453</v>
      </c>
      <c r="BM72" t="s">
        <v>1454</v>
      </c>
      <c r="BN72" t="s">
        <v>74</v>
      </c>
      <c r="BO72" t="s">
        <v>104</v>
      </c>
      <c r="BP72" t="s">
        <v>74</v>
      </c>
      <c r="BQ72" t="s">
        <v>74</v>
      </c>
      <c r="BR72" t="s">
        <v>105</v>
      </c>
      <c r="BS72" t="s">
        <v>1455</v>
      </c>
      <c r="BT72" t="str">
        <f>HYPERLINK("https%3A%2F%2Fwww.webofscience.com%2Fwos%2Fwoscc%2Ffull-record%2FWOS:001000858900001","View Full Record in Web of Science")</f>
        <v>View Full Record in Web of Science</v>
      </c>
    </row>
    <row r="73" spans="1:72" x14ac:dyDescent="0.15">
      <c r="A73" t="s">
        <v>72</v>
      </c>
      <c r="B73" t="s">
        <v>1456</v>
      </c>
      <c r="C73" t="s">
        <v>74</v>
      </c>
      <c r="D73" t="s">
        <v>74</v>
      </c>
      <c r="E73" t="s">
        <v>74</v>
      </c>
      <c r="F73" t="s">
        <v>1457</v>
      </c>
      <c r="G73" t="s">
        <v>74</v>
      </c>
      <c r="H73" t="s">
        <v>74</v>
      </c>
      <c r="I73" t="s">
        <v>1458</v>
      </c>
      <c r="J73" t="s">
        <v>1443</v>
      </c>
      <c r="K73" t="s">
        <v>74</v>
      </c>
      <c r="L73" t="s">
        <v>74</v>
      </c>
      <c r="M73" t="s">
        <v>78</v>
      </c>
      <c r="N73" t="s">
        <v>79</v>
      </c>
      <c r="O73" t="s">
        <v>74</v>
      </c>
      <c r="P73" t="s">
        <v>74</v>
      </c>
      <c r="Q73" t="s">
        <v>74</v>
      </c>
      <c r="R73" t="s">
        <v>74</v>
      </c>
      <c r="S73" t="s">
        <v>74</v>
      </c>
      <c r="T73" t="s">
        <v>1459</v>
      </c>
      <c r="U73" t="s">
        <v>1460</v>
      </c>
      <c r="V73" t="s">
        <v>1461</v>
      </c>
      <c r="W73" t="s">
        <v>1462</v>
      </c>
      <c r="X73" t="s">
        <v>1463</v>
      </c>
      <c r="Y73" t="s">
        <v>1464</v>
      </c>
      <c r="Z73" t="s">
        <v>1465</v>
      </c>
      <c r="AA73" t="s">
        <v>1466</v>
      </c>
      <c r="AB73" t="s">
        <v>1467</v>
      </c>
      <c r="AC73" t="s">
        <v>1468</v>
      </c>
      <c r="AD73" t="s">
        <v>1469</v>
      </c>
      <c r="AE73" t="s">
        <v>1470</v>
      </c>
      <c r="AF73" t="s">
        <v>74</v>
      </c>
      <c r="AG73">
        <v>69</v>
      </c>
      <c r="AH73">
        <v>0</v>
      </c>
      <c r="AI73">
        <v>0</v>
      </c>
      <c r="AJ73">
        <v>14</v>
      </c>
      <c r="AK73">
        <v>14</v>
      </c>
      <c r="AL73" t="s">
        <v>92</v>
      </c>
      <c r="AM73" t="s">
        <v>93</v>
      </c>
      <c r="AN73" t="s">
        <v>94</v>
      </c>
      <c r="AO73" t="s">
        <v>1447</v>
      </c>
      <c r="AP73" t="s">
        <v>1448</v>
      </c>
      <c r="AQ73" t="s">
        <v>74</v>
      </c>
      <c r="AR73" t="s">
        <v>1449</v>
      </c>
      <c r="AS73" t="s">
        <v>1450</v>
      </c>
      <c r="AT73" t="s">
        <v>99</v>
      </c>
      <c r="AU73">
        <v>2023</v>
      </c>
      <c r="AV73">
        <v>38</v>
      </c>
      <c r="AW73">
        <v>1</v>
      </c>
      <c r="AX73" t="s">
        <v>74</v>
      </c>
      <c r="AY73" t="s">
        <v>74</v>
      </c>
      <c r="AZ73" t="s">
        <v>74</v>
      </c>
      <c r="BA73" t="s">
        <v>74</v>
      </c>
      <c r="BB73" t="s">
        <v>74</v>
      </c>
      <c r="BC73" t="s">
        <v>74</v>
      </c>
      <c r="BD73">
        <v>2234665</v>
      </c>
      <c r="BE73" t="s">
        <v>1471</v>
      </c>
      <c r="BF73" t="str">
        <f>HYPERLINK("http://dx.doi.org/10.1080/14756366.2023.2234665","http://dx.doi.org/10.1080/14756366.2023.2234665")</f>
        <v>http://dx.doi.org/10.1080/14756366.2023.2234665</v>
      </c>
      <c r="BG73" t="s">
        <v>74</v>
      </c>
      <c r="BH73" t="s">
        <v>74</v>
      </c>
      <c r="BI73">
        <v>11</v>
      </c>
      <c r="BJ73" t="s">
        <v>1452</v>
      </c>
      <c r="BK73" t="s">
        <v>1472</v>
      </c>
      <c r="BL73" t="s">
        <v>1453</v>
      </c>
      <c r="BM73" t="s">
        <v>1473</v>
      </c>
      <c r="BN73">
        <v>37434404</v>
      </c>
      <c r="BO73" t="s">
        <v>1474</v>
      </c>
      <c r="BP73" t="s">
        <v>74</v>
      </c>
      <c r="BQ73" t="s">
        <v>74</v>
      </c>
      <c r="BR73" t="s">
        <v>105</v>
      </c>
      <c r="BS73" t="s">
        <v>1475</v>
      </c>
      <c r="BT73" t="str">
        <f>HYPERLINK("https%3A%2F%2Fwww.webofscience.com%2Fwos%2Fwoscc%2Ffull-record%2FWOS:001023995200001","View Full Record in Web of Science")</f>
        <v>View Full Record in Web of Science</v>
      </c>
    </row>
    <row r="74" spans="1:72" x14ac:dyDescent="0.15">
      <c r="A74" t="s">
        <v>72</v>
      </c>
      <c r="B74" t="s">
        <v>1476</v>
      </c>
      <c r="C74" t="s">
        <v>74</v>
      </c>
      <c r="D74" t="s">
        <v>74</v>
      </c>
      <c r="E74" t="s">
        <v>74</v>
      </c>
      <c r="F74" t="s">
        <v>1477</v>
      </c>
      <c r="G74" t="s">
        <v>74</v>
      </c>
      <c r="H74" t="s">
        <v>74</v>
      </c>
      <c r="I74" t="s">
        <v>1478</v>
      </c>
      <c r="J74" t="s">
        <v>379</v>
      </c>
      <c r="K74" t="s">
        <v>74</v>
      </c>
      <c r="L74" t="s">
        <v>74</v>
      </c>
      <c r="M74" t="s">
        <v>78</v>
      </c>
      <c r="N74" t="s">
        <v>79</v>
      </c>
      <c r="O74" t="s">
        <v>74</v>
      </c>
      <c r="P74" t="s">
        <v>74</v>
      </c>
      <c r="Q74" t="s">
        <v>74</v>
      </c>
      <c r="R74" t="s">
        <v>74</v>
      </c>
      <c r="S74" t="s">
        <v>74</v>
      </c>
      <c r="T74" t="s">
        <v>1479</v>
      </c>
      <c r="U74" t="s">
        <v>74</v>
      </c>
      <c r="V74" t="s">
        <v>1480</v>
      </c>
      <c r="W74" t="s">
        <v>1481</v>
      </c>
      <c r="X74" t="s">
        <v>1482</v>
      </c>
      <c r="Y74" t="s">
        <v>1483</v>
      </c>
      <c r="Z74" t="s">
        <v>1484</v>
      </c>
      <c r="AA74" t="s">
        <v>74</v>
      </c>
      <c r="AB74" t="s">
        <v>1485</v>
      </c>
      <c r="AC74" t="s">
        <v>1482</v>
      </c>
      <c r="AD74" t="s">
        <v>1482</v>
      </c>
      <c r="AE74" t="s">
        <v>1486</v>
      </c>
      <c r="AF74" t="s">
        <v>74</v>
      </c>
      <c r="AG74">
        <v>43</v>
      </c>
      <c r="AH74">
        <v>0</v>
      </c>
      <c r="AI74">
        <v>0</v>
      </c>
      <c r="AJ74">
        <v>4</v>
      </c>
      <c r="AK74">
        <v>4</v>
      </c>
      <c r="AL74" t="s">
        <v>287</v>
      </c>
      <c r="AM74" t="s">
        <v>288</v>
      </c>
      <c r="AN74" t="s">
        <v>289</v>
      </c>
      <c r="AO74" t="s">
        <v>392</v>
      </c>
      <c r="AP74" t="s">
        <v>74</v>
      </c>
      <c r="AQ74" t="s">
        <v>74</v>
      </c>
      <c r="AR74" t="s">
        <v>393</v>
      </c>
      <c r="AS74" t="s">
        <v>394</v>
      </c>
      <c r="AT74" t="s">
        <v>99</v>
      </c>
      <c r="AU74">
        <v>2023</v>
      </c>
      <c r="AV74">
        <v>9</v>
      </c>
      <c r="AW74">
        <v>1</v>
      </c>
      <c r="AX74" t="s">
        <v>74</v>
      </c>
      <c r="AY74" t="s">
        <v>74</v>
      </c>
      <c r="AZ74" t="s">
        <v>74</v>
      </c>
      <c r="BA74" t="s">
        <v>74</v>
      </c>
      <c r="BB74" t="s">
        <v>74</v>
      </c>
      <c r="BC74" t="s">
        <v>74</v>
      </c>
      <c r="BD74">
        <v>2197282</v>
      </c>
      <c r="BE74" t="s">
        <v>1487</v>
      </c>
      <c r="BF74" t="str">
        <f>HYPERLINK("http://dx.doi.org/10.1080/23311886.2023.2197282","http://dx.doi.org/10.1080/23311886.2023.2197282")</f>
        <v>http://dx.doi.org/10.1080/23311886.2023.2197282</v>
      </c>
      <c r="BG74" t="s">
        <v>74</v>
      </c>
      <c r="BH74" t="s">
        <v>74</v>
      </c>
      <c r="BI74">
        <v>12</v>
      </c>
      <c r="BJ74" t="s">
        <v>396</v>
      </c>
      <c r="BK74" t="s">
        <v>211</v>
      </c>
      <c r="BL74" t="s">
        <v>397</v>
      </c>
      <c r="BM74" t="s">
        <v>1488</v>
      </c>
      <c r="BN74" t="s">
        <v>74</v>
      </c>
      <c r="BO74" t="s">
        <v>126</v>
      </c>
      <c r="BP74" t="s">
        <v>74</v>
      </c>
      <c r="BQ74" t="s">
        <v>74</v>
      </c>
      <c r="BR74" t="s">
        <v>105</v>
      </c>
      <c r="BS74" t="s">
        <v>1489</v>
      </c>
      <c r="BT74" t="str">
        <f>HYPERLINK("https%3A%2F%2Fwww.webofscience.com%2Fwos%2Fwoscc%2Ffull-record%2FWOS:000963676600001","View Full Record in Web of Science")</f>
        <v>View Full Record in Web of Science</v>
      </c>
    </row>
    <row r="75" spans="1:72" x14ac:dyDescent="0.15">
      <c r="A75" t="s">
        <v>72</v>
      </c>
      <c r="B75" t="s">
        <v>1490</v>
      </c>
      <c r="C75" t="s">
        <v>74</v>
      </c>
      <c r="D75" t="s">
        <v>74</v>
      </c>
      <c r="E75" t="s">
        <v>74</v>
      </c>
      <c r="F75" t="s">
        <v>1491</v>
      </c>
      <c r="G75" t="s">
        <v>74</v>
      </c>
      <c r="H75" t="s">
        <v>74</v>
      </c>
      <c r="I75" t="s">
        <v>1492</v>
      </c>
      <c r="J75" t="s">
        <v>1493</v>
      </c>
      <c r="K75" t="s">
        <v>74</v>
      </c>
      <c r="L75" t="s">
        <v>74</v>
      </c>
      <c r="M75" t="s">
        <v>78</v>
      </c>
      <c r="N75" t="s">
        <v>79</v>
      </c>
      <c r="O75" t="s">
        <v>74</v>
      </c>
      <c r="P75" t="s">
        <v>74</v>
      </c>
      <c r="Q75" t="s">
        <v>74</v>
      </c>
      <c r="R75" t="s">
        <v>74</v>
      </c>
      <c r="S75" t="s">
        <v>74</v>
      </c>
      <c r="T75" t="s">
        <v>1494</v>
      </c>
      <c r="U75" t="s">
        <v>1495</v>
      </c>
      <c r="V75" t="s">
        <v>1496</v>
      </c>
      <c r="W75" t="s">
        <v>1497</v>
      </c>
      <c r="X75" t="s">
        <v>1498</v>
      </c>
      <c r="Y75" t="s">
        <v>1499</v>
      </c>
      <c r="Z75" t="s">
        <v>1500</v>
      </c>
      <c r="AA75" t="s">
        <v>1501</v>
      </c>
      <c r="AB75" t="s">
        <v>1502</v>
      </c>
      <c r="AC75" t="s">
        <v>74</v>
      </c>
      <c r="AD75" t="s">
        <v>74</v>
      </c>
      <c r="AE75" t="s">
        <v>74</v>
      </c>
      <c r="AF75" t="s">
        <v>74</v>
      </c>
      <c r="AG75">
        <v>79</v>
      </c>
      <c r="AH75">
        <v>0</v>
      </c>
      <c r="AI75">
        <v>0</v>
      </c>
      <c r="AJ75">
        <v>1</v>
      </c>
      <c r="AK75">
        <v>1</v>
      </c>
      <c r="AL75" t="s">
        <v>92</v>
      </c>
      <c r="AM75" t="s">
        <v>93</v>
      </c>
      <c r="AN75" t="s">
        <v>94</v>
      </c>
      <c r="AO75" t="s">
        <v>74</v>
      </c>
      <c r="AP75" t="s">
        <v>1503</v>
      </c>
      <c r="AQ75" t="s">
        <v>74</v>
      </c>
      <c r="AR75" t="s">
        <v>1504</v>
      </c>
      <c r="AS75" t="s">
        <v>1505</v>
      </c>
      <c r="AT75" t="s">
        <v>99</v>
      </c>
      <c r="AU75">
        <v>2023</v>
      </c>
      <c r="AV75">
        <v>31</v>
      </c>
      <c r="AW75">
        <v>1</v>
      </c>
      <c r="AX75" t="s">
        <v>74</v>
      </c>
      <c r="AY75" t="s">
        <v>74</v>
      </c>
      <c r="AZ75" t="s">
        <v>74</v>
      </c>
      <c r="BA75" t="s">
        <v>74</v>
      </c>
      <c r="BB75" t="s">
        <v>74</v>
      </c>
      <c r="BC75" t="s">
        <v>74</v>
      </c>
      <c r="BD75">
        <v>2198283</v>
      </c>
      <c r="BE75" t="s">
        <v>1506</v>
      </c>
      <c r="BF75" t="str">
        <f>HYPERLINK("http://dx.doi.org/10.1080/26410397.2023.2198283","http://dx.doi.org/10.1080/26410397.2023.2198283")</f>
        <v>http://dx.doi.org/10.1080/26410397.2023.2198283</v>
      </c>
      <c r="BG75" t="s">
        <v>74</v>
      </c>
      <c r="BH75" t="s">
        <v>74</v>
      </c>
      <c r="BI75">
        <v>17</v>
      </c>
      <c r="BJ75" t="s">
        <v>163</v>
      </c>
      <c r="BK75" t="s">
        <v>272</v>
      </c>
      <c r="BL75" t="s">
        <v>163</v>
      </c>
      <c r="BM75" t="s">
        <v>1507</v>
      </c>
      <c r="BN75">
        <v>37133819</v>
      </c>
      <c r="BO75" t="s">
        <v>104</v>
      </c>
      <c r="BP75" t="s">
        <v>74</v>
      </c>
      <c r="BQ75" t="s">
        <v>74</v>
      </c>
      <c r="BR75" t="s">
        <v>105</v>
      </c>
      <c r="BS75" t="s">
        <v>1508</v>
      </c>
      <c r="BT75" t="str">
        <f>HYPERLINK("https%3A%2F%2Fwww.webofscience.com%2Fwos%2Fwoscc%2Ffull-record%2FWOS:000979791000001","View Full Record in Web of Science")</f>
        <v>View Full Record in Web of Science</v>
      </c>
    </row>
    <row r="76" spans="1:72" x14ac:dyDescent="0.15">
      <c r="A76" t="s">
        <v>72</v>
      </c>
      <c r="B76" t="s">
        <v>1509</v>
      </c>
      <c r="C76" t="s">
        <v>74</v>
      </c>
      <c r="D76" t="s">
        <v>74</v>
      </c>
      <c r="E76" t="s">
        <v>74</v>
      </c>
      <c r="F76" t="s">
        <v>1510</v>
      </c>
      <c r="G76" t="s">
        <v>74</v>
      </c>
      <c r="H76" t="s">
        <v>74</v>
      </c>
      <c r="I76" t="s">
        <v>1511</v>
      </c>
      <c r="J76" t="s">
        <v>170</v>
      </c>
      <c r="K76" t="s">
        <v>74</v>
      </c>
      <c r="L76" t="s">
        <v>74</v>
      </c>
      <c r="M76" t="s">
        <v>78</v>
      </c>
      <c r="N76" t="s">
        <v>79</v>
      </c>
      <c r="O76" t="s">
        <v>74</v>
      </c>
      <c r="P76" t="s">
        <v>74</v>
      </c>
      <c r="Q76" t="s">
        <v>74</v>
      </c>
      <c r="R76" t="s">
        <v>74</v>
      </c>
      <c r="S76" t="s">
        <v>74</v>
      </c>
      <c r="T76" t="s">
        <v>1512</v>
      </c>
      <c r="U76" t="s">
        <v>1513</v>
      </c>
      <c r="V76" t="s">
        <v>1514</v>
      </c>
      <c r="W76" t="s">
        <v>1515</v>
      </c>
      <c r="X76" t="s">
        <v>1516</v>
      </c>
      <c r="Y76" t="s">
        <v>1517</v>
      </c>
      <c r="Z76" t="s">
        <v>1518</v>
      </c>
      <c r="AA76" t="s">
        <v>74</v>
      </c>
      <c r="AB76" t="s">
        <v>74</v>
      </c>
      <c r="AC76" t="s">
        <v>74</v>
      </c>
      <c r="AD76" t="s">
        <v>74</v>
      </c>
      <c r="AE76" t="s">
        <v>74</v>
      </c>
      <c r="AF76" t="s">
        <v>74</v>
      </c>
      <c r="AG76">
        <v>40</v>
      </c>
      <c r="AH76">
        <v>3</v>
      </c>
      <c r="AI76">
        <v>3</v>
      </c>
      <c r="AJ76">
        <v>28</v>
      </c>
      <c r="AK76">
        <v>46</v>
      </c>
      <c r="AL76" t="s">
        <v>184</v>
      </c>
      <c r="AM76" t="s">
        <v>185</v>
      </c>
      <c r="AN76" t="s">
        <v>186</v>
      </c>
      <c r="AO76" t="s">
        <v>187</v>
      </c>
      <c r="AP76" t="s">
        <v>188</v>
      </c>
      <c r="AQ76" t="s">
        <v>74</v>
      </c>
      <c r="AR76" t="s">
        <v>189</v>
      </c>
      <c r="AS76" t="s">
        <v>190</v>
      </c>
      <c r="AT76" t="s">
        <v>99</v>
      </c>
      <c r="AU76">
        <v>2023</v>
      </c>
      <c r="AV76">
        <v>26</v>
      </c>
      <c r="AW76">
        <v>1</v>
      </c>
      <c r="AX76" t="s">
        <v>74</v>
      </c>
      <c r="AY76" t="s">
        <v>74</v>
      </c>
      <c r="AZ76" t="s">
        <v>74</v>
      </c>
      <c r="BA76" t="s">
        <v>74</v>
      </c>
      <c r="BB76">
        <v>581</v>
      </c>
      <c r="BC76">
        <v>590</v>
      </c>
      <c r="BD76" t="s">
        <v>74</v>
      </c>
      <c r="BE76" t="s">
        <v>1519</v>
      </c>
      <c r="BF76" t="str">
        <f>HYPERLINK("http://dx.doi.org/10.1080/10942912.2023.2173229","http://dx.doi.org/10.1080/10942912.2023.2173229")</f>
        <v>http://dx.doi.org/10.1080/10942912.2023.2173229</v>
      </c>
      <c r="BG76" t="s">
        <v>74</v>
      </c>
      <c r="BH76" t="s">
        <v>74</v>
      </c>
      <c r="BI76">
        <v>10</v>
      </c>
      <c r="BJ76" t="s">
        <v>192</v>
      </c>
      <c r="BK76" t="s">
        <v>102</v>
      </c>
      <c r="BL76" t="s">
        <v>192</v>
      </c>
      <c r="BM76" t="s">
        <v>1520</v>
      </c>
      <c r="BN76" t="s">
        <v>74</v>
      </c>
      <c r="BO76" t="s">
        <v>126</v>
      </c>
      <c r="BP76" t="s">
        <v>74</v>
      </c>
      <c r="BQ76" t="s">
        <v>74</v>
      </c>
      <c r="BR76" t="s">
        <v>105</v>
      </c>
      <c r="BS76" t="s">
        <v>1521</v>
      </c>
      <c r="BT76" t="str">
        <f>HYPERLINK("https%3A%2F%2Fwww.webofscience.com%2Fwos%2Fwoscc%2Ffull-record%2FWOS:000926050200001","View Full Record in Web of Science")</f>
        <v>View Full Record in Web of Science</v>
      </c>
    </row>
    <row r="77" spans="1:72" x14ac:dyDescent="0.15">
      <c r="A77" t="s">
        <v>72</v>
      </c>
      <c r="B77" t="s">
        <v>1522</v>
      </c>
      <c r="C77" t="s">
        <v>74</v>
      </c>
      <c r="D77" t="s">
        <v>74</v>
      </c>
      <c r="E77" t="s">
        <v>74</v>
      </c>
      <c r="F77" t="s">
        <v>1523</v>
      </c>
      <c r="G77" t="s">
        <v>74</v>
      </c>
      <c r="H77" t="s">
        <v>74</v>
      </c>
      <c r="I77" t="s">
        <v>1524</v>
      </c>
      <c r="J77" t="s">
        <v>1055</v>
      </c>
      <c r="K77" t="s">
        <v>74</v>
      </c>
      <c r="L77" t="s">
        <v>74</v>
      </c>
      <c r="M77" t="s">
        <v>78</v>
      </c>
      <c r="N77" t="s">
        <v>79</v>
      </c>
      <c r="O77" t="s">
        <v>74</v>
      </c>
      <c r="P77" t="s">
        <v>74</v>
      </c>
      <c r="Q77" t="s">
        <v>74</v>
      </c>
      <c r="R77" t="s">
        <v>74</v>
      </c>
      <c r="S77" t="s">
        <v>74</v>
      </c>
      <c r="T77" t="s">
        <v>1525</v>
      </c>
      <c r="U77" t="s">
        <v>1526</v>
      </c>
      <c r="V77" t="s">
        <v>1527</v>
      </c>
      <c r="W77" t="s">
        <v>1528</v>
      </c>
      <c r="X77" t="s">
        <v>1529</v>
      </c>
      <c r="Y77" t="s">
        <v>1530</v>
      </c>
      <c r="Z77" t="s">
        <v>1531</v>
      </c>
      <c r="AA77" t="s">
        <v>1532</v>
      </c>
      <c r="AB77" t="s">
        <v>1533</v>
      </c>
      <c r="AC77" t="s">
        <v>74</v>
      </c>
      <c r="AD77" t="s">
        <v>74</v>
      </c>
      <c r="AE77" t="s">
        <v>74</v>
      </c>
      <c r="AF77" t="s">
        <v>74</v>
      </c>
      <c r="AG77">
        <v>60</v>
      </c>
      <c r="AH77">
        <v>0</v>
      </c>
      <c r="AI77">
        <v>0</v>
      </c>
      <c r="AJ77">
        <v>1</v>
      </c>
      <c r="AK77">
        <v>1</v>
      </c>
      <c r="AL77" t="s">
        <v>92</v>
      </c>
      <c r="AM77" t="s">
        <v>93</v>
      </c>
      <c r="AN77" t="s">
        <v>94</v>
      </c>
      <c r="AO77" t="s">
        <v>1066</v>
      </c>
      <c r="AP77" t="s">
        <v>1067</v>
      </c>
      <c r="AQ77" t="s">
        <v>74</v>
      </c>
      <c r="AR77" t="s">
        <v>1068</v>
      </c>
      <c r="AS77" t="s">
        <v>1069</v>
      </c>
      <c r="AT77" t="s">
        <v>99</v>
      </c>
      <c r="AU77">
        <v>2023</v>
      </c>
      <c r="AV77">
        <v>22</v>
      </c>
      <c r="AW77">
        <v>1</v>
      </c>
      <c r="AX77" t="s">
        <v>74</v>
      </c>
      <c r="AY77" t="s">
        <v>74</v>
      </c>
      <c r="AZ77" t="s">
        <v>74</v>
      </c>
      <c r="BA77" t="s">
        <v>74</v>
      </c>
      <c r="BB77">
        <v>784</v>
      </c>
      <c r="BC77">
        <v>797</v>
      </c>
      <c r="BD77" t="s">
        <v>74</v>
      </c>
      <c r="BE77" t="s">
        <v>1534</v>
      </c>
      <c r="BF77" t="str">
        <f>HYPERLINK("http://dx.doi.org/10.1080/1828051X.2023.2241489","http://dx.doi.org/10.1080/1828051X.2023.2241489")</f>
        <v>http://dx.doi.org/10.1080/1828051X.2023.2241489</v>
      </c>
      <c r="BG77" t="s">
        <v>74</v>
      </c>
      <c r="BH77" t="s">
        <v>74</v>
      </c>
      <c r="BI77">
        <v>14</v>
      </c>
      <c r="BJ77" t="s">
        <v>1071</v>
      </c>
      <c r="BK77" t="s">
        <v>102</v>
      </c>
      <c r="BL77" t="s">
        <v>1072</v>
      </c>
      <c r="BM77" t="s">
        <v>1535</v>
      </c>
      <c r="BN77" t="s">
        <v>74</v>
      </c>
      <c r="BO77" t="s">
        <v>1196</v>
      </c>
      <c r="BP77" t="s">
        <v>74</v>
      </c>
      <c r="BQ77" t="s">
        <v>74</v>
      </c>
      <c r="BR77" t="s">
        <v>105</v>
      </c>
      <c r="BS77" t="s">
        <v>1536</v>
      </c>
      <c r="BT77" t="str">
        <f>HYPERLINK("https%3A%2F%2Fwww.webofscience.com%2Fwos%2Fwoscc%2Ffull-record%2FWOS:001049019400001","View Full Record in Web of Science")</f>
        <v>View Full Record in Web of Science</v>
      </c>
    </row>
    <row r="78" spans="1:72" x14ac:dyDescent="0.15">
      <c r="A78" t="s">
        <v>72</v>
      </c>
      <c r="B78" t="s">
        <v>1537</v>
      </c>
      <c r="C78" t="s">
        <v>74</v>
      </c>
      <c r="D78" t="s">
        <v>74</v>
      </c>
      <c r="E78" t="s">
        <v>74</v>
      </c>
      <c r="F78" t="s">
        <v>1538</v>
      </c>
      <c r="G78" t="s">
        <v>74</v>
      </c>
      <c r="H78" t="s">
        <v>74</v>
      </c>
      <c r="I78" t="s">
        <v>1539</v>
      </c>
      <c r="J78" t="s">
        <v>1540</v>
      </c>
      <c r="K78" t="s">
        <v>74</v>
      </c>
      <c r="L78" t="s">
        <v>74</v>
      </c>
      <c r="M78" t="s">
        <v>78</v>
      </c>
      <c r="N78" t="s">
        <v>79</v>
      </c>
      <c r="O78" t="s">
        <v>74</v>
      </c>
      <c r="P78" t="s">
        <v>74</v>
      </c>
      <c r="Q78" t="s">
        <v>74</v>
      </c>
      <c r="R78" t="s">
        <v>74</v>
      </c>
      <c r="S78" t="s">
        <v>74</v>
      </c>
      <c r="T78" t="s">
        <v>74</v>
      </c>
      <c r="U78" t="s">
        <v>1541</v>
      </c>
      <c r="V78" t="s">
        <v>1542</v>
      </c>
      <c r="W78" t="s">
        <v>1543</v>
      </c>
      <c r="X78" t="s">
        <v>1544</v>
      </c>
      <c r="Y78" t="s">
        <v>1545</v>
      </c>
      <c r="Z78" t="s">
        <v>1546</v>
      </c>
      <c r="AA78" t="s">
        <v>74</v>
      </c>
      <c r="AB78" t="s">
        <v>74</v>
      </c>
      <c r="AC78" t="s">
        <v>1547</v>
      </c>
      <c r="AD78" t="s">
        <v>1548</v>
      </c>
      <c r="AE78" t="s">
        <v>1549</v>
      </c>
      <c r="AF78" t="s">
        <v>74</v>
      </c>
      <c r="AG78">
        <v>30</v>
      </c>
      <c r="AH78">
        <v>0</v>
      </c>
      <c r="AI78">
        <v>0</v>
      </c>
      <c r="AJ78">
        <v>16</v>
      </c>
      <c r="AK78">
        <v>16</v>
      </c>
      <c r="AL78" t="s">
        <v>184</v>
      </c>
      <c r="AM78" t="s">
        <v>185</v>
      </c>
      <c r="AN78" t="s">
        <v>186</v>
      </c>
      <c r="AO78" t="s">
        <v>1550</v>
      </c>
      <c r="AP78" t="s">
        <v>1551</v>
      </c>
      <c r="AQ78" t="s">
        <v>74</v>
      </c>
      <c r="AR78" t="s">
        <v>1552</v>
      </c>
      <c r="AS78" t="s">
        <v>1553</v>
      </c>
      <c r="AT78" t="s">
        <v>99</v>
      </c>
      <c r="AU78">
        <v>2023</v>
      </c>
      <c r="AV78">
        <v>37</v>
      </c>
      <c r="AW78">
        <v>1</v>
      </c>
      <c r="AX78" t="s">
        <v>74</v>
      </c>
      <c r="AY78" t="s">
        <v>74</v>
      </c>
      <c r="AZ78" t="s">
        <v>74</v>
      </c>
      <c r="BA78" t="s">
        <v>74</v>
      </c>
      <c r="BB78" t="s">
        <v>74</v>
      </c>
      <c r="BC78" t="s">
        <v>74</v>
      </c>
      <c r="BD78">
        <v>2204262</v>
      </c>
      <c r="BE78" t="s">
        <v>1554</v>
      </c>
      <c r="BF78" t="str">
        <f>HYPERLINK("http://dx.doi.org/10.1080/08839514.2023.2204262","http://dx.doi.org/10.1080/08839514.2023.2204262")</f>
        <v>http://dx.doi.org/10.1080/08839514.2023.2204262</v>
      </c>
      <c r="BG78" t="s">
        <v>74</v>
      </c>
      <c r="BH78" t="s">
        <v>74</v>
      </c>
      <c r="BI78">
        <v>19</v>
      </c>
      <c r="BJ78" t="s">
        <v>1555</v>
      </c>
      <c r="BK78" t="s">
        <v>102</v>
      </c>
      <c r="BL78" t="s">
        <v>1556</v>
      </c>
      <c r="BM78" t="s">
        <v>1557</v>
      </c>
      <c r="BN78" t="s">
        <v>74</v>
      </c>
      <c r="BO78" t="s">
        <v>126</v>
      </c>
      <c r="BP78" t="s">
        <v>74</v>
      </c>
      <c r="BQ78" t="s">
        <v>74</v>
      </c>
      <c r="BR78" t="s">
        <v>105</v>
      </c>
      <c r="BS78" t="s">
        <v>1558</v>
      </c>
      <c r="BT78" t="str">
        <f>HYPERLINK("https%3A%2F%2Fwww.webofscience.com%2Fwos%2Fwoscc%2Ffull-record%2FWOS:000974700200001","View Full Record in Web of Science")</f>
        <v>View Full Record in Web of Science</v>
      </c>
    </row>
    <row r="79" spans="1:72" x14ac:dyDescent="0.15">
      <c r="A79" t="s">
        <v>72</v>
      </c>
      <c r="B79" t="s">
        <v>1559</v>
      </c>
      <c r="C79" t="s">
        <v>74</v>
      </c>
      <c r="D79" t="s">
        <v>74</v>
      </c>
      <c r="E79" t="s">
        <v>74</v>
      </c>
      <c r="F79" t="s">
        <v>1560</v>
      </c>
      <c r="G79" t="s">
        <v>74</v>
      </c>
      <c r="H79" t="s">
        <v>74</v>
      </c>
      <c r="I79" t="s">
        <v>1561</v>
      </c>
      <c r="J79" t="s">
        <v>198</v>
      </c>
      <c r="K79" t="s">
        <v>74</v>
      </c>
      <c r="L79" t="s">
        <v>74</v>
      </c>
      <c r="M79" t="s">
        <v>78</v>
      </c>
      <c r="N79" t="s">
        <v>79</v>
      </c>
      <c r="O79" t="s">
        <v>74</v>
      </c>
      <c r="P79" t="s">
        <v>74</v>
      </c>
      <c r="Q79" t="s">
        <v>74</v>
      </c>
      <c r="R79" t="s">
        <v>74</v>
      </c>
      <c r="S79" t="s">
        <v>74</v>
      </c>
      <c r="T79" t="s">
        <v>1562</v>
      </c>
      <c r="U79" t="s">
        <v>1563</v>
      </c>
      <c r="V79" t="s">
        <v>1564</v>
      </c>
      <c r="W79" t="s">
        <v>1565</v>
      </c>
      <c r="X79" t="s">
        <v>1566</v>
      </c>
      <c r="Y79" t="s">
        <v>1567</v>
      </c>
      <c r="Z79" t="s">
        <v>1568</v>
      </c>
      <c r="AA79" t="s">
        <v>74</v>
      </c>
      <c r="AB79" t="s">
        <v>74</v>
      </c>
      <c r="AC79" t="s">
        <v>74</v>
      </c>
      <c r="AD79" t="s">
        <v>74</v>
      </c>
      <c r="AE79" t="s">
        <v>74</v>
      </c>
      <c r="AF79" t="s">
        <v>74</v>
      </c>
      <c r="AG79">
        <v>35</v>
      </c>
      <c r="AH79">
        <v>0</v>
      </c>
      <c r="AI79">
        <v>0</v>
      </c>
      <c r="AJ79">
        <v>2</v>
      </c>
      <c r="AK79">
        <v>2</v>
      </c>
      <c r="AL79" t="s">
        <v>92</v>
      </c>
      <c r="AM79" t="s">
        <v>93</v>
      </c>
      <c r="AN79" t="s">
        <v>94</v>
      </c>
      <c r="AO79" t="s">
        <v>74</v>
      </c>
      <c r="AP79" t="s">
        <v>206</v>
      </c>
      <c r="AQ79" t="s">
        <v>74</v>
      </c>
      <c r="AR79" t="s">
        <v>207</v>
      </c>
      <c r="AS79" t="s">
        <v>208</v>
      </c>
      <c r="AT79" t="s">
        <v>99</v>
      </c>
      <c r="AU79">
        <v>2023</v>
      </c>
      <c r="AV79">
        <v>39</v>
      </c>
      <c r="AW79">
        <v>1</v>
      </c>
      <c r="AX79" t="s">
        <v>74</v>
      </c>
      <c r="AY79" t="s">
        <v>74</v>
      </c>
      <c r="AZ79" t="s">
        <v>74</v>
      </c>
      <c r="BA79" t="s">
        <v>74</v>
      </c>
      <c r="BB79">
        <v>468</v>
      </c>
      <c r="BC79">
        <v>476</v>
      </c>
      <c r="BD79" t="s">
        <v>74</v>
      </c>
      <c r="BE79" t="s">
        <v>1569</v>
      </c>
      <c r="BF79" t="str">
        <f>HYPERLINK("http://dx.doi.org/10.1080/11101849.2023.2223829","http://dx.doi.org/10.1080/11101849.2023.2223829")</f>
        <v>http://dx.doi.org/10.1080/11101849.2023.2223829</v>
      </c>
      <c r="BG79" t="s">
        <v>74</v>
      </c>
      <c r="BH79" t="s">
        <v>74</v>
      </c>
      <c r="BI79">
        <v>9</v>
      </c>
      <c r="BJ79" t="s">
        <v>210</v>
      </c>
      <c r="BK79" t="s">
        <v>211</v>
      </c>
      <c r="BL79" t="s">
        <v>210</v>
      </c>
      <c r="BM79" t="s">
        <v>1570</v>
      </c>
      <c r="BN79" t="s">
        <v>74</v>
      </c>
      <c r="BO79" t="s">
        <v>126</v>
      </c>
      <c r="BP79" t="s">
        <v>74</v>
      </c>
      <c r="BQ79" t="s">
        <v>74</v>
      </c>
      <c r="BR79" t="s">
        <v>105</v>
      </c>
      <c r="BS79" t="s">
        <v>1571</v>
      </c>
      <c r="BT79" t="str">
        <f>HYPERLINK("https%3A%2F%2Fwww.webofscience.com%2Fwos%2Fwoscc%2Ffull-record%2FWOS:001010115300001","View Full Record in Web of Science")</f>
        <v>View Full Record in Web of Science</v>
      </c>
    </row>
    <row r="80" spans="1:72" x14ac:dyDescent="0.15">
      <c r="A80" t="s">
        <v>72</v>
      </c>
      <c r="B80" t="s">
        <v>1572</v>
      </c>
      <c r="C80" t="s">
        <v>74</v>
      </c>
      <c r="D80" t="s">
        <v>74</v>
      </c>
      <c r="E80" t="s">
        <v>74</v>
      </c>
      <c r="F80" t="s">
        <v>1573</v>
      </c>
      <c r="G80" t="s">
        <v>74</v>
      </c>
      <c r="H80" t="s">
        <v>74</v>
      </c>
      <c r="I80" t="s">
        <v>1574</v>
      </c>
      <c r="J80" t="s">
        <v>1575</v>
      </c>
      <c r="K80" t="s">
        <v>74</v>
      </c>
      <c r="L80" t="s">
        <v>74</v>
      </c>
      <c r="M80" t="s">
        <v>78</v>
      </c>
      <c r="N80" t="s">
        <v>79</v>
      </c>
      <c r="O80" t="s">
        <v>74</v>
      </c>
      <c r="P80" t="s">
        <v>74</v>
      </c>
      <c r="Q80" t="s">
        <v>74</v>
      </c>
      <c r="R80" t="s">
        <v>74</v>
      </c>
      <c r="S80" t="s">
        <v>74</v>
      </c>
      <c r="T80" t="s">
        <v>1576</v>
      </c>
      <c r="U80" t="s">
        <v>1577</v>
      </c>
      <c r="V80" t="s">
        <v>1578</v>
      </c>
      <c r="W80" t="s">
        <v>1579</v>
      </c>
      <c r="X80" t="s">
        <v>1580</v>
      </c>
      <c r="Y80" t="s">
        <v>1581</v>
      </c>
      <c r="Z80" t="s">
        <v>1582</v>
      </c>
      <c r="AA80" t="s">
        <v>1583</v>
      </c>
      <c r="AB80" t="s">
        <v>1584</v>
      </c>
      <c r="AC80" t="s">
        <v>1585</v>
      </c>
      <c r="AD80" t="s">
        <v>1586</v>
      </c>
      <c r="AE80" t="s">
        <v>1587</v>
      </c>
      <c r="AF80" t="s">
        <v>74</v>
      </c>
      <c r="AG80">
        <v>72</v>
      </c>
      <c r="AH80">
        <v>1</v>
      </c>
      <c r="AI80">
        <v>1</v>
      </c>
      <c r="AJ80">
        <v>62</v>
      </c>
      <c r="AK80">
        <v>62</v>
      </c>
      <c r="AL80" t="s">
        <v>92</v>
      </c>
      <c r="AM80" t="s">
        <v>93</v>
      </c>
      <c r="AN80" t="s">
        <v>94</v>
      </c>
      <c r="AO80" t="s">
        <v>1588</v>
      </c>
      <c r="AP80" t="s">
        <v>1589</v>
      </c>
      <c r="AQ80" t="s">
        <v>74</v>
      </c>
      <c r="AR80" t="s">
        <v>1590</v>
      </c>
      <c r="AS80" t="s">
        <v>1591</v>
      </c>
      <c r="AT80" t="s">
        <v>99</v>
      </c>
      <c r="AU80">
        <v>2023</v>
      </c>
      <c r="AV80">
        <v>24</v>
      </c>
      <c r="AW80">
        <v>1</v>
      </c>
      <c r="AX80" t="s">
        <v>74</v>
      </c>
      <c r="AY80" t="s">
        <v>74</v>
      </c>
      <c r="AZ80" t="s">
        <v>74</v>
      </c>
      <c r="BA80" t="s">
        <v>74</v>
      </c>
      <c r="BB80" t="s">
        <v>74</v>
      </c>
      <c r="BC80" t="s">
        <v>74</v>
      </c>
      <c r="BD80">
        <v>2196242</v>
      </c>
      <c r="BE80" t="s">
        <v>1592</v>
      </c>
      <c r="BF80" t="str">
        <f>HYPERLINK("http://dx.doi.org/10.1080/14686996.2023.2196242","http://dx.doi.org/10.1080/14686996.2023.2196242")</f>
        <v>http://dx.doi.org/10.1080/14686996.2023.2196242</v>
      </c>
      <c r="BG80" t="s">
        <v>74</v>
      </c>
      <c r="BH80" t="s">
        <v>74</v>
      </c>
      <c r="BI80">
        <v>17</v>
      </c>
      <c r="BJ80" t="s">
        <v>1593</v>
      </c>
      <c r="BK80" t="s">
        <v>102</v>
      </c>
      <c r="BL80" t="s">
        <v>1594</v>
      </c>
      <c r="BM80" t="s">
        <v>1595</v>
      </c>
      <c r="BN80">
        <v>37065501</v>
      </c>
      <c r="BO80" t="s">
        <v>104</v>
      </c>
      <c r="BP80" t="s">
        <v>74</v>
      </c>
      <c r="BQ80" t="s">
        <v>74</v>
      </c>
      <c r="BR80" t="s">
        <v>105</v>
      </c>
      <c r="BS80" t="s">
        <v>1596</v>
      </c>
      <c r="BT80" t="str">
        <f>HYPERLINK("https%3A%2F%2Fwww.webofscience.com%2Fwos%2Fwoscc%2Ffull-record%2FWOS:000968915400001","View Full Record in Web of Science")</f>
        <v>View Full Record in Web of Science</v>
      </c>
    </row>
    <row r="81" spans="1:72" x14ac:dyDescent="0.15">
      <c r="A81" t="s">
        <v>72</v>
      </c>
      <c r="B81" t="s">
        <v>1597</v>
      </c>
      <c r="C81" t="s">
        <v>74</v>
      </c>
      <c r="D81" t="s">
        <v>74</v>
      </c>
      <c r="E81" t="s">
        <v>74</v>
      </c>
      <c r="F81" t="s">
        <v>1598</v>
      </c>
      <c r="G81" t="s">
        <v>74</v>
      </c>
      <c r="H81" t="s">
        <v>74</v>
      </c>
      <c r="I81" t="s">
        <v>1599</v>
      </c>
      <c r="J81" t="s">
        <v>1294</v>
      </c>
      <c r="K81" t="s">
        <v>74</v>
      </c>
      <c r="L81" t="s">
        <v>74</v>
      </c>
      <c r="M81" t="s">
        <v>78</v>
      </c>
      <c r="N81" t="s">
        <v>79</v>
      </c>
      <c r="O81" t="s">
        <v>74</v>
      </c>
      <c r="P81" t="s">
        <v>74</v>
      </c>
      <c r="Q81" t="s">
        <v>74</v>
      </c>
      <c r="R81" t="s">
        <v>74</v>
      </c>
      <c r="S81" t="s">
        <v>74</v>
      </c>
      <c r="T81" t="s">
        <v>1600</v>
      </c>
      <c r="U81" t="s">
        <v>1601</v>
      </c>
      <c r="V81" t="s">
        <v>1602</v>
      </c>
      <c r="W81" t="s">
        <v>1603</v>
      </c>
      <c r="X81" t="s">
        <v>1604</v>
      </c>
      <c r="Y81" t="s">
        <v>1605</v>
      </c>
      <c r="Z81" t="s">
        <v>1606</v>
      </c>
      <c r="AA81" t="s">
        <v>74</v>
      </c>
      <c r="AB81" t="s">
        <v>74</v>
      </c>
      <c r="AC81" t="s">
        <v>74</v>
      </c>
      <c r="AD81" t="s">
        <v>74</v>
      </c>
      <c r="AE81" t="s">
        <v>74</v>
      </c>
      <c r="AF81" t="s">
        <v>74</v>
      </c>
      <c r="AG81">
        <v>50</v>
      </c>
      <c r="AH81">
        <v>0</v>
      </c>
      <c r="AI81">
        <v>0</v>
      </c>
      <c r="AJ81">
        <v>2</v>
      </c>
      <c r="AK81">
        <v>2</v>
      </c>
      <c r="AL81" t="s">
        <v>92</v>
      </c>
      <c r="AM81" t="s">
        <v>93</v>
      </c>
      <c r="AN81" t="s">
        <v>94</v>
      </c>
      <c r="AO81" t="s">
        <v>1304</v>
      </c>
      <c r="AP81" t="s">
        <v>1305</v>
      </c>
      <c r="AQ81" t="s">
        <v>74</v>
      </c>
      <c r="AR81" t="s">
        <v>1306</v>
      </c>
      <c r="AS81" t="s">
        <v>1307</v>
      </c>
      <c r="AT81" t="s">
        <v>99</v>
      </c>
      <c r="AU81">
        <v>2023</v>
      </c>
      <c r="AV81">
        <v>61</v>
      </c>
      <c r="AW81">
        <v>1</v>
      </c>
      <c r="AX81" t="s">
        <v>74</v>
      </c>
      <c r="AY81" t="s">
        <v>74</v>
      </c>
      <c r="AZ81" t="s">
        <v>74</v>
      </c>
      <c r="BA81" t="s">
        <v>74</v>
      </c>
      <c r="BB81">
        <v>1462</v>
      </c>
      <c r="BC81">
        <v>1473</v>
      </c>
      <c r="BD81" t="s">
        <v>74</v>
      </c>
      <c r="BE81" t="s">
        <v>1607</v>
      </c>
      <c r="BF81" t="str">
        <f>HYPERLINK("http://dx.doi.org/10.1080/13880209.2023.2254341","http://dx.doi.org/10.1080/13880209.2023.2254341")</f>
        <v>http://dx.doi.org/10.1080/13880209.2023.2254341</v>
      </c>
      <c r="BG81" t="s">
        <v>74</v>
      </c>
      <c r="BH81" t="s">
        <v>74</v>
      </c>
      <c r="BI81">
        <v>12</v>
      </c>
      <c r="BJ81" t="s">
        <v>1309</v>
      </c>
      <c r="BK81" t="s">
        <v>102</v>
      </c>
      <c r="BL81" t="s">
        <v>1309</v>
      </c>
      <c r="BM81" t="s">
        <v>1608</v>
      </c>
      <c r="BN81">
        <v>37691404</v>
      </c>
      <c r="BO81" t="s">
        <v>74</v>
      </c>
      <c r="BP81" t="s">
        <v>74</v>
      </c>
      <c r="BQ81" t="s">
        <v>74</v>
      </c>
      <c r="BR81" t="s">
        <v>105</v>
      </c>
      <c r="BS81" t="s">
        <v>1609</v>
      </c>
      <c r="BT81" t="str">
        <f>HYPERLINK("https%3A%2F%2Fwww.webofscience.com%2Fwos%2Fwoscc%2Ffull-record%2FWOS:001066246300001","View Full Record in Web of Science")</f>
        <v>View Full Record in Web of Science</v>
      </c>
    </row>
    <row r="82" spans="1:72" x14ac:dyDescent="0.15">
      <c r="A82" t="s">
        <v>72</v>
      </c>
      <c r="B82" t="s">
        <v>1610</v>
      </c>
      <c r="C82" t="s">
        <v>74</v>
      </c>
      <c r="D82" t="s">
        <v>74</v>
      </c>
      <c r="E82" t="s">
        <v>74</v>
      </c>
      <c r="F82" t="s">
        <v>1611</v>
      </c>
      <c r="G82" t="s">
        <v>74</v>
      </c>
      <c r="H82" t="s">
        <v>74</v>
      </c>
      <c r="I82" t="s">
        <v>1612</v>
      </c>
      <c r="J82" t="s">
        <v>1613</v>
      </c>
      <c r="K82" t="s">
        <v>74</v>
      </c>
      <c r="L82" t="s">
        <v>74</v>
      </c>
      <c r="M82" t="s">
        <v>78</v>
      </c>
      <c r="N82" t="s">
        <v>79</v>
      </c>
      <c r="O82" t="s">
        <v>74</v>
      </c>
      <c r="P82" t="s">
        <v>74</v>
      </c>
      <c r="Q82" t="s">
        <v>74</v>
      </c>
      <c r="R82" t="s">
        <v>74</v>
      </c>
      <c r="S82" t="s">
        <v>74</v>
      </c>
      <c r="T82" t="s">
        <v>1614</v>
      </c>
      <c r="U82" t="s">
        <v>1615</v>
      </c>
      <c r="V82" t="s">
        <v>1616</v>
      </c>
      <c r="W82" t="s">
        <v>1617</v>
      </c>
      <c r="X82" t="s">
        <v>1618</v>
      </c>
      <c r="Y82" t="s">
        <v>1619</v>
      </c>
      <c r="Z82" t="s">
        <v>1620</v>
      </c>
      <c r="AA82" t="s">
        <v>74</v>
      </c>
      <c r="AB82" t="s">
        <v>74</v>
      </c>
      <c r="AC82" t="s">
        <v>74</v>
      </c>
      <c r="AD82" t="s">
        <v>74</v>
      </c>
      <c r="AE82" t="s">
        <v>74</v>
      </c>
      <c r="AF82" t="s">
        <v>74</v>
      </c>
      <c r="AG82">
        <v>59</v>
      </c>
      <c r="AH82">
        <v>0</v>
      </c>
      <c r="AI82">
        <v>0</v>
      </c>
      <c r="AJ82">
        <v>5</v>
      </c>
      <c r="AK82">
        <v>5</v>
      </c>
      <c r="AL82" t="s">
        <v>184</v>
      </c>
      <c r="AM82" t="s">
        <v>185</v>
      </c>
      <c r="AN82" t="s">
        <v>186</v>
      </c>
      <c r="AO82" t="s">
        <v>1621</v>
      </c>
      <c r="AP82" t="s">
        <v>1622</v>
      </c>
      <c r="AQ82" t="s">
        <v>74</v>
      </c>
      <c r="AR82" t="s">
        <v>1613</v>
      </c>
      <c r="AS82" t="s">
        <v>1623</v>
      </c>
      <c r="AT82" t="s">
        <v>99</v>
      </c>
      <c r="AU82">
        <v>2023</v>
      </c>
      <c r="AV82">
        <v>15</v>
      </c>
      <c r="AW82">
        <v>1</v>
      </c>
      <c r="AX82" t="s">
        <v>74</v>
      </c>
      <c r="AY82" t="s">
        <v>74</v>
      </c>
      <c r="AZ82" t="s">
        <v>74</v>
      </c>
      <c r="BA82" t="s">
        <v>74</v>
      </c>
      <c r="BB82" t="s">
        <v>74</v>
      </c>
      <c r="BC82" t="s">
        <v>74</v>
      </c>
      <c r="BD82">
        <v>2241207</v>
      </c>
      <c r="BE82" t="s">
        <v>1624</v>
      </c>
      <c r="BF82" t="str">
        <f>HYPERLINK("http://dx.doi.org/10.1080/19490976.2023.2241207","http://dx.doi.org/10.1080/19490976.2023.2241207")</f>
        <v>http://dx.doi.org/10.1080/19490976.2023.2241207</v>
      </c>
      <c r="BG82" t="s">
        <v>74</v>
      </c>
      <c r="BH82" t="s">
        <v>74</v>
      </c>
      <c r="BI82">
        <v>15</v>
      </c>
      <c r="BJ82" t="s">
        <v>1625</v>
      </c>
      <c r="BK82" t="s">
        <v>102</v>
      </c>
      <c r="BL82" t="s">
        <v>1625</v>
      </c>
      <c r="BM82" t="s">
        <v>1626</v>
      </c>
      <c r="BN82">
        <v>37530428</v>
      </c>
      <c r="BO82" t="s">
        <v>165</v>
      </c>
      <c r="BP82" t="s">
        <v>74</v>
      </c>
      <c r="BQ82" t="s">
        <v>74</v>
      </c>
      <c r="BR82" t="s">
        <v>105</v>
      </c>
      <c r="BS82" t="s">
        <v>1627</v>
      </c>
      <c r="BT82" t="str">
        <f>HYPERLINK("https%3A%2F%2Fwww.webofscience.com%2Fwos%2Fwoscc%2Ffull-record%2FWOS:001039476600001","View Full Record in Web of Science")</f>
        <v>View Full Record in Web of Science</v>
      </c>
    </row>
    <row r="83" spans="1:72" x14ac:dyDescent="0.15">
      <c r="A83" t="s">
        <v>72</v>
      </c>
      <c r="B83" t="s">
        <v>1628</v>
      </c>
      <c r="C83" t="s">
        <v>74</v>
      </c>
      <c r="D83" t="s">
        <v>74</v>
      </c>
      <c r="E83" t="s">
        <v>74</v>
      </c>
      <c r="F83" t="s">
        <v>1629</v>
      </c>
      <c r="G83" t="s">
        <v>74</v>
      </c>
      <c r="H83" t="s">
        <v>74</v>
      </c>
      <c r="I83" t="s">
        <v>1630</v>
      </c>
      <c r="J83" t="s">
        <v>217</v>
      </c>
      <c r="K83" t="s">
        <v>74</v>
      </c>
      <c r="L83" t="s">
        <v>74</v>
      </c>
      <c r="M83" t="s">
        <v>78</v>
      </c>
      <c r="N83" t="s">
        <v>171</v>
      </c>
      <c r="O83" t="s">
        <v>74</v>
      </c>
      <c r="P83" t="s">
        <v>74</v>
      </c>
      <c r="Q83" t="s">
        <v>74</v>
      </c>
      <c r="R83" t="s">
        <v>74</v>
      </c>
      <c r="S83" t="s">
        <v>74</v>
      </c>
      <c r="T83" t="s">
        <v>1631</v>
      </c>
      <c r="U83" t="s">
        <v>200</v>
      </c>
      <c r="V83" t="s">
        <v>1632</v>
      </c>
      <c r="W83" t="s">
        <v>1633</v>
      </c>
      <c r="X83" t="s">
        <v>1634</v>
      </c>
      <c r="Y83" t="s">
        <v>1635</v>
      </c>
      <c r="Z83" t="s">
        <v>1636</v>
      </c>
      <c r="AA83" t="s">
        <v>74</v>
      </c>
      <c r="AB83" t="s">
        <v>74</v>
      </c>
      <c r="AC83" t="s">
        <v>74</v>
      </c>
      <c r="AD83" t="s">
        <v>74</v>
      </c>
      <c r="AE83" t="s">
        <v>74</v>
      </c>
      <c r="AF83" t="s">
        <v>74</v>
      </c>
      <c r="AG83">
        <v>60</v>
      </c>
      <c r="AH83">
        <v>1</v>
      </c>
      <c r="AI83">
        <v>1</v>
      </c>
      <c r="AJ83">
        <v>0</v>
      </c>
      <c r="AK83">
        <v>0</v>
      </c>
      <c r="AL83" t="s">
        <v>92</v>
      </c>
      <c r="AM83" t="s">
        <v>93</v>
      </c>
      <c r="AN83" t="s">
        <v>94</v>
      </c>
      <c r="AO83" t="s">
        <v>226</v>
      </c>
      <c r="AP83" t="s">
        <v>227</v>
      </c>
      <c r="AQ83" t="s">
        <v>74</v>
      </c>
      <c r="AR83" t="s">
        <v>228</v>
      </c>
      <c r="AS83" t="s">
        <v>229</v>
      </c>
      <c r="AT83" t="s">
        <v>99</v>
      </c>
      <c r="AU83">
        <v>2023</v>
      </c>
      <c r="AV83">
        <v>82</v>
      </c>
      <c r="AW83">
        <v>1</v>
      </c>
      <c r="AX83" t="s">
        <v>74</v>
      </c>
      <c r="AY83" t="s">
        <v>74</v>
      </c>
      <c r="AZ83" t="s">
        <v>74</v>
      </c>
      <c r="BA83" t="s">
        <v>74</v>
      </c>
      <c r="BB83" t="s">
        <v>74</v>
      </c>
      <c r="BC83" t="s">
        <v>74</v>
      </c>
      <c r="BD83">
        <v>2189552</v>
      </c>
      <c r="BE83" t="s">
        <v>1637</v>
      </c>
      <c r="BF83" t="str">
        <f>HYPERLINK("http://dx.doi.org/10.1080/22423982.2023.2189552","http://dx.doi.org/10.1080/22423982.2023.2189552")</f>
        <v>http://dx.doi.org/10.1080/22423982.2023.2189552</v>
      </c>
      <c r="BG83" t="s">
        <v>74</v>
      </c>
      <c r="BH83" t="s">
        <v>74</v>
      </c>
      <c r="BI83">
        <v>15</v>
      </c>
      <c r="BJ83" t="s">
        <v>163</v>
      </c>
      <c r="BK83" t="s">
        <v>123</v>
      </c>
      <c r="BL83" t="s">
        <v>163</v>
      </c>
      <c r="BM83" t="s">
        <v>1638</v>
      </c>
      <c r="BN83">
        <v>36966492</v>
      </c>
      <c r="BO83" t="s">
        <v>165</v>
      </c>
      <c r="BP83" t="s">
        <v>74</v>
      </c>
      <c r="BQ83" t="s">
        <v>74</v>
      </c>
      <c r="BR83" t="s">
        <v>105</v>
      </c>
      <c r="BS83" t="s">
        <v>1639</v>
      </c>
      <c r="BT83" t="str">
        <f>HYPERLINK("https%3A%2F%2Fwww.webofscience.com%2Fwos%2Fwoscc%2Ffull-record%2FWOS:000952542100001","View Full Record in Web of Science")</f>
        <v>View Full Record in Web of Science</v>
      </c>
    </row>
    <row r="84" spans="1:72" x14ac:dyDescent="0.15">
      <c r="A84" t="s">
        <v>72</v>
      </c>
      <c r="B84" t="s">
        <v>1640</v>
      </c>
      <c r="C84" t="s">
        <v>74</v>
      </c>
      <c r="D84" t="s">
        <v>74</v>
      </c>
      <c r="E84" t="s">
        <v>74</v>
      </c>
      <c r="F84" t="s">
        <v>1641</v>
      </c>
      <c r="G84" t="s">
        <v>74</v>
      </c>
      <c r="H84" t="s">
        <v>74</v>
      </c>
      <c r="I84" t="s">
        <v>1642</v>
      </c>
      <c r="J84" t="s">
        <v>1493</v>
      </c>
      <c r="K84" t="s">
        <v>74</v>
      </c>
      <c r="L84" t="s">
        <v>74</v>
      </c>
      <c r="M84" t="s">
        <v>78</v>
      </c>
      <c r="N84" t="s">
        <v>171</v>
      </c>
      <c r="O84" t="s">
        <v>74</v>
      </c>
      <c r="P84" t="s">
        <v>74</v>
      </c>
      <c r="Q84" t="s">
        <v>74</v>
      </c>
      <c r="R84" t="s">
        <v>74</v>
      </c>
      <c r="S84" t="s">
        <v>74</v>
      </c>
      <c r="T84" t="s">
        <v>1643</v>
      </c>
      <c r="U84" t="s">
        <v>1644</v>
      </c>
      <c r="V84" t="s">
        <v>1645</v>
      </c>
      <c r="W84" t="s">
        <v>1646</v>
      </c>
      <c r="X84" t="s">
        <v>1647</v>
      </c>
      <c r="Y84" t="s">
        <v>1648</v>
      </c>
      <c r="Z84" t="s">
        <v>1649</v>
      </c>
      <c r="AA84" t="s">
        <v>74</v>
      </c>
      <c r="AB84" t="s">
        <v>74</v>
      </c>
      <c r="AC84" t="s">
        <v>1650</v>
      </c>
      <c r="AD84" t="s">
        <v>1651</v>
      </c>
      <c r="AE84" t="s">
        <v>1652</v>
      </c>
      <c r="AF84" t="s">
        <v>74</v>
      </c>
      <c r="AG84">
        <v>63</v>
      </c>
      <c r="AH84">
        <v>0</v>
      </c>
      <c r="AI84">
        <v>0</v>
      </c>
      <c r="AJ84">
        <v>8</v>
      </c>
      <c r="AK84">
        <v>8</v>
      </c>
      <c r="AL84" t="s">
        <v>92</v>
      </c>
      <c r="AM84" t="s">
        <v>93</v>
      </c>
      <c r="AN84" t="s">
        <v>94</v>
      </c>
      <c r="AO84" t="s">
        <v>74</v>
      </c>
      <c r="AP84" t="s">
        <v>1503</v>
      </c>
      <c r="AQ84" t="s">
        <v>74</v>
      </c>
      <c r="AR84" t="s">
        <v>1504</v>
      </c>
      <c r="AS84" t="s">
        <v>1505</v>
      </c>
      <c r="AT84" t="s">
        <v>99</v>
      </c>
      <c r="AU84">
        <v>2023</v>
      </c>
      <c r="AV84">
        <v>31</v>
      </c>
      <c r="AW84">
        <v>1</v>
      </c>
      <c r="AX84" t="s">
        <v>74</v>
      </c>
      <c r="AY84" t="s">
        <v>74</v>
      </c>
      <c r="AZ84" t="s">
        <v>74</v>
      </c>
      <c r="BA84" t="s">
        <v>74</v>
      </c>
      <c r="BB84" t="s">
        <v>74</v>
      </c>
      <c r="BC84" t="s">
        <v>74</v>
      </c>
      <c r="BD84">
        <v>2134629</v>
      </c>
      <c r="BE84" t="s">
        <v>1653</v>
      </c>
      <c r="BF84" t="str">
        <f>HYPERLINK("http://dx.doi.org/10.1080/26410397.2022.2134629","http://dx.doi.org/10.1080/26410397.2022.2134629")</f>
        <v>http://dx.doi.org/10.1080/26410397.2022.2134629</v>
      </c>
      <c r="BG84" t="s">
        <v>74</v>
      </c>
      <c r="BH84" t="s">
        <v>74</v>
      </c>
      <c r="BI84">
        <v>16</v>
      </c>
      <c r="BJ84" t="s">
        <v>163</v>
      </c>
      <c r="BK84" t="s">
        <v>272</v>
      </c>
      <c r="BL84" t="s">
        <v>163</v>
      </c>
      <c r="BM84" t="s">
        <v>1654</v>
      </c>
      <c r="BN84">
        <v>36811853</v>
      </c>
      <c r="BO84" t="s">
        <v>104</v>
      </c>
      <c r="BP84" t="s">
        <v>74</v>
      </c>
      <c r="BQ84" t="s">
        <v>74</v>
      </c>
      <c r="BR84" t="s">
        <v>105</v>
      </c>
      <c r="BS84" t="s">
        <v>1655</v>
      </c>
      <c r="BT84" t="str">
        <f>HYPERLINK("https%3A%2F%2Fwww.webofscience.com%2Fwos%2Fwoscc%2Ffull-record%2FWOS:000936423300001","View Full Record in Web of Science")</f>
        <v>View Full Record in Web of Science</v>
      </c>
    </row>
    <row r="85" spans="1:72" x14ac:dyDescent="0.15">
      <c r="A85" t="s">
        <v>72</v>
      </c>
      <c r="B85" t="s">
        <v>1656</v>
      </c>
      <c r="C85" t="s">
        <v>74</v>
      </c>
      <c r="D85" t="s">
        <v>74</v>
      </c>
      <c r="E85" t="s">
        <v>74</v>
      </c>
      <c r="F85" t="s">
        <v>1657</v>
      </c>
      <c r="G85" t="s">
        <v>74</v>
      </c>
      <c r="H85" t="s">
        <v>74</v>
      </c>
      <c r="I85" t="s">
        <v>1658</v>
      </c>
      <c r="J85" t="s">
        <v>648</v>
      </c>
      <c r="K85" t="s">
        <v>74</v>
      </c>
      <c r="L85" t="s">
        <v>74</v>
      </c>
      <c r="M85" t="s">
        <v>78</v>
      </c>
      <c r="N85" t="s">
        <v>79</v>
      </c>
      <c r="O85" t="s">
        <v>74</v>
      </c>
      <c r="P85" t="s">
        <v>74</v>
      </c>
      <c r="Q85" t="s">
        <v>74</v>
      </c>
      <c r="R85" t="s">
        <v>74</v>
      </c>
      <c r="S85" t="s">
        <v>74</v>
      </c>
      <c r="T85" t="s">
        <v>1659</v>
      </c>
      <c r="U85" t="s">
        <v>1660</v>
      </c>
      <c r="V85" t="s">
        <v>1661</v>
      </c>
      <c r="W85" t="s">
        <v>1662</v>
      </c>
      <c r="X85" t="s">
        <v>1663</v>
      </c>
      <c r="Y85" t="s">
        <v>1664</v>
      </c>
      <c r="Z85" t="s">
        <v>1665</v>
      </c>
      <c r="AA85" t="s">
        <v>74</v>
      </c>
      <c r="AB85" t="s">
        <v>1666</v>
      </c>
      <c r="AC85" t="s">
        <v>74</v>
      </c>
      <c r="AD85" t="s">
        <v>74</v>
      </c>
      <c r="AE85" t="s">
        <v>74</v>
      </c>
      <c r="AF85" t="s">
        <v>74</v>
      </c>
      <c r="AG85">
        <v>39</v>
      </c>
      <c r="AH85">
        <v>0</v>
      </c>
      <c r="AI85">
        <v>0</v>
      </c>
      <c r="AJ85">
        <v>8</v>
      </c>
      <c r="AK85">
        <v>12</v>
      </c>
      <c r="AL85" t="s">
        <v>92</v>
      </c>
      <c r="AM85" t="s">
        <v>93</v>
      </c>
      <c r="AN85" t="s">
        <v>94</v>
      </c>
      <c r="AO85" t="s">
        <v>658</v>
      </c>
      <c r="AP85" t="s">
        <v>659</v>
      </c>
      <c r="AQ85" t="s">
        <v>74</v>
      </c>
      <c r="AR85" t="s">
        <v>660</v>
      </c>
      <c r="AS85" t="s">
        <v>661</v>
      </c>
      <c r="AT85" t="s">
        <v>99</v>
      </c>
      <c r="AU85">
        <v>2023</v>
      </c>
      <c r="AV85">
        <v>18</v>
      </c>
      <c r="AW85">
        <v>1</v>
      </c>
      <c r="AX85" t="s">
        <v>74</v>
      </c>
      <c r="AY85" t="s">
        <v>74</v>
      </c>
      <c r="AZ85" t="s">
        <v>74</v>
      </c>
      <c r="BA85" t="s">
        <v>74</v>
      </c>
      <c r="BB85" t="s">
        <v>74</v>
      </c>
      <c r="BC85" t="s">
        <v>74</v>
      </c>
      <c r="BD85">
        <v>2174291</v>
      </c>
      <c r="BE85" t="s">
        <v>1667</v>
      </c>
      <c r="BF85" t="str">
        <f>HYPERLINK("http://dx.doi.org/10.1080/19932820.2023.2174291","http://dx.doi.org/10.1080/19932820.2023.2174291")</f>
        <v>http://dx.doi.org/10.1080/19932820.2023.2174291</v>
      </c>
      <c r="BG85" t="s">
        <v>74</v>
      </c>
      <c r="BH85" t="s">
        <v>74</v>
      </c>
      <c r="BI85">
        <v>10</v>
      </c>
      <c r="BJ85" t="s">
        <v>663</v>
      </c>
      <c r="BK85" t="s">
        <v>102</v>
      </c>
      <c r="BL85" t="s">
        <v>664</v>
      </c>
      <c r="BM85" t="s">
        <v>1668</v>
      </c>
      <c r="BN85">
        <v>36840952</v>
      </c>
      <c r="BO85" t="s">
        <v>104</v>
      </c>
      <c r="BP85" t="s">
        <v>74</v>
      </c>
      <c r="BQ85" t="s">
        <v>74</v>
      </c>
      <c r="BR85" t="s">
        <v>105</v>
      </c>
      <c r="BS85" t="s">
        <v>1669</v>
      </c>
      <c r="BT85" t="str">
        <f>HYPERLINK("https%3A%2F%2Fwww.webofscience.com%2Fwos%2Fwoscc%2Ffull-record%2FWOS:000939553600001","View Full Record in Web of Science")</f>
        <v>View Full Record in Web of Science</v>
      </c>
    </row>
    <row r="86" spans="1:72" x14ac:dyDescent="0.15">
      <c r="A86" t="s">
        <v>72</v>
      </c>
      <c r="B86" t="s">
        <v>1670</v>
      </c>
      <c r="C86" t="s">
        <v>74</v>
      </c>
      <c r="D86" t="s">
        <v>74</v>
      </c>
      <c r="E86" t="s">
        <v>74</v>
      </c>
      <c r="F86" t="s">
        <v>1671</v>
      </c>
      <c r="G86" t="s">
        <v>74</v>
      </c>
      <c r="H86" t="s">
        <v>74</v>
      </c>
      <c r="I86" t="s">
        <v>1672</v>
      </c>
      <c r="J86" t="s">
        <v>1673</v>
      </c>
      <c r="K86" t="s">
        <v>74</v>
      </c>
      <c r="L86" t="s">
        <v>74</v>
      </c>
      <c r="M86" t="s">
        <v>78</v>
      </c>
      <c r="N86" t="s">
        <v>79</v>
      </c>
      <c r="O86" t="s">
        <v>74</v>
      </c>
      <c r="P86" t="s">
        <v>74</v>
      </c>
      <c r="Q86" t="s">
        <v>74</v>
      </c>
      <c r="R86" t="s">
        <v>74</v>
      </c>
      <c r="S86" t="s">
        <v>74</v>
      </c>
      <c r="T86" t="s">
        <v>1674</v>
      </c>
      <c r="U86" t="s">
        <v>1675</v>
      </c>
      <c r="V86" t="s">
        <v>1676</v>
      </c>
      <c r="W86" t="s">
        <v>1677</v>
      </c>
      <c r="X86" t="s">
        <v>1678</v>
      </c>
      <c r="Y86" t="s">
        <v>1679</v>
      </c>
      <c r="Z86" t="s">
        <v>1680</v>
      </c>
      <c r="AA86" t="s">
        <v>74</v>
      </c>
      <c r="AB86" t="s">
        <v>1681</v>
      </c>
      <c r="AC86" t="s">
        <v>1682</v>
      </c>
      <c r="AD86" t="s">
        <v>1683</v>
      </c>
      <c r="AE86" t="s">
        <v>1684</v>
      </c>
      <c r="AF86" t="s">
        <v>74</v>
      </c>
      <c r="AG86">
        <v>42</v>
      </c>
      <c r="AH86">
        <v>0</v>
      </c>
      <c r="AI86">
        <v>0</v>
      </c>
      <c r="AJ86">
        <v>9</v>
      </c>
      <c r="AK86">
        <v>13</v>
      </c>
      <c r="AL86" t="s">
        <v>92</v>
      </c>
      <c r="AM86" t="s">
        <v>93</v>
      </c>
      <c r="AN86" t="s">
        <v>94</v>
      </c>
      <c r="AO86" t="s">
        <v>1685</v>
      </c>
      <c r="AP86" t="s">
        <v>1686</v>
      </c>
      <c r="AQ86" t="s">
        <v>74</v>
      </c>
      <c r="AR86" t="s">
        <v>1687</v>
      </c>
      <c r="AS86" t="s">
        <v>1688</v>
      </c>
      <c r="AT86" t="s">
        <v>99</v>
      </c>
      <c r="AU86">
        <v>2023</v>
      </c>
      <c r="AV86">
        <v>75</v>
      </c>
      <c r="AW86">
        <v>1</v>
      </c>
      <c r="AX86" t="s">
        <v>74</v>
      </c>
      <c r="AY86" t="s">
        <v>74</v>
      </c>
      <c r="AZ86" t="s">
        <v>74</v>
      </c>
      <c r="BA86" t="s">
        <v>74</v>
      </c>
      <c r="BB86" t="s">
        <v>74</v>
      </c>
      <c r="BC86" t="s">
        <v>74</v>
      </c>
      <c r="BD86">
        <v>2170280</v>
      </c>
      <c r="BE86" t="s">
        <v>1689</v>
      </c>
      <c r="BF86" t="str">
        <f>HYPERLINK("http://dx.doi.org/10.1080/00049530.2023.2170280","http://dx.doi.org/10.1080/00049530.2023.2170280")</f>
        <v>http://dx.doi.org/10.1080/00049530.2023.2170280</v>
      </c>
      <c r="BG86" t="s">
        <v>74</v>
      </c>
      <c r="BH86" t="s">
        <v>74</v>
      </c>
      <c r="BI86">
        <v>11</v>
      </c>
      <c r="BJ86" t="s">
        <v>1690</v>
      </c>
      <c r="BK86" t="s">
        <v>272</v>
      </c>
      <c r="BL86" t="s">
        <v>1691</v>
      </c>
      <c r="BM86" t="s">
        <v>1692</v>
      </c>
      <c r="BN86" t="s">
        <v>74</v>
      </c>
      <c r="BO86" t="s">
        <v>126</v>
      </c>
      <c r="BP86" t="s">
        <v>74</v>
      </c>
      <c r="BQ86" t="s">
        <v>74</v>
      </c>
      <c r="BR86" t="s">
        <v>105</v>
      </c>
      <c r="BS86" t="s">
        <v>1693</v>
      </c>
      <c r="BT86" t="str">
        <f>HYPERLINK("https%3A%2F%2Fwww.webofscience.com%2Fwos%2Fwoscc%2Ffull-record%2FWOS:000937777200001","View Full Record in Web of Science")</f>
        <v>View Full Record in Web of Science</v>
      </c>
    </row>
    <row r="87" spans="1:72" x14ac:dyDescent="0.15">
      <c r="A87" t="s">
        <v>72</v>
      </c>
      <c r="B87" t="s">
        <v>1694</v>
      </c>
      <c r="C87" t="s">
        <v>74</v>
      </c>
      <c r="D87" t="s">
        <v>74</v>
      </c>
      <c r="E87" t="s">
        <v>74</v>
      </c>
      <c r="F87" t="s">
        <v>1695</v>
      </c>
      <c r="G87" t="s">
        <v>74</v>
      </c>
      <c r="H87" t="s">
        <v>74</v>
      </c>
      <c r="I87" t="s">
        <v>1696</v>
      </c>
      <c r="J87" t="s">
        <v>871</v>
      </c>
      <c r="K87" t="s">
        <v>74</v>
      </c>
      <c r="L87" t="s">
        <v>74</v>
      </c>
      <c r="M87" t="s">
        <v>78</v>
      </c>
      <c r="N87" t="s">
        <v>1697</v>
      </c>
      <c r="O87" t="s">
        <v>74</v>
      </c>
      <c r="P87" t="s">
        <v>74</v>
      </c>
      <c r="Q87" t="s">
        <v>74</v>
      </c>
      <c r="R87" t="s">
        <v>74</v>
      </c>
      <c r="S87" t="s">
        <v>74</v>
      </c>
      <c r="T87" t="s">
        <v>74</v>
      </c>
      <c r="U87" t="s">
        <v>74</v>
      </c>
      <c r="V87" t="s">
        <v>74</v>
      </c>
      <c r="W87" t="s">
        <v>1698</v>
      </c>
      <c r="X87" t="s">
        <v>1699</v>
      </c>
      <c r="Y87" t="s">
        <v>1700</v>
      </c>
      <c r="Z87" t="s">
        <v>74</v>
      </c>
      <c r="AA87" t="s">
        <v>74</v>
      </c>
      <c r="AB87" t="s">
        <v>1701</v>
      </c>
      <c r="AC87" t="s">
        <v>74</v>
      </c>
      <c r="AD87" t="s">
        <v>74</v>
      </c>
      <c r="AE87" t="s">
        <v>74</v>
      </c>
      <c r="AF87" t="s">
        <v>74</v>
      </c>
      <c r="AG87">
        <v>6</v>
      </c>
      <c r="AH87">
        <v>0</v>
      </c>
      <c r="AI87">
        <v>0</v>
      </c>
      <c r="AJ87">
        <v>2</v>
      </c>
      <c r="AK87">
        <v>2</v>
      </c>
      <c r="AL87" t="s">
        <v>92</v>
      </c>
      <c r="AM87" t="s">
        <v>93</v>
      </c>
      <c r="AN87" t="s">
        <v>94</v>
      </c>
      <c r="AO87" t="s">
        <v>880</v>
      </c>
      <c r="AP87" t="s">
        <v>881</v>
      </c>
      <c r="AQ87" t="s">
        <v>74</v>
      </c>
      <c r="AR87" t="s">
        <v>882</v>
      </c>
      <c r="AS87" t="s">
        <v>883</v>
      </c>
      <c r="AT87" t="s">
        <v>99</v>
      </c>
      <c r="AU87">
        <v>2023</v>
      </c>
      <c r="AV87">
        <v>36</v>
      </c>
      <c r="AW87">
        <v>1</v>
      </c>
      <c r="AX87" t="s">
        <v>74</v>
      </c>
      <c r="AY87" t="s">
        <v>74</v>
      </c>
      <c r="AZ87" t="s">
        <v>74</v>
      </c>
      <c r="BA87" t="s">
        <v>74</v>
      </c>
      <c r="BB87" t="s">
        <v>74</v>
      </c>
      <c r="BC87" t="s">
        <v>74</v>
      </c>
      <c r="BD87">
        <v>2183758</v>
      </c>
      <c r="BE87" t="s">
        <v>1702</v>
      </c>
      <c r="BF87" t="str">
        <f>HYPERLINK("http://dx.doi.org/10.1080/14767058.2023.2183758","http://dx.doi.org/10.1080/14767058.2023.2183758")</f>
        <v>http://dx.doi.org/10.1080/14767058.2023.2183758</v>
      </c>
      <c r="BG87" t="s">
        <v>74</v>
      </c>
      <c r="BH87" t="s">
        <v>74</v>
      </c>
      <c r="BI87">
        <v>2</v>
      </c>
      <c r="BJ87" t="s">
        <v>885</v>
      </c>
      <c r="BK87" t="s">
        <v>102</v>
      </c>
      <c r="BL87" t="s">
        <v>885</v>
      </c>
      <c r="BM87" t="s">
        <v>1703</v>
      </c>
      <c r="BN87">
        <v>36860099</v>
      </c>
      <c r="BO87" t="s">
        <v>887</v>
      </c>
      <c r="BP87" t="s">
        <v>74</v>
      </c>
      <c r="BQ87" t="s">
        <v>74</v>
      </c>
      <c r="BR87" t="s">
        <v>105</v>
      </c>
      <c r="BS87" t="s">
        <v>1704</v>
      </c>
      <c r="BT87" t="str">
        <f>HYPERLINK("https%3A%2F%2Fwww.webofscience.com%2Fwos%2Fwoscc%2Ffull-record%2FWOS:000942601900001","View Full Record in Web of Science")</f>
        <v>View Full Record in Web of Science</v>
      </c>
    </row>
    <row r="88" spans="1:72" x14ac:dyDescent="0.15">
      <c r="A88" t="s">
        <v>72</v>
      </c>
      <c r="B88" t="s">
        <v>1705</v>
      </c>
      <c r="C88" t="s">
        <v>74</v>
      </c>
      <c r="D88" t="s">
        <v>74</v>
      </c>
      <c r="E88" t="s">
        <v>74</v>
      </c>
      <c r="F88" t="s">
        <v>1706</v>
      </c>
      <c r="G88" t="s">
        <v>74</v>
      </c>
      <c r="H88" t="s">
        <v>74</v>
      </c>
      <c r="I88" t="s">
        <v>1707</v>
      </c>
      <c r="J88" t="s">
        <v>1179</v>
      </c>
      <c r="K88" t="s">
        <v>74</v>
      </c>
      <c r="L88" t="s">
        <v>74</v>
      </c>
      <c r="M88" t="s">
        <v>78</v>
      </c>
      <c r="N88" t="s">
        <v>79</v>
      </c>
      <c r="O88" t="s">
        <v>74</v>
      </c>
      <c r="P88" t="s">
        <v>74</v>
      </c>
      <c r="Q88" t="s">
        <v>74</v>
      </c>
      <c r="R88" t="s">
        <v>74</v>
      </c>
      <c r="S88" t="s">
        <v>74</v>
      </c>
      <c r="T88" t="s">
        <v>1708</v>
      </c>
      <c r="U88" t="s">
        <v>1709</v>
      </c>
      <c r="V88" t="s">
        <v>1710</v>
      </c>
      <c r="W88" t="s">
        <v>1711</v>
      </c>
      <c r="X88" t="s">
        <v>1712</v>
      </c>
      <c r="Y88" t="s">
        <v>1713</v>
      </c>
      <c r="Z88" t="s">
        <v>1714</v>
      </c>
      <c r="AA88" t="s">
        <v>1715</v>
      </c>
      <c r="AB88" t="s">
        <v>1716</v>
      </c>
      <c r="AC88" t="s">
        <v>74</v>
      </c>
      <c r="AD88" t="s">
        <v>74</v>
      </c>
      <c r="AE88" t="s">
        <v>74</v>
      </c>
      <c r="AF88" t="s">
        <v>74</v>
      </c>
      <c r="AG88">
        <v>76</v>
      </c>
      <c r="AH88">
        <v>0</v>
      </c>
      <c r="AI88">
        <v>0</v>
      </c>
      <c r="AJ88">
        <v>4</v>
      </c>
      <c r="AK88">
        <v>4</v>
      </c>
      <c r="AL88" t="s">
        <v>1188</v>
      </c>
      <c r="AM88" t="s">
        <v>93</v>
      </c>
      <c r="AN88" t="s">
        <v>1189</v>
      </c>
      <c r="AO88" t="s">
        <v>1190</v>
      </c>
      <c r="AP88" t="s">
        <v>74</v>
      </c>
      <c r="AQ88" t="s">
        <v>74</v>
      </c>
      <c r="AR88" t="s">
        <v>1191</v>
      </c>
      <c r="AS88" t="s">
        <v>1192</v>
      </c>
      <c r="AT88" t="s">
        <v>99</v>
      </c>
      <c r="AU88">
        <v>2023</v>
      </c>
      <c r="AV88">
        <v>10</v>
      </c>
      <c r="AW88">
        <v>1</v>
      </c>
      <c r="AX88" t="s">
        <v>74</v>
      </c>
      <c r="AY88" t="s">
        <v>74</v>
      </c>
      <c r="AZ88" t="s">
        <v>74</v>
      </c>
      <c r="BA88" t="s">
        <v>74</v>
      </c>
      <c r="BB88">
        <v>89</v>
      </c>
      <c r="BC88">
        <v>105</v>
      </c>
      <c r="BD88" t="s">
        <v>74</v>
      </c>
      <c r="BE88" t="s">
        <v>1717</v>
      </c>
      <c r="BF88" t="str">
        <f>HYPERLINK("http://dx.doi.org/10.1080/21681376.2023.2168211","http://dx.doi.org/10.1080/21681376.2023.2168211")</f>
        <v>http://dx.doi.org/10.1080/21681376.2023.2168211</v>
      </c>
      <c r="BG88" t="s">
        <v>74</v>
      </c>
      <c r="BH88" t="s">
        <v>74</v>
      </c>
      <c r="BI88">
        <v>17</v>
      </c>
      <c r="BJ88" t="s">
        <v>1194</v>
      </c>
      <c r="BK88" t="s">
        <v>211</v>
      </c>
      <c r="BL88" t="s">
        <v>1194</v>
      </c>
      <c r="BM88" t="s">
        <v>1718</v>
      </c>
      <c r="BN88" t="s">
        <v>74</v>
      </c>
      <c r="BO88" t="s">
        <v>126</v>
      </c>
      <c r="BP88" t="s">
        <v>74</v>
      </c>
      <c r="BQ88" t="s">
        <v>74</v>
      </c>
      <c r="BR88" t="s">
        <v>105</v>
      </c>
      <c r="BS88" t="s">
        <v>1719</v>
      </c>
      <c r="BT88" t="str">
        <f>HYPERLINK("https%3A%2F%2Fwww.webofscience.com%2Fwos%2Fwoscc%2Ffull-record%2FWOS:000924743000001","View Full Record in Web of Science")</f>
        <v>View Full Record in Web of Science</v>
      </c>
    </row>
    <row r="89" spans="1:72" x14ac:dyDescent="0.15">
      <c r="A89" t="s">
        <v>72</v>
      </c>
      <c r="B89" t="s">
        <v>1720</v>
      </c>
      <c r="C89" t="s">
        <v>74</v>
      </c>
      <c r="D89" t="s">
        <v>74</v>
      </c>
      <c r="E89" t="s">
        <v>74</v>
      </c>
      <c r="F89" t="s">
        <v>1721</v>
      </c>
      <c r="G89" t="s">
        <v>74</v>
      </c>
      <c r="H89" t="s">
        <v>74</v>
      </c>
      <c r="I89" t="s">
        <v>1722</v>
      </c>
      <c r="J89" t="s">
        <v>1723</v>
      </c>
      <c r="K89" t="s">
        <v>74</v>
      </c>
      <c r="L89" t="s">
        <v>74</v>
      </c>
      <c r="M89" t="s">
        <v>78</v>
      </c>
      <c r="N89" t="s">
        <v>79</v>
      </c>
      <c r="O89" t="s">
        <v>74</v>
      </c>
      <c r="P89" t="s">
        <v>74</v>
      </c>
      <c r="Q89" t="s">
        <v>74</v>
      </c>
      <c r="R89" t="s">
        <v>74</v>
      </c>
      <c r="S89" t="s">
        <v>74</v>
      </c>
      <c r="T89" t="s">
        <v>1724</v>
      </c>
      <c r="U89" t="s">
        <v>1725</v>
      </c>
      <c r="V89" t="s">
        <v>1726</v>
      </c>
      <c r="W89" t="s">
        <v>1727</v>
      </c>
      <c r="X89" t="s">
        <v>1728</v>
      </c>
      <c r="Y89" t="s">
        <v>1729</v>
      </c>
      <c r="Z89" t="s">
        <v>1730</v>
      </c>
      <c r="AA89" t="s">
        <v>74</v>
      </c>
      <c r="AB89" t="s">
        <v>74</v>
      </c>
      <c r="AC89" t="s">
        <v>74</v>
      </c>
      <c r="AD89" t="s">
        <v>74</v>
      </c>
      <c r="AE89" t="s">
        <v>74</v>
      </c>
      <c r="AF89" t="s">
        <v>74</v>
      </c>
      <c r="AG89">
        <v>44</v>
      </c>
      <c r="AH89">
        <v>0</v>
      </c>
      <c r="AI89">
        <v>0</v>
      </c>
      <c r="AJ89">
        <v>10</v>
      </c>
      <c r="AK89">
        <v>10</v>
      </c>
      <c r="AL89" t="s">
        <v>92</v>
      </c>
      <c r="AM89" t="s">
        <v>93</v>
      </c>
      <c r="AN89" t="s">
        <v>94</v>
      </c>
      <c r="AO89" t="s">
        <v>1731</v>
      </c>
      <c r="AP89" t="s">
        <v>1732</v>
      </c>
      <c r="AQ89" t="s">
        <v>74</v>
      </c>
      <c r="AR89" t="s">
        <v>1723</v>
      </c>
      <c r="AS89" t="s">
        <v>1733</v>
      </c>
      <c r="AT89" t="s">
        <v>99</v>
      </c>
      <c r="AU89">
        <v>2023</v>
      </c>
      <c r="AV89">
        <v>32</v>
      </c>
      <c r="AW89">
        <v>1</v>
      </c>
      <c r="AX89" t="s">
        <v>74</v>
      </c>
      <c r="AY89" t="s">
        <v>74</v>
      </c>
      <c r="AZ89" t="s">
        <v>74</v>
      </c>
      <c r="BA89" t="s">
        <v>74</v>
      </c>
      <c r="BB89" t="s">
        <v>74</v>
      </c>
      <c r="BC89" t="s">
        <v>74</v>
      </c>
      <c r="BD89">
        <v>2170868</v>
      </c>
      <c r="BE89" t="s">
        <v>1734</v>
      </c>
      <c r="BF89" t="str">
        <f>HYPERLINK("http://dx.doi.org/10.1080/08037051.2023.2170868","http://dx.doi.org/10.1080/08037051.2023.2170868")</f>
        <v>http://dx.doi.org/10.1080/08037051.2023.2170868</v>
      </c>
      <c r="BG89" t="s">
        <v>74</v>
      </c>
      <c r="BH89" t="s">
        <v>74</v>
      </c>
      <c r="BI89">
        <v>13</v>
      </c>
      <c r="BJ89" t="s">
        <v>1735</v>
      </c>
      <c r="BK89" t="s">
        <v>102</v>
      </c>
      <c r="BL89" t="s">
        <v>1736</v>
      </c>
      <c r="BM89" t="s">
        <v>1737</v>
      </c>
      <c r="BN89">
        <v>36752063</v>
      </c>
      <c r="BO89" t="s">
        <v>126</v>
      </c>
      <c r="BP89" t="s">
        <v>74</v>
      </c>
      <c r="BQ89" t="s">
        <v>74</v>
      </c>
      <c r="BR89" t="s">
        <v>105</v>
      </c>
      <c r="BS89" t="s">
        <v>1738</v>
      </c>
      <c r="BT89" t="str">
        <f>HYPERLINK("https%3A%2F%2Fwww.webofscience.com%2Fwos%2Fwoscc%2Ffull-record%2FWOS:000929126300001","View Full Record in Web of Science")</f>
        <v>View Full Record in Web of Science</v>
      </c>
    </row>
    <row r="90" spans="1:72" x14ac:dyDescent="0.15">
      <c r="A90" t="s">
        <v>72</v>
      </c>
      <c r="B90" t="s">
        <v>1739</v>
      </c>
      <c r="C90" t="s">
        <v>74</v>
      </c>
      <c r="D90" t="s">
        <v>74</v>
      </c>
      <c r="E90" t="s">
        <v>74</v>
      </c>
      <c r="F90" t="s">
        <v>1740</v>
      </c>
      <c r="G90" t="s">
        <v>74</v>
      </c>
      <c r="H90" t="s">
        <v>74</v>
      </c>
      <c r="I90" t="s">
        <v>1741</v>
      </c>
      <c r="J90" t="s">
        <v>1742</v>
      </c>
      <c r="K90" t="s">
        <v>74</v>
      </c>
      <c r="L90" t="s">
        <v>74</v>
      </c>
      <c r="M90" t="s">
        <v>78</v>
      </c>
      <c r="N90" t="s">
        <v>79</v>
      </c>
      <c r="O90" t="s">
        <v>74</v>
      </c>
      <c r="P90" t="s">
        <v>74</v>
      </c>
      <c r="Q90" t="s">
        <v>74</v>
      </c>
      <c r="R90" t="s">
        <v>74</v>
      </c>
      <c r="S90" t="s">
        <v>74</v>
      </c>
      <c r="T90" t="s">
        <v>1743</v>
      </c>
      <c r="U90" t="s">
        <v>1744</v>
      </c>
      <c r="V90" t="s">
        <v>1745</v>
      </c>
      <c r="W90" t="s">
        <v>1746</v>
      </c>
      <c r="X90" t="s">
        <v>1747</v>
      </c>
      <c r="Y90" t="s">
        <v>1748</v>
      </c>
      <c r="Z90" t="s">
        <v>1749</v>
      </c>
      <c r="AA90" t="s">
        <v>74</v>
      </c>
      <c r="AB90" t="s">
        <v>74</v>
      </c>
      <c r="AC90" t="s">
        <v>1750</v>
      </c>
      <c r="AD90" t="s">
        <v>1751</v>
      </c>
      <c r="AE90" t="s">
        <v>1752</v>
      </c>
      <c r="AF90" t="s">
        <v>74</v>
      </c>
      <c r="AG90">
        <v>69</v>
      </c>
      <c r="AH90">
        <v>0</v>
      </c>
      <c r="AI90">
        <v>0</v>
      </c>
      <c r="AJ90">
        <v>48</v>
      </c>
      <c r="AK90">
        <v>101</v>
      </c>
      <c r="AL90" t="s">
        <v>92</v>
      </c>
      <c r="AM90" t="s">
        <v>93</v>
      </c>
      <c r="AN90" t="s">
        <v>94</v>
      </c>
      <c r="AO90" t="s">
        <v>1753</v>
      </c>
      <c r="AP90" t="s">
        <v>1754</v>
      </c>
      <c r="AQ90" t="s">
        <v>74</v>
      </c>
      <c r="AR90" t="s">
        <v>1755</v>
      </c>
      <c r="AS90" t="s">
        <v>1756</v>
      </c>
      <c r="AT90" t="s">
        <v>99</v>
      </c>
      <c r="AU90">
        <v>2023</v>
      </c>
      <c r="AV90">
        <v>18</v>
      </c>
      <c r="AW90">
        <v>1</v>
      </c>
      <c r="AX90" t="s">
        <v>74</v>
      </c>
      <c r="AY90" t="s">
        <v>74</v>
      </c>
      <c r="AZ90" t="s">
        <v>74</v>
      </c>
      <c r="BA90" t="s">
        <v>74</v>
      </c>
      <c r="BB90" t="s">
        <v>74</v>
      </c>
      <c r="BC90" t="s">
        <v>74</v>
      </c>
      <c r="BD90">
        <v>2152887</v>
      </c>
      <c r="BE90" t="s">
        <v>1757</v>
      </c>
      <c r="BF90" t="str">
        <f>HYPERLINK("http://dx.doi.org/10.1080/17429145.2022.2152887","http://dx.doi.org/10.1080/17429145.2022.2152887")</f>
        <v>http://dx.doi.org/10.1080/17429145.2022.2152887</v>
      </c>
      <c r="BG90" t="s">
        <v>74</v>
      </c>
      <c r="BH90" t="s">
        <v>74</v>
      </c>
      <c r="BI90">
        <v>15</v>
      </c>
      <c r="BJ90" t="s">
        <v>1758</v>
      </c>
      <c r="BK90" t="s">
        <v>102</v>
      </c>
      <c r="BL90" t="s">
        <v>1759</v>
      </c>
      <c r="BM90" t="s">
        <v>1760</v>
      </c>
      <c r="BN90" t="s">
        <v>74</v>
      </c>
      <c r="BO90" t="s">
        <v>126</v>
      </c>
      <c r="BP90" t="s">
        <v>74</v>
      </c>
      <c r="BQ90" t="s">
        <v>74</v>
      </c>
      <c r="BR90" t="s">
        <v>105</v>
      </c>
      <c r="BS90" t="s">
        <v>1761</v>
      </c>
      <c r="BT90" t="str">
        <f>HYPERLINK("https%3A%2F%2Fwww.webofscience.com%2Fwos%2Fwoscc%2Ffull-record%2FWOS:000904605300001","View Full Record in Web of Science")</f>
        <v>View Full Record in Web of Science</v>
      </c>
    </row>
    <row r="91" spans="1:72" x14ac:dyDescent="0.15">
      <c r="A91" t="s">
        <v>72</v>
      </c>
      <c r="B91" t="s">
        <v>1762</v>
      </c>
      <c r="C91" t="s">
        <v>74</v>
      </c>
      <c r="D91" t="s">
        <v>74</v>
      </c>
      <c r="E91" t="s">
        <v>74</v>
      </c>
      <c r="F91" t="s">
        <v>1763</v>
      </c>
      <c r="G91" t="s">
        <v>74</v>
      </c>
      <c r="H91" t="s">
        <v>74</v>
      </c>
      <c r="I91" t="s">
        <v>1764</v>
      </c>
      <c r="J91" t="s">
        <v>1765</v>
      </c>
      <c r="K91" t="s">
        <v>74</v>
      </c>
      <c r="L91" t="s">
        <v>74</v>
      </c>
      <c r="M91" t="s">
        <v>78</v>
      </c>
      <c r="N91" t="s">
        <v>79</v>
      </c>
      <c r="O91" t="s">
        <v>74</v>
      </c>
      <c r="P91" t="s">
        <v>74</v>
      </c>
      <c r="Q91" t="s">
        <v>74</v>
      </c>
      <c r="R91" t="s">
        <v>74</v>
      </c>
      <c r="S91" t="s">
        <v>74</v>
      </c>
      <c r="T91" t="s">
        <v>1766</v>
      </c>
      <c r="U91" t="s">
        <v>1767</v>
      </c>
      <c r="V91" t="s">
        <v>74</v>
      </c>
      <c r="W91" t="s">
        <v>1768</v>
      </c>
      <c r="X91" t="s">
        <v>1769</v>
      </c>
      <c r="Y91" t="s">
        <v>1770</v>
      </c>
      <c r="Z91" t="s">
        <v>1771</v>
      </c>
      <c r="AA91" t="s">
        <v>1772</v>
      </c>
      <c r="AB91" t="s">
        <v>1773</v>
      </c>
      <c r="AC91" t="s">
        <v>74</v>
      </c>
      <c r="AD91" t="s">
        <v>74</v>
      </c>
      <c r="AE91" t="s">
        <v>74</v>
      </c>
      <c r="AF91" t="s">
        <v>74</v>
      </c>
      <c r="AG91">
        <v>20</v>
      </c>
      <c r="AH91">
        <v>0</v>
      </c>
      <c r="AI91">
        <v>0</v>
      </c>
      <c r="AJ91">
        <v>5</v>
      </c>
      <c r="AK91">
        <v>6</v>
      </c>
      <c r="AL91" t="s">
        <v>184</v>
      </c>
      <c r="AM91" t="s">
        <v>185</v>
      </c>
      <c r="AN91" t="s">
        <v>186</v>
      </c>
      <c r="AO91" t="s">
        <v>1774</v>
      </c>
      <c r="AP91" t="s">
        <v>1775</v>
      </c>
      <c r="AQ91" t="s">
        <v>74</v>
      </c>
      <c r="AR91" t="s">
        <v>1776</v>
      </c>
      <c r="AS91" t="s">
        <v>1777</v>
      </c>
      <c r="AT91" t="s">
        <v>99</v>
      </c>
      <c r="AU91">
        <v>2023</v>
      </c>
      <c r="AV91">
        <v>43</v>
      </c>
      <c r="AW91">
        <v>1</v>
      </c>
      <c r="AX91" t="s">
        <v>74</v>
      </c>
      <c r="AY91" t="s">
        <v>74</v>
      </c>
      <c r="AZ91" t="s">
        <v>74</v>
      </c>
      <c r="BA91" t="s">
        <v>74</v>
      </c>
      <c r="BB91" t="s">
        <v>74</v>
      </c>
      <c r="BC91" t="s">
        <v>74</v>
      </c>
      <c r="BD91">
        <v>2171775</v>
      </c>
      <c r="BE91" t="s">
        <v>1778</v>
      </c>
      <c r="BF91" t="str">
        <f>HYPERLINK("http://dx.doi.org/10.1080/01443615.2023.2171775","http://dx.doi.org/10.1080/01443615.2023.2171775")</f>
        <v>http://dx.doi.org/10.1080/01443615.2023.2171775</v>
      </c>
      <c r="BG91" t="s">
        <v>74</v>
      </c>
      <c r="BH91" t="s">
        <v>74</v>
      </c>
      <c r="BI91">
        <v>5</v>
      </c>
      <c r="BJ91" t="s">
        <v>885</v>
      </c>
      <c r="BK91" t="s">
        <v>102</v>
      </c>
      <c r="BL91" t="s">
        <v>885</v>
      </c>
      <c r="BM91" t="s">
        <v>1779</v>
      </c>
      <c r="BN91">
        <v>36744838</v>
      </c>
      <c r="BO91" t="s">
        <v>126</v>
      </c>
      <c r="BP91" t="s">
        <v>74</v>
      </c>
      <c r="BQ91" t="s">
        <v>74</v>
      </c>
      <c r="BR91" t="s">
        <v>105</v>
      </c>
      <c r="BS91" t="s">
        <v>1780</v>
      </c>
      <c r="BT91" t="str">
        <f>HYPERLINK("https%3A%2F%2Fwww.webofscience.com%2Fwos%2Fwoscc%2Ffull-record%2FWOS:000926271800001","View Full Record in Web of Science")</f>
        <v>View Full Record in Web of Science</v>
      </c>
    </row>
    <row r="92" spans="1:72" x14ac:dyDescent="0.15">
      <c r="A92" t="s">
        <v>72</v>
      </c>
      <c r="B92" t="s">
        <v>1781</v>
      </c>
      <c r="C92" t="s">
        <v>74</v>
      </c>
      <c r="D92" t="s">
        <v>74</v>
      </c>
      <c r="E92" t="s">
        <v>74</v>
      </c>
      <c r="F92" t="s">
        <v>1782</v>
      </c>
      <c r="G92" t="s">
        <v>74</v>
      </c>
      <c r="H92" t="s">
        <v>74</v>
      </c>
      <c r="I92" t="s">
        <v>1783</v>
      </c>
      <c r="J92" t="s">
        <v>1613</v>
      </c>
      <c r="K92" t="s">
        <v>74</v>
      </c>
      <c r="L92" t="s">
        <v>74</v>
      </c>
      <c r="M92" t="s">
        <v>78</v>
      </c>
      <c r="N92" t="s">
        <v>171</v>
      </c>
      <c r="O92" t="s">
        <v>74</v>
      </c>
      <c r="P92" t="s">
        <v>74</v>
      </c>
      <c r="Q92" t="s">
        <v>74</v>
      </c>
      <c r="R92" t="s">
        <v>74</v>
      </c>
      <c r="S92" t="s">
        <v>74</v>
      </c>
      <c r="T92" t="s">
        <v>1784</v>
      </c>
      <c r="U92" t="s">
        <v>1785</v>
      </c>
      <c r="V92" t="s">
        <v>1786</v>
      </c>
      <c r="W92" t="s">
        <v>1787</v>
      </c>
      <c r="X92" t="s">
        <v>1788</v>
      </c>
      <c r="Y92" t="s">
        <v>1789</v>
      </c>
      <c r="Z92" t="s">
        <v>1790</v>
      </c>
      <c r="AA92" t="s">
        <v>74</v>
      </c>
      <c r="AB92" t="s">
        <v>74</v>
      </c>
      <c r="AC92" t="s">
        <v>74</v>
      </c>
      <c r="AD92" t="s">
        <v>74</v>
      </c>
      <c r="AE92" t="s">
        <v>74</v>
      </c>
      <c r="AF92" t="s">
        <v>74</v>
      </c>
      <c r="AG92">
        <v>125</v>
      </c>
      <c r="AH92">
        <v>0</v>
      </c>
      <c r="AI92">
        <v>0</v>
      </c>
      <c r="AJ92">
        <v>5</v>
      </c>
      <c r="AK92">
        <v>5</v>
      </c>
      <c r="AL92" t="s">
        <v>184</v>
      </c>
      <c r="AM92" t="s">
        <v>185</v>
      </c>
      <c r="AN92" t="s">
        <v>186</v>
      </c>
      <c r="AO92" t="s">
        <v>1621</v>
      </c>
      <c r="AP92" t="s">
        <v>1622</v>
      </c>
      <c r="AQ92" t="s">
        <v>74</v>
      </c>
      <c r="AR92" t="s">
        <v>1613</v>
      </c>
      <c r="AS92" t="s">
        <v>1623</v>
      </c>
      <c r="AT92" t="s">
        <v>99</v>
      </c>
      <c r="AU92">
        <v>2023</v>
      </c>
      <c r="AV92">
        <v>15</v>
      </c>
      <c r="AW92">
        <v>1</v>
      </c>
      <c r="AX92" t="s">
        <v>74</v>
      </c>
      <c r="AY92" t="s">
        <v>74</v>
      </c>
      <c r="AZ92" t="s">
        <v>74</v>
      </c>
      <c r="BA92" t="s">
        <v>74</v>
      </c>
      <c r="BB92" t="s">
        <v>74</v>
      </c>
      <c r="BC92" t="s">
        <v>74</v>
      </c>
      <c r="BD92">
        <v>2229567</v>
      </c>
      <c r="BE92" t="s">
        <v>1791</v>
      </c>
      <c r="BF92" t="str">
        <f>HYPERLINK("http://dx.doi.org/10.1080/19490976.2023.2229567","http://dx.doi.org/10.1080/19490976.2023.2229567")</f>
        <v>http://dx.doi.org/10.1080/19490976.2023.2229567</v>
      </c>
      <c r="BG92" t="s">
        <v>74</v>
      </c>
      <c r="BH92" t="s">
        <v>74</v>
      </c>
      <c r="BI92">
        <v>18</v>
      </c>
      <c r="BJ92" t="s">
        <v>1625</v>
      </c>
      <c r="BK92" t="s">
        <v>102</v>
      </c>
      <c r="BL92" t="s">
        <v>1625</v>
      </c>
      <c r="BM92" t="s">
        <v>1792</v>
      </c>
      <c r="BN92">
        <v>37382423</v>
      </c>
      <c r="BO92" t="s">
        <v>165</v>
      </c>
      <c r="BP92" t="s">
        <v>74</v>
      </c>
      <c r="BQ92" t="s">
        <v>74</v>
      </c>
      <c r="BR92" t="s">
        <v>105</v>
      </c>
      <c r="BS92" t="s">
        <v>1793</v>
      </c>
      <c r="BT92" t="str">
        <f>HYPERLINK("https%3A%2F%2Fwww.webofscience.com%2Fwos%2Fwoscc%2Ffull-record%2FWOS:001016216900001","View Full Record in Web of Science")</f>
        <v>View Full Record in Web of Science</v>
      </c>
    </row>
    <row r="93" spans="1:72" x14ac:dyDescent="0.15">
      <c r="A93" t="s">
        <v>72</v>
      </c>
      <c r="B93" t="s">
        <v>1794</v>
      </c>
      <c r="C93" t="s">
        <v>74</v>
      </c>
      <c r="D93" t="s">
        <v>74</v>
      </c>
      <c r="E93" t="s">
        <v>74</v>
      </c>
      <c r="F93" t="s">
        <v>1795</v>
      </c>
      <c r="G93" t="s">
        <v>74</v>
      </c>
      <c r="H93" t="s">
        <v>74</v>
      </c>
      <c r="I93" t="s">
        <v>1796</v>
      </c>
      <c r="J93" t="s">
        <v>1797</v>
      </c>
      <c r="K93" t="s">
        <v>74</v>
      </c>
      <c r="L93" t="s">
        <v>74</v>
      </c>
      <c r="M93" t="s">
        <v>78</v>
      </c>
      <c r="N93" t="s">
        <v>79</v>
      </c>
      <c r="O93" t="s">
        <v>74</v>
      </c>
      <c r="P93" t="s">
        <v>74</v>
      </c>
      <c r="Q93" t="s">
        <v>74</v>
      </c>
      <c r="R93" t="s">
        <v>74</v>
      </c>
      <c r="S93" t="s">
        <v>74</v>
      </c>
      <c r="T93" t="s">
        <v>1798</v>
      </c>
      <c r="U93" t="s">
        <v>1799</v>
      </c>
      <c r="V93" t="s">
        <v>1800</v>
      </c>
      <c r="W93" t="s">
        <v>1801</v>
      </c>
      <c r="X93" t="s">
        <v>1802</v>
      </c>
      <c r="Y93" t="s">
        <v>1803</v>
      </c>
      <c r="Z93" t="s">
        <v>1804</v>
      </c>
      <c r="AA93" t="s">
        <v>1805</v>
      </c>
      <c r="AB93" t="s">
        <v>1806</v>
      </c>
      <c r="AC93" t="s">
        <v>74</v>
      </c>
      <c r="AD93" t="s">
        <v>74</v>
      </c>
      <c r="AE93" t="s">
        <v>74</v>
      </c>
      <c r="AF93" t="s">
        <v>74</v>
      </c>
      <c r="AG93">
        <v>25</v>
      </c>
      <c r="AH93">
        <v>0</v>
      </c>
      <c r="AI93">
        <v>0</v>
      </c>
      <c r="AJ93">
        <v>0</v>
      </c>
      <c r="AK93">
        <v>0</v>
      </c>
      <c r="AL93" t="s">
        <v>92</v>
      </c>
      <c r="AM93" t="s">
        <v>93</v>
      </c>
      <c r="AN93" t="s">
        <v>94</v>
      </c>
      <c r="AO93" t="s">
        <v>1807</v>
      </c>
      <c r="AP93" t="s">
        <v>1808</v>
      </c>
      <c r="AQ93" t="s">
        <v>74</v>
      </c>
      <c r="AR93" t="s">
        <v>1809</v>
      </c>
      <c r="AS93" t="s">
        <v>1810</v>
      </c>
      <c r="AT93" t="s">
        <v>99</v>
      </c>
      <c r="AU93">
        <v>2023</v>
      </c>
      <c r="AV93">
        <v>59</v>
      </c>
      <c r="AW93">
        <v>1</v>
      </c>
      <c r="AX93" t="s">
        <v>74</v>
      </c>
      <c r="AY93" t="s">
        <v>74</v>
      </c>
      <c r="AZ93" t="s">
        <v>74</v>
      </c>
      <c r="BA93" t="s">
        <v>74</v>
      </c>
      <c r="BB93">
        <v>59</v>
      </c>
      <c r="BC93">
        <v>67</v>
      </c>
      <c r="BD93" t="s">
        <v>74</v>
      </c>
      <c r="BE93" t="s">
        <v>1811</v>
      </c>
      <c r="BF93" t="str">
        <f>HYPERLINK("http://dx.doi.org/10.1080/20905068.2023.2237757","http://dx.doi.org/10.1080/20905068.2023.2237757")</f>
        <v>http://dx.doi.org/10.1080/20905068.2023.2237757</v>
      </c>
      <c r="BG93" t="s">
        <v>74</v>
      </c>
      <c r="BH93" t="s">
        <v>74</v>
      </c>
      <c r="BI93">
        <v>9</v>
      </c>
      <c r="BJ93" t="s">
        <v>663</v>
      </c>
      <c r="BK93" t="s">
        <v>211</v>
      </c>
      <c r="BL93" t="s">
        <v>664</v>
      </c>
      <c r="BM93" t="s">
        <v>1812</v>
      </c>
      <c r="BN93" t="s">
        <v>74</v>
      </c>
      <c r="BO93" t="s">
        <v>74</v>
      </c>
      <c r="BP93" t="s">
        <v>74</v>
      </c>
      <c r="BQ93" t="s">
        <v>74</v>
      </c>
      <c r="BR93" t="s">
        <v>105</v>
      </c>
      <c r="BS93" t="s">
        <v>1813</v>
      </c>
      <c r="BT93" t="str">
        <f>HYPERLINK("https%3A%2F%2Fwww.webofscience.com%2Fwos%2Fwoscc%2Ffull-record%2FWOS:001032805100001","View Full Record in Web of Science")</f>
        <v>View Full Record in Web of Science</v>
      </c>
    </row>
    <row r="94" spans="1:72" x14ac:dyDescent="0.15">
      <c r="A94" t="s">
        <v>72</v>
      </c>
      <c r="B94" t="s">
        <v>1814</v>
      </c>
      <c r="C94" t="s">
        <v>74</v>
      </c>
      <c r="D94" t="s">
        <v>74</v>
      </c>
      <c r="E94" t="s">
        <v>74</v>
      </c>
      <c r="F94" t="s">
        <v>1815</v>
      </c>
      <c r="G94" t="s">
        <v>74</v>
      </c>
      <c r="H94" t="s">
        <v>74</v>
      </c>
      <c r="I94" t="s">
        <v>1816</v>
      </c>
      <c r="J94" t="s">
        <v>783</v>
      </c>
      <c r="K94" t="s">
        <v>74</v>
      </c>
      <c r="L94" t="s">
        <v>74</v>
      </c>
      <c r="M94" t="s">
        <v>78</v>
      </c>
      <c r="N94" t="s">
        <v>79</v>
      </c>
      <c r="O94" t="s">
        <v>74</v>
      </c>
      <c r="P94" t="s">
        <v>74</v>
      </c>
      <c r="Q94" t="s">
        <v>74</v>
      </c>
      <c r="R94" t="s">
        <v>74</v>
      </c>
      <c r="S94" t="s">
        <v>74</v>
      </c>
      <c r="T94" t="s">
        <v>1817</v>
      </c>
      <c r="U94" t="s">
        <v>1818</v>
      </c>
      <c r="V94" t="s">
        <v>1819</v>
      </c>
      <c r="W94" t="s">
        <v>1820</v>
      </c>
      <c r="X94" t="s">
        <v>1821</v>
      </c>
      <c r="Y94" t="s">
        <v>1822</v>
      </c>
      <c r="Z94" t="s">
        <v>1823</v>
      </c>
      <c r="AA94" t="s">
        <v>1824</v>
      </c>
      <c r="AB94" t="s">
        <v>1825</v>
      </c>
      <c r="AC94" t="s">
        <v>1826</v>
      </c>
      <c r="AD94" t="s">
        <v>1827</v>
      </c>
      <c r="AE94" t="s">
        <v>1828</v>
      </c>
      <c r="AF94" t="s">
        <v>74</v>
      </c>
      <c r="AG94">
        <v>55</v>
      </c>
      <c r="AH94">
        <v>0</v>
      </c>
      <c r="AI94">
        <v>0</v>
      </c>
      <c r="AJ94">
        <v>14</v>
      </c>
      <c r="AK94">
        <v>14</v>
      </c>
      <c r="AL94" t="s">
        <v>92</v>
      </c>
      <c r="AM94" t="s">
        <v>93</v>
      </c>
      <c r="AN94" t="s">
        <v>94</v>
      </c>
      <c r="AO94" t="s">
        <v>796</v>
      </c>
      <c r="AP94" t="s">
        <v>797</v>
      </c>
      <c r="AQ94" t="s">
        <v>74</v>
      </c>
      <c r="AR94" t="s">
        <v>798</v>
      </c>
      <c r="AS94" t="s">
        <v>799</v>
      </c>
      <c r="AT94" t="s">
        <v>99</v>
      </c>
      <c r="AU94">
        <v>2023</v>
      </c>
      <c r="AV94">
        <v>51</v>
      </c>
      <c r="AW94">
        <v>1</v>
      </c>
      <c r="AX94" t="s">
        <v>74</v>
      </c>
      <c r="AY94" t="s">
        <v>74</v>
      </c>
      <c r="AZ94" t="s">
        <v>74</v>
      </c>
      <c r="BA94" t="s">
        <v>74</v>
      </c>
      <c r="BB94">
        <v>361</v>
      </c>
      <c r="BC94">
        <v>370</v>
      </c>
      <c r="BD94" t="s">
        <v>74</v>
      </c>
      <c r="BE94" t="s">
        <v>1829</v>
      </c>
      <c r="BF94" t="str">
        <f>HYPERLINK("http://dx.doi.org/10.1080/21691401.2023.2238756","http://dx.doi.org/10.1080/21691401.2023.2238756")</f>
        <v>http://dx.doi.org/10.1080/21691401.2023.2238756</v>
      </c>
      <c r="BG94" t="s">
        <v>74</v>
      </c>
      <c r="BH94" t="s">
        <v>74</v>
      </c>
      <c r="BI94">
        <v>10</v>
      </c>
      <c r="BJ94" t="s">
        <v>801</v>
      </c>
      <c r="BK94" t="s">
        <v>102</v>
      </c>
      <c r="BL94" t="s">
        <v>802</v>
      </c>
      <c r="BM94" t="s">
        <v>1830</v>
      </c>
      <c r="BN94">
        <v>37524306</v>
      </c>
      <c r="BO94" t="s">
        <v>126</v>
      </c>
      <c r="BP94" t="s">
        <v>74</v>
      </c>
      <c r="BQ94" t="s">
        <v>74</v>
      </c>
      <c r="BR94" t="s">
        <v>105</v>
      </c>
      <c r="BS94" t="s">
        <v>1831</v>
      </c>
      <c r="BT94" t="str">
        <f>HYPERLINK("https%3A%2F%2Fwww.webofscience.com%2Fwos%2Fwoscc%2Ffull-record%2FWOS:001040656700001","View Full Record in Web of Science")</f>
        <v>View Full Record in Web of Science</v>
      </c>
    </row>
    <row r="95" spans="1:72" x14ac:dyDescent="0.15">
      <c r="A95" t="s">
        <v>72</v>
      </c>
      <c r="B95" t="s">
        <v>1832</v>
      </c>
      <c r="C95" t="s">
        <v>74</v>
      </c>
      <c r="D95" t="s">
        <v>74</v>
      </c>
      <c r="E95" t="s">
        <v>74</v>
      </c>
      <c r="F95" t="s">
        <v>1833</v>
      </c>
      <c r="G95" t="s">
        <v>74</v>
      </c>
      <c r="H95" t="s">
        <v>74</v>
      </c>
      <c r="I95" t="s">
        <v>1834</v>
      </c>
      <c r="J95" t="s">
        <v>524</v>
      </c>
      <c r="K95" t="s">
        <v>74</v>
      </c>
      <c r="L95" t="s">
        <v>74</v>
      </c>
      <c r="M95" t="s">
        <v>78</v>
      </c>
      <c r="N95" t="s">
        <v>79</v>
      </c>
      <c r="O95" t="s">
        <v>74</v>
      </c>
      <c r="P95" t="s">
        <v>74</v>
      </c>
      <c r="Q95" t="s">
        <v>74</v>
      </c>
      <c r="R95" t="s">
        <v>74</v>
      </c>
      <c r="S95" t="s">
        <v>74</v>
      </c>
      <c r="T95" t="s">
        <v>1835</v>
      </c>
      <c r="U95" t="s">
        <v>1836</v>
      </c>
      <c r="V95" t="s">
        <v>1837</v>
      </c>
      <c r="W95" t="s">
        <v>1838</v>
      </c>
      <c r="X95" t="s">
        <v>1839</v>
      </c>
      <c r="Y95" t="s">
        <v>1840</v>
      </c>
      <c r="Z95" t="s">
        <v>1841</v>
      </c>
      <c r="AA95" t="s">
        <v>1842</v>
      </c>
      <c r="AB95" t="s">
        <v>1843</v>
      </c>
      <c r="AC95" t="s">
        <v>1844</v>
      </c>
      <c r="AD95" t="s">
        <v>1845</v>
      </c>
      <c r="AE95" t="s">
        <v>1846</v>
      </c>
      <c r="AF95" t="s">
        <v>74</v>
      </c>
      <c r="AG95">
        <v>89</v>
      </c>
      <c r="AH95">
        <v>0</v>
      </c>
      <c r="AI95">
        <v>0</v>
      </c>
      <c r="AJ95">
        <v>4</v>
      </c>
      <c r="AK95">
        <v>4</v>
      </c>
      <c r="AL95" t="s">
        <v>92</v>
      </c>
      <c r="AM95" t="s">
        <v>93</v>
      </c>
      <c r="AN95" t="s">
        <v>94</v>
      </c>
      <c r="AO95" t="s">
        <v>537</v>
      </c>
      <c r="AP95" t="s">
        <v>538</v>
      </c>
      <c r="AQ95" t="s">
        <v>74</v>
      </c>
      <c r="AR95" t="s">
        <v>539</v>
      </c>
      <c r="AS95" t="s">
        <v>540</v>
      </c>
      <c r="AT95" t="s">
        <v>99</v>
      </c>
      <c r="AU95">
        <v>2023</v>
      </c>
      <c r="AV95">
        <v>16</v>
      </c>
      <c r="AW95">
        <v>1</v>
      </c>
      <c r="AX95" t="s">
        <v>74</v>
      </c>
      <c r="AY95" t="s">
        <v>74</v>
      </c>
      <c r="AZ95" t="s">
        <v>74</v>
      </c>
      <c r="BA95" t="s">
        <v>74</v>
      </c>
      <c r="BB95">
        <v>3435</v>
      </c>
      <c r="BC95">
        <v>3455</v>
      </c>
      <c r="BD95" t="s">
        <v>74</v>
      </c>
      <c r="BE95" t="s">
        <v>1847</v>
      </c>
      <c r="BF95" t="str">
        <f>HYPERLINK("http://dx.doi.org/10.1080/17538947.2023.2250739","http://dx.doi.org/10.1080/17538947.2023.2250739")</f>
        <v>http://dx.doi.org/10.1080/17538947.2023.2250739</v>
      </c>
      <c r="BG95" t="s">
        <v>74</v>
      </c>
      <c r="BH95" t="s">
        <v>74</v>
      </c>
      <c r="BI95">
        <v>21</v>
      </c>
      <c r="BJ95" t="s">
        <v>542</v>
      </c>
      <c r="BK95" t="s">
        <v>102</v>
      </c>
      <c r="BL95" t="s">
        <v>543</v>
      </c>
      <c r="BM95" t="s">
        <v>1848</v>
      </c>
      <c r="BN95" t="s">
        <v>74</v>
      </c>
      <c r="BO95" t="s">
        <v>126</v>
      </c>
      <c r="BP95" t="s">
        <v>74</v>
      </c>
      <c r="BQ95" t="s">
        <v>74</v>
      </c>
      <c r="BR95" t="s">
        <v>105</v>
      </c>
      <c r="BS95" t="s">
        <v>1849</v>
      </c>
      <c r="BT95" t="str">
        <f>HYPERLINK("https%3A%2F%2Fwww.webofscience.com%2Fwos%2Fwoscc%2Ffull-record%2FWOS:001054745900001","View Full Record in Web of Science")</f>
        <v>View Full Record in Web of Science</v>
      </c>
    </row>
    <row r="96" spans="1:72" x14ac:dyDescent="0.15">
      <c r="A96" t="s">
        <v>72</v>
      </c>
      <c r="B96" t="s">
        <v>1850</v>
      </c>
      <c r="C96" t="s">
        <v>74</v>
      </c>
      <c r="D96" t="s">
        <v>74</v>
      </c>
      <c r="E96" t="s">
        <v>74</v>
      </c>
      <c r="F96" t="s">
        <v>1851</v>
      </c>
      <c r="G96" t="s">
        <v>74</v>
      </c>
      <c r="H96" t="s">
        <v>74</v>
      </c>
      <c r="I96" t="s">
        <v>1852</v>
      </c>
      <c r="J96" t="s">
        <v>944</v>
      </c>
      <c r="K96" t="s">
        <v>74</v>
      </c>
      <c r="L96" t="s">
        <v>74</v>
      </c>
      <c r="M96" t="s">
        <v>78</v>
      </c>
      <c r="N96" t="s">
        <v>79</v>
      </c>
      <c r="O96" t="s">
        <v>74</v>
      </c>
      <c r="P96" t="s">
        <v>74</v>
      </c>
      <c r="Q96" t="s">
        <v>74</v>
      </c>
      <c r="R96" t="s">
        <v>74</v>
      </c>
      <c r="S96" t="s">
        <v>74</v>
      </c>
      <c r="T96" t="s">
        <v>1853</v>
      </c>
      <c r="U96" t="s">
        <v>1854</v>
      </c>
      <c r="V96" t="s">
        <v>1855</v>
      </c>
      <c r="W96" t="s">
        <v>1856</v>
      </c>
      <c r="X96" t="s">
        <v>1857</v>
      </c>
      <c r="Y96" t="s">
        <v>1858</v>
      </c>
      <c r="Z96" t="s">
        <v>1859</v>
      </c>
      <c r="AA96" t="s">
        <v>1860</v>
      </c>
      <c r="AB96" t="s">
        <v>1861</v>
      </c>
      <c r="AC96" t="s">
        <v>74</v>
      </c>
      <c r="AD96" t="s">
        <v>74</v>
      </c>
      <c r="AE96" t="s">
        <v>74</v>
      </c>
      <c r="AF96" t="s">
        <v>74</v>
      </c>
      <c r="AG96">
        <v>35</v>
      </c>
      <c r="AH96">
        <v>1</v>
      </c>
      <c r="AI96">
        <v>1</v>
      </c>
      <c r="AJ96">
        <v>4</v>
      </c>
      <c r="AK96">
        <v>9</v>
      </c>
      <c r="AL96" t="s">
        <v>92</v>
      </c>
      <c r="AM96" t="s">
        <v>93</v>
      </c>
      <c r="AN96" t="s">
        <v>94</v>
      </c>
      <c r="AO96" t="s">
        <v>954</v>
      </c>
      <c r="AP96" t="s">
        <v>955</v>
      </c>
      <c r="AQ96" t="s">
        <v>74</v>
      </c>
      <c r="AR96" t="s">
        <v>956</v>
      </c>
      <c r="AS96" t="s">
        <v>957</v>
      </c>
      <c r="AT96" t="s">
        <v>99</v>
      </c>
      <c r="AU96">
        <v>2023</v>
      </c>
      <c r="AV96">
        <v>55</v>
      </c>
      <c r="AW96">
        <v>1</v>
      </c>
      <c r="AX96" t="s">
        <v>74</v>
      </c>
      <c r="AY96" t="s">
        <v>74</v>
      </c>
      <c r="AZ96" t="s">
        <v>74</v>
      </c>
      <c r="BA96" t="s">
        <v>74</v>
      </c>
      <c r="BB96">
        <v>266</v>
      </c>
      <c r="BC96">
        <v>275</v>
      </c>
      <c r="BD96" t="s">
        <v>74</v>
      </c>
      <c r="BE96" t="s">
        <v>1862</v>
      </c>
      <c r="BF96" t="str">
        <f>HYPERLINK("http://dx.doi.org/10.1080/07853890.2022.2160877","http://dx.doi.org/10.1080/07853890.2022.2160877")</f>
        <v>http://dx.doi.org/10.1080/07853890.2022.2160877</v>
      </c>
      <c r="BG96" t="s">
        <v>74</v>
      </c>
      <c r="BH96" t="s">
        <v>74</v>
      </c>
      <c r="BI96">
        <v>10</v>
      </c>
      <c r="BJ96" t="s">
        <v>663</v>
      </c>
      <c r="BK96" t="s">
        <v>102</v>
      </c>
      <c r="BL96" t="s">
        <v>664</v>
      </c>
      <c r="BM96" t="s">
        <v>1863</v>
      </c>
      <c r="BN96">
        <v>36579976</v>
      </c>
      <c r="BO96" t="s">
        <v>104</v>
      </c>
      <c r="BP96" t="s">
        <v>74</v>
      </c>
      <c r="BQ96" t="s">
        <v>74</v>
      </c>
      <c r="BR96" t="s">
        <v>105</v>
      </c>
      <c r="BS96" t="s">
        <v>1864</v>
      </c>
      <c r="BT96" t="str">
        <f>HYPERLINK("https%3A%2F%2Fwww.webofscience.com%2Fwos%2Fwoscc%2Ffull-record%2FWOS:000904928200001","View Full Record in Web of Science")</f>
        <v>View Full Record in Web of Science</v>
      </c>
    </row>
    <row r="97" spans="1:72" x14ac:dyDescent="0.15">
      <c r="A97" t="s">
        <v>72</v>
      </c>
      <c r="B97" t="s">
        <v>1865</v>
      </c>
      <c r="C97" t="s">
        <v>74</v>
      </c>
      <c r="D97" t="s">
        <v>74</v>
      </c>
      <c r="E97" t="s">
        <v>74</v>
      </c>
      <c r="F97" t="s">
        <v>1866</v>
      </c>
      <c r="G97" t="s">
        <v>74</v>
      </c>
      <c r="H97" t="s">
        <v>74</v>
      </c>
      <c r="I97" t="s">
        <v>1867</v>
      </c>
      <c r="J97" t="s">
        <v>77</v>
      </c>
      <c r="K97" t="s">
        <v>74</v>
      </c>
      <c r="L97" t="s">
        <v>74</v>
      </c>
      <c r="M97" t="s">
        <v>78</v>
      </c>
      <c r="N97" t="s">
        <v>79</v>
      </c>
      <c r="O97" t="s">
        <v>74</v>
      </c>
      <c r="P97" t="s">
        <v>74</v>
      </c>
      <c r="Q97" t="s">
        <v>74</v>
      </c>
      <c r="R97" t="s">
        <v>74</v>
      </c>
      <c r="S97" t="s">
        <v>74</v>
      </c>
      <c r="T97" t="s">
        <v>1868</v>
      </c>
      <c r="U97" t="s">
        <v>1869</v>
      </c>
      <c r="V97" t="s">
        <v>1870</v>
      </c>
      <c r="W97" t="s">
        <v>1871</v>
      </c>
      <c r="X97" t="s">
        <v>1872</v>
      </c>
      <c r="Y97" t="s">
        <v>1873</v>
      </c>
      <c r="Z97" t="s">
        <v>74</v>
      </c>
      <c r="AA97" t="s">
        <v>1874</v>
      </c>
      <c r="AB97" t="s">
        <v>1875</v>
      </c>
      <c r="AC97" t="s">
        <v>74</v>
      </c>
      <c r="AD97" t="s">
        <v>74</v>
      </c>
      <c r="AE97" t="s">
        <v>74</v>
      </c>
      <c r="AF97" t="s">
        <v>74</v>
      </c>
      <c r="AG97">
        <v>36</v>
      </c>
      <c r="AH97">
        <v>0</v>
      </c>
      <c r="AI97">
        <v>0</v>
      </c>
      <c r="AJ97">
        <v>17</v>
      </c>
      <c r="AK97">
        <v>17</v>
      </c>
      <c r="AL97" t="s">
        <v>92</v>
      </c>
      <c r="AM97" t="s">
        <v>93</v>
      </c>
      <c r="AN97" t="s">
        <v>94</v>
      </c>
      <c r="AO97" t="s">
        <v>95</v>
      </c>
      <c r="AP97" t="s">
        <v>96</v>
      </c>
      <c r="AQ97" t="s">
        <v>74</v>
      </c>
      <c r="AR97" t="s">
        <v>97</v>
      </c>
      <c r="AS97" t="s">
        <v>98</v>
      </c>
      <c r="AT97" t="s">
        <v>99</v>
      </c>
      <c r="AU97">
        <v>2023</v>
      </c>
      <c r="AV97">
        <v>30</v>
      </c>
      <c r="AW97">
        <v>1</v>
      </c>
      <c r="AX97" t="s">
        <v>74</v>
      </c>
      <c r="AY97" t="s">
        <v>74</v>
      </c>
      <c r="AZ97" t="s">
        <v>74</v>
      </c>
      <c r="BA97" t="s">
        <v>74</v>
      </c>
      <c r="BB97" t="s">
        <v>74</v>
      </c>
      <c r="BC97" t="s">
        <v>74</v>
      </c>
      <c r="BD97">
        <v>2197177</v>
      </c>
      <c r="BE97" t="s">
        <v>1876</v>
      </c>
      <c r="BF97" t="str">
        <f>HYPERLINK("http://dx.doi.org/10.1080/10717544.2023.2197177","http://dx.doi.org/10.1080/10717544.2023.2197177")</f>
        <v>http://dx.doi.org/10.1080/10717544.2023.2197177</v>
      </c>
      <c r="BG97" t="s">
        <v>74</v>
      </c>
      <c r="BH97" t="s">
        <v>74</v>
      </c>
      <c r="BI97">
        <v>8</v>
      </c>
      <c r="BJ97" t="s">
        <v>101</v>
      </c>
      <c r="BK97" t="s">
        <v>102</v>
      </c>
      <c r="BL97" t="s">
        <v>101</v>
      </c>
      <c r="BM97" t="s">
        <v>1877</v>
      </c>
      <c r="BN97">
        <v>37078789</v>
      </c>
      <c r="BO97" t="s">
        <v>165</v>
      </c>
      <c r="BP97" t="s">
        <v>74</v>
      </c>
      <c r="BQ97" t="s">
        <v>74</v>
      </c>
      <c r="BR97" t="s">
        <v>105</v>
      </c>
      <c r="BS97" t="s">
        <v>1878</v>
      </c>
      <c r="BT97" t="str">
        <f>HYPERLINK("https%3A%2F%2Fwww.webofscience.com%2Fwos%2Fwoscc%2Ffull-record%2FWOS:000971400400001","View Full Record in Web of Science")</f>
        <v>View Full Record in Web of Science</v>
      </c>
    </row>
    <row r="98" spans="1:72" x14ac:dyDescent="0.15">
      <c r="A98" t="s">
        <v>72</v>
      </c>
      <c r="B98" t="s">
        <v>1879</v>
      </c>
      <c r="C98" t="s">
        <v>74</v>
      </c>
      <c r="D98" t="s">
        <v>74</v>
      </c>
      <c r="E98" t="s">
        <v>74</v>
      </c>
      <c r="F98" t="s">
        <v>1880</v>
      </c>
      <c r="G98" t="s">
        <v>74</v>
      </c>
      <c r="H98" t="s">
        <v>74</v>
      </c>
      <c r="I98" t="s">
        <v>1881</v>
      </c>
      <c r="J98" t="s">
        <v>236</v>
      </c>
      <c r="K98" t="s">
        <v>74</v>
      </c>
      <c r="L98" t="s">
        <v>74</v>
      </c>
      <c r="M98" t="s">
        <v>78</v>
      </c>
      <c r="N98" t="s">
        <v>79</v>
      </c>
      <c r="O98" t="s">
        <v>74</v>
      </c>
      <c r="P98" t="s">
        <v>74</v>
      </c>
      <c r="Q98" t="s">
        <v>74</v>
      </c>
      <c r="R98" t="s">
        <v>74</v>
      </c>
      <c r="S98" t="s">
        <v>74</v>
      </c>
      <c r="T98" t="s">
        <v>1882</v>
      </c>
      <c r="U98" t="s">
        <v>74</v>
      </c>
      <c r="V98" t="s">
        <v>1883</v>
      </c>
      <c r="W98" t="s">
        <v>1884</v>
      </c>
      <c r="X98" t="s">
        <v>1885</v>
      </c>
      <c r="Y98" t="s">
        <v>1886</v>
      </c>
      <c r="Z98" t="s">
        <v>1887</v>
      </c>
      <c r="AA98" t="s">
        <v>74</v>
      </c>
      <c r="AB98" t="s">
        <v>74</v>
      </c>
      <c r="AC98" t="s">
        <v>1888</v>
      </c>
      <c r="AD98" t="s">
        <v>1889</v>
      </c>
      <c r="AE98" t="s">
        <v>1890</v>
      </c>
      <c r="AF98" t="s">
        <v>74</v>
      </c>
      <c r="AG98">
        <v>18</v>
      </c>
      <c r="AH98">
        <v>0</v>
      </c>
      <c r="AI98">
        <v>0</v>
      </c>
      <c r="AJ98">
        <v>5</v>
      </c>
      <c r="AK98">
        <v>5</v>
      </c>
      <c r="AL98" t="s">
        <v>92</v>
      </c>
      <c r="AM98" t="s">
        <v>93</v>
      </c>
      <c r="AN98" t="s">
        <v>94</v>
      </c>
      <c r="AO98" t="s">
        <v>74</v>
      </c>
      <c r="AP98" t="s">
        <v>247</v>
      </c>
      <c r="AQ98" t="s">
        <v>74</v>
      </c>
      <c r="AR98" t="s">
        <v>248</v>
      </c>
      <c r="AS98" t="s">
        <v>249</v>
      </c>
      <c r="AT98" t="s">
        <v>99</v>
      </c>
      <c r="AU98">
        <v>2023</v>
      </c>
      <c r="AV98">
        <v>31</v>
      </c>
      <c r="AW98">
        <v>1</v>
      </c>
      <c r="AX98" t="s">
        <v>74</v>
      </c>
      <c r="AY98" t="s">
        <v>74</v>
      </c>
      <c r="AZ98" t="s">
        <v>74</v>
      </c>
      <c r="BA98" t="s">
        <v>74</v>
      </c>
      <c r="BB98" t="s">
        <v>74</v>
      </c>
      <c r="BC98" t="s">
        <v>74</v>
      </c>
      <c r="BD98">
        <v>2212117</v>
      </c>
      <c r="BE98" t="s">
        <v>1891</v>
      </c>
      <c r="BF98" t="str">
        <f>HYPERLINK("http://dx.doi.org/10.1080/27690911.2023.2212117","http://dx.doi.org/10.1080/27690911.2023.2212117")</f>
        <v>http://dx.doi.org/10.1080/27690911.2023.2212117</v>
      </c>
      <c r="BG98" t="s">
        <v>74</v>
      </c>
      <c r="BH98" t="s">
        <v>74</v>
      </c>
      <c r="BI98">
        <v>10</v>
      </c>
      <c r="BJ98" t="s">
        <v>251</v>
      </c>
      <c r="BK98" t="s">
        <v>102</v>
      </c>
      <c r="BL98" t="s">
        <v>252</v>
      </c>
      <c r="BM98" t="s">
        <v>1892</v>
      </c>
      <c r="BN98" t="s">
        <v>74</v>
      </c>
      <c r="BO98" t="s">
        <v>126</v>
      </c>
      <c r="BP98" t="s">
        <v>74</v>
      </c>
      <c r="BQ98" t="s">
        <v>74</v>
      </c>
      <c r="BR98" t="s">
        <v>105</v>
      </c>
      <c r="BS98" t="s">
        <v>1893</v>
      </c>
      <c r="BT98" t="str">
        <f>HYPERLINK("https%3A%2F%2Fwww.webofscience.com%2Fwos%2Fwoscc%2Ffull-record%2FWOS:000987092000001","View Full Record in Web of Science")</f>
        <v>View Full Record in Web of Science</v>
      </c>
    </row>
    <row r="99" spans="1:72" x14ac:dyDescent="0.15">
      <c r="A99" t="s">
        <v>72</v>
      </c>
      <c r="B99" t="s">
        <v>1894</v>
      </c>
      <c r="C99" t="s">
        <v>74</v>
      </c>
      <c r="D99" t="s">
        <v>74</v>
      </c>
      <c r="E99" t="s">
        <v>74</v>
      </c>
      <c r="F99" t="s">
        <v>1895</v>
      </c>
      <c r="G99" t="s">
        <v>74</v>
      </c>
      <c r="H99" t="s">
        <v>74</v>
      </c>
      <c r="I99" t="s">
        <v>1896</v>
      </c>
      <c r="J99" t="s">
        <v>217</v>
      </c>
      <c r="K99" t="s">
        <v>74</v>
      </c>
      <c r="L99" t="s">
        <v>74</v>
      </c>
      <c r="M99" t="s">
        <v>78</v>
      </c>
      <c r="N99" t="s">
        <v>79</v>
      </c>
      <c r="O99" t="s">
        <v>74</v>
      </c>
      <c r="P99" t="s">
        <v>74</v>
      </c>
      <c r="Q99" t="s">
        <v>74</v>
      </c>
      <c r="R99" t="s">
        <v>74</v>
      </c>
      <c r="S99" t="s">
        <v>74</v>
      </c>
      <c r="T99" t="s">
        <v>1897</v>
      </c>
      <c r="U99" t="s">
        <v>1898</v>
      </c>
      <c r="V99" t="s">
        <v>1899</v>
      </c>
      <c r="W99" t="s">
        <v>1900</v>
      </c>
      <c r="X99" t="s">
        <v>1901</v>
      </c>
      <c r="Y99" t="s">
        <v>1902</v>
      </c>
      <c r="Z99" t="s">
        <v>1903</v>
      </c>
      <c r="AA99" t="s">
        <v>74</v>
      </c>
      <c r="AB99" t="s">
        <v>74</v>
      </c>
      <c r="AC99" t="s">
        <v>74</v>
      </c>
      <c r="AD99" t="s">
        <v>74</v>
      </c>
      <c r="AE99" t="s">
        <v>74</v>
      </c>
      <c r="AF99" t="s">
        <v>74</v>
      </c>
      <c r="AG99">
        <v>48</v>
      </c>
      <c r="AH99">
        <v>0</v>
      </c>
      <c r="AI99">
        <v>0</v>
      </c>
      <c r="AJ99">
        <v>4</v>
      </c>
      <c r="AK99">
        <v>4</v>
      </c>
      <c r="AL99" t="s">
        <v>92</v>
      </c>
      <c r="AM99" t="s">
        <v>93</v>
      </c>
      <c r="AN99" t="s">
        <v>94</v>
      </c>
      <c r="AO99" t="s">
        <v>226</v>
      </c>
      <c r="AP99" t="s">
        <v>227</v>
      </c>
      <c r="AQ99" t="s">
        <v>74</v>
      </c>
      <c r="AR99" t="s">
        <v>228</v>
      </c>
      <c r="AS99" t="s">
        <v>229</v>
      </c>
      <c r="AT99" t="s">
        <v>99</v>
      </c>
      <c r="AU99">
        <v>2023</v>
      </c>
      <c r="AV99">
        <v>82</v>
      </c>
      <c r="AW99">
        <v>1</v>
      </c>
      <c r="AX99" t="s">
        <v>74</v>
      </c>
      <c r="AY99" t="s">
        <v>74</v>
      </c>
      <c r="AZ99" t="s">
        <v>74</v>
      </c>
      <c r="BA99" t="s">
        <v>74</v>
      </c>
      <c r="BB99" t="s">
        <v>74</v>
      </c>
      <c r="BC99" t="s">
        <v>74</v>
      </c>
      <c r="BD99">
        <v>2221370</v>
      </c>
      <c r="BE99" t="s">
        <v>1904</v>
      </c>
      <c r="BF99" t="str">
        <f>HYPERLINK("http://dx.doi.org/10.1080/22423982.2023.2221370","http://dx.doi.org/10.1080/22423982.2023.2221370")</f>
        <v>http://dx.doi.org/10.1080/22423982.2023.2221370</v>
      </c>
      <c r="BG99" t="s">
        <v>74</v>
      </c>
      <c r="BH99" t="s">
        <v>74</v>
      </c>
      <c r="BI99">
        <v>9</v>
      </c>
      <c r="BJ99" t="s">
        <v>163</v>
      </c>
      <c r="BK99" t="s">
        <v>123</v>
      </c>
      <c r="BL99" t="s">
        <v>163</v>
      </c>
      <c r="BM99" t="s">
        <v>1905</v>
      </c>
      <c r="BN99">
        <v>37312577</v>
      </c>
      <c r="BO99" t="s">
        <v>165</v>
      </c>
      <c r="BP99" t="s">
        <v>74</v>
      </c>
      <c r="BQ99" t="s">
        <v>74</v>
      </c>
      <c r="BR99" t="s">
        <v>105</v>
      </c>
      <c r="BS99" t="s">
        <v>1906</v>
      </c>
      <c r="BT99" t="str">
        <f>HYPERLINK("https%3A%2F%2Fwww.webofscience.com%2Fwos%2Fwoscc%2Ffull-record%2FWOS:001007566100001","View Full Record in Web of Science")</f>
        <v>View Full Record in Web of Science</v>
      </c>
    </row>
    <row r="100" spans="1:72" x14ac:dyDescent="0.15">
      <c r="A100" t="s">
        <v>72</v>
      </c>
      <c r="B100" t="s">
        <v>1907</v>
      </c>
      <c r="C100" t="s">
        <v>74</v>
      </c>
      <c r="D100" t="s">
        <v>74</v>
      </c>
      <c r="E100" t="s">
        <v>74</v>
      </c>
      <c r="F100" t="s">
        <v>1908</v>
      </c>
      <c r="G100" t="s">
        <v>74</v>
      </c>
      <c r="H100" t="s">
        <v>74</v>
      </c>
      <c r="I100" t="s">
        <v>1909</v>
      </c>
      <c r="J100" t="s">
        <v>1910</v>
      </c>
      <c r="K100" t="s">
        <v>74</v>
      </c>
      <c r="L100" t="s">
        <v>74</v>
      </c>
      <c r="M100" t="s">
        <v>78</v>
      </c>
      <c r="N100" t="s">
        <v>79</v>
      </c>
      <c r="O100" t="s">
        <v>74</v>
      </c>
      <c r="P100" t="s">
        <v>74</v>
      </c>
      <c r="Q100" t="s">
        <v>74</v>
      </c>
      <c r="R100" t="s">
        <v>74</v>
      </c>
      <c r="S100" t="s">
        <v>74</v>
      </c>
      <c r="T100" t="s">
        <v>1911</v>
      </c>
      <c r="U100" t="s">
        <v>1912</v>
      </c>
      <c r="V100" t="s">
        <v>1913</v>
      </c>
      <c r="W100" t="s">
        <v>1914</v>
      </c>
      <c r="X100" t="s">
        <v>1915</v>
      </c>
      <c r="Y100" t="s">
        <v>1916</v>
      </c>
      <c r="Z100" t="s">
        <v>1917</v>
      </c>
      <c r="AA100" t="s">
        <v>74</v>
      </c>
      <c r="AB100" t="s">
        <v>74</v>
      </c>
      <c r="AC100" t="s">
        <v>1918</v>
      </c>
      <c r="AD100" t="s">
        <v>1919</v>
      </c>
      <c r="AE100" t="s">
        <v>1920</v>
      </c>
      <c r="AF100" t="s">
        <v>74</v>
      </c>
      <c r="AG100">
        <v>49</v>
      </c>
      <c r="AH100">
        <v>0</v>
      </c>
      <c r="AI100">
        <v>0</v>
      </c>
      <c r="AJ100">
        <v>3</v>
      </c>
      <c r="AK100">
        <v>4</v>
      </c>
      <c r="AL100" t="s">
        <v>92</v>
      </c>
      <c r="AM100" t="s">
        <v>93</v>
      </c>
      <c r="AN100" t="s">
        <v>94</v>
      </c>
      <c r="AO100" t="s">
        <v>1921</v>
      </c>
      <c r="AP100" t="s">
        <v>1922</v>
      </c>
      <c r="AQ100" t="s">
        <v>74</v>
      </c>
      <c r="AR100" t="s">
        <v>1910</v>
      </c>
      <c r="AS100" t="s">
        <v>1923</v>
      </c>
      <c r="AT100" t="s">
        <v>99</v>
      </c>
      <c r="AU100">
        <v>2023</v>
      </c>
      <c r="AV100">
        <v>45</v>
      </c>
      <c r="AW100">
        <v>1</v>
      </c>
      <c r="AX100" t="s">
        <v>74</v>
      </c>
      <c r="AY100" t="s">
        <v>74</v>
      </c>
      <c r="AZ100" t="s">
        <v>74</v>
      </c>
      <c r="BA100" t="s">
        <v>74</v>
      </c>
      <c r="BB100" t="s">
        <v>74</v>
      </c>
      <c r="BC100" t="s">
        <v>74</v>
      </c>
      <c r="BD100">
        <v>2173498</v>
      </c>
      <c r="BE100" t="s">
        <v>1924</v>
      </c>
      <c r="BF100" t="str">
        <f>HYPERLINK("http://dx.doi.org/10.1080/0886022X.2023.2173498","http://dx.doi.org/10.1080/0886022X.2023.2173498")</f>
        <v>http://dx.doi.org/10.1080/0886022X.2023.2173498</v>
      </c>
      <c r="BG100" t="s">
        <v>74</v>
      </c>
      <c r="BH100" t="s">
        <v>74</v>
      </c>
      <c r="BI100">
        <v>9</v>
      </c>
      <c r="BJ100" t="s">
        <v>1925</v>
      </c>
      <c r="BK100" t="s">
        <v>102</v>
      </c>
      <c r="BL100" t="s">
        <v>1925</v>
      </c>
      <c r="BM100" t="s">
        <v>1926</v>
      </c>
      <c r="BN100">
        <v>36728812</v>
      </c>
      <c r="BO100" t="s">
        <v>1927</v>
      </c>
      <c r="BP100" t="s">
        <v>74</v>
      </c>
      <c r="BQ100" t="s">
        <v>74</v>
      </c>
      <c r="BR100" t="s">
        <v>105</v>
      </c>
      <c r="BS100" t="s">
        <v>1928</v>
      </c>
      <c r="BT100" t="str">
        <f>HYPERLINK("https%3A%2F%2Fwww.webofscience.com%2Fwos%2Fwoscc%2Ffull-record%2FWOS:000922302600001","View Full Record in Web of Science")</f>
        <v>View Full Record in Web of Science</v>
      </c>
    </row>
    <row r="101" spans="1:72" x14ac:dyDescent="0.15">
      <c r="A101" t="s">
        <v>72</v>
      </c>
      <c r="B101" t="s">
        <v>1929</v>
      </c>
      <c r="C101" t="s">
        <v>74</v>
      </c>
      <c r="D101" t="s">
        <v>74</v>
      </c>
      <c r="E101" t="s">
        <v>74</v>
      </c>
      <c r="F101" t="s">
        <v>1930</v>
      </c>
      <c r="G101" t="s">
        <v>74</v>
      </c>
      <c r="H101" t="s">
        <v>74</v>
      </c>
      <c r="I101" t="s">
        <v>1931</v>
      </c>
      <c r="J101" t="s">
        <v>1613</v>
      </c>
      <c r="K101" t="s">
        <v>74</v>
      </c>
      <c r="L101" t="s">
        <v>74</v>
      </c>
      <c r="M101" t="s">
        <v>78</v>
      </c>
      <c r="N101" t="s">
        <v>171</v>
      </c>
      <c r="O101" t="s">
        <v>74</v>
      </c>
      <c r="P101" t="s">
        <v>74</v>
      </c>
      <c r="Q101" t="s">
        <v>74</v>
      </c>
      <c r="R101" t="s">
        <v>74</v>
      </c>
      <c r="S101" t="s">
        <v>74</v>
      </c>
      <c r="T101" t="s">
        <v>1932</v>
      </c>
      <c r="U101" t="s">
        <v>1933</v>
      </c>
      <c r="V101" t="s">
        <v>1934</v>
      </c>
      <c r="W101" t="s">
        <v>1935</v>
      </c>
      <c r="X101" t="s">
        <v>1936</v>
      </c>
      <c r="Y101" t="s">
        <v>1937</v>
      </c>
      <c r="Z101" t="s">
        <v>1938</v>
      </c>
      <c r="AA101" t="s">
        <v>74</v>
      </c>
      <c r="AB101" t="s">
        <v>74</v>
      </c>
      <c r="AC101" t="s">
        <v>1939</v>
      </c>
      <c r="AD101" t="s">
        <v>1940</v>
      </c>
      <c r="AE101" t="s">
        <v>1941</v>
      </c>
      <c r="AF101" t="s">
        <v>74</v>
      </c>
      <c r="AG101">
        <v>121</v>
      </c>
      <c r="AH101">
        <v>0</v>
      </c>
      <c r="AI101">
        <v>0</v>
      </c>
      <c r="AJ101">
        <v>8</v>
      </c>
      <c r="AK101">
        <v>8</v>
      </c>
      <c r="AL101" t="s">
        <v>184</v>
      </c>
      <c r="AM101" t="s">
        <v>185</v>
      </c>
      <c r="AN101" t="s">
        <v>186</v>
      </c>
      <c r="AO101" t="s">
        <v>1621</v>
      </c>
      <c r="AP101" t="s">
        <v>1622</v>
      </c>
      <c r="AQ101" t="s">
        <v>74</v>
      </c>
      <c r="AR101" t="s">
        <v>1613</v>
      </c>
      <c r="AS101" t="s">
        <v>1623</v>
      </c>
      <c r="AT101" t="s">
        <v>99</v>
      </c>
      <c r="AU101">
        <v>2023</v>
      </c>
      <c r="AV101">
        <v>15</v>
      </c>
      <c r="AW101">
        <v>1</v>
      </c>
      <c r="AX101" t="s">
        <v>74</v>
      </c>
      <c r="AY101" t="s">
        <v>74</v>
      </c>
      <c r="AZ101" t="s">
        <v>74</v>
      </c>
      <c r="BA101" t="s">
        <v>74</v>
      </c>
      <c r="BB101" t="s">
        <v>74</v>
      </c>
      <c r="BC101" t="s">
        <v>74</v>
      </c>
      <c r="BD101">
        <v>2233146</v>
      </c>
      <c r="BE101" t="s">
        <v>1942</v>
      </c>
      <c r="BF101" t="str">
        <f>HYPERLINK("http://dx.doi.org/10.1080/19490976.2023.2233146","http://dx.doi.org/10.1080/19490976.2023.2233146")</f>
        <v>http://dx.doi.org/10.1080/19490976.2023.2233146</v>
      </c>
      <c r="BG101" t="s">
        <v>74</v>
      </c>
      <c r="BH101" t="s">
        <v>74</v>
      </c>
      <c r="BI101">
        <v>33</v>
      </c>
      <c r="BJ101" t="s">
        <v>1625</v>
      </c>
      <c r="BK101" t="s">
        <v>102</v>
      </c>
      <c r="BL101" t="s">
        <v>1625</v>
      </c>
      <c r="BM101" t="s">
        <v>1943</v>
      </c>
      <c r="BN101">
        <v>37431857</v>
      </c>
      <c r="BO101" t="s">
        <v>165</v>
      </c>
      <c r="BP101" t="s">
        <v>74</v>
      </c>
      <c r="BQ101" t="s">
        <v>74</v>
      </c>
      <c r="BR101" t="s">
        <v>105</v>
      </c>
      <c r="BS101" t="s">
        <v>1944</v>
      </c>
      <c r="BT101" t="str">
        <f>HYPERLINK("https%3A%2F%2Fwww.webofscience.com%2Fwos%2Fwoscc%2Ffull-record%2FWOS:001023791200001","View Full Record in Web of Science")</f>
        <v>View Full Record in Web of Science</v>
      </c>
    </row>
    <row r="102" spans="1:72" x14ac:dyDescent="0.15">
      <c r="A102" t="s">
        <v>72</v>
      </c>
      <c r="B102" t="s">
        <v>1945</v>
      </c>
      <c r="C102" t="s">
        <v>74</v>
      </c>
      <c r="D102" t="s">
        <v>74</v>
      </c>
      <c r="E102" t="s">
        <v>74</v>
      </c>
      <c r="F102" t="s">
        <v>1946</v>
      </c>
      <c r="G102" t="s">
        <v>74</v>
      </c>
      <c r="H102" t="s">
        <v>74</v>
      </c>
      <c r="I102" t="s">
        <v>1947</v>
      </c>
      <c r="J102" t="s">
        <v>217</v>
      </c>
      <c r="K102" t="s">
        <v>74</v>
      </c>
      <c r="L102" t="s">
        <v>74</v>
      </c>
      <c r="M102" t="s">
        <v>78</v>
      </c>
      <c r="N102" t="s">
        <v>79</v>
      </c>
      <c r="O102" t="s">
        <v>74</v>
      </c>
      <c r="P102" t="s">
        <v>74</v>
      </c>
      <c r="Q102" t="s">
        <v>74</v>
      </c>
      <c r="R102" t="s">
        <v>74</v>
      </c>
      <c r="S102" t="s">
        <v>74</v>
      </c>
      <c r="T102" t="s">
        <v>1948</v>
      </c>
      <c r="U102" t="s">
        <v>1949</v>
      </c>
      <c r="V102" t="s">
        <v>1950</v>
      </c>
      <c r="W102" t="s">
        <v>1951</v>
      </c>
      <c r="X102" t="s">
        <v>1952</v>
      </c>
      <c r="Y102" t="s">
        <v>1953</v>
      </c>
      <c r="Z102" t="s">
        <v>1954</v>
      </c>
      <c r="AA102" t="s">
        <v>74</v>
      </c>
      <c r="AB102" t="s">
        <v>1955</v>
      </c>
      <c r="AC102" t="s">
        <v>74</v>
      </c>
      <c r="AD102" t="s">
        <v>74</v>
      </c>
      <c r="AE102" t="s">
        <v>74</v>
      </c>
      <c r="AF102" t="s">
        <v>74</v>
      </c>
      <c r="AG102">
        <v>67</v>
      </c>
      <c r="AH102">
        <v>0</v>
      </c>
      <c r="AI102">
        <v>0</v>
      </c>
      <c r="AJ102">
        <v>3</v>
      </c>
      <c r="AK102">
        <v>12</v>
      </c>
      <c r="AL102" t="s">
        <v>92</v>
      </c>
      <c r="AM102" t="s">
        <v>93</v>
      </c>
      <c r="AN102" t="s">
        <v>94</v>
      </c>
      <c r="AO102" t="s">
        <v>226</v>
      </c>
      <c r="AP102" t="s">
        <v>227</v>
      </c>
      <c r="AQ102" t="s">
        <v>74</v>
      </c>
      <c r="AR102" t="s">
        <v>228</v>
      </c>
      <c r="AS102" t="s">
        <v>229</v>
      </c>
      <c r="AT102" t="s">
        <v>99</v>
      </c>
      <c r="AU102">
        <v>2023</v>
      </c>
      <c r="AV102">
        <v>82</v>
      </c>
      <c r="AW102">
        <v>1</v>
      </c>
      <c r="AX102" t="s">
        <v>74</v>
      </c>
      <c r="AY102" t="s">
        <v>74</v>
      </c>
      <c r="AZ102" t="s">
        <v>74</v>
      </c>
      <c r="BA102" t="s">
        <v>74</v>
      </c>
      <c r="BB102" t="s">
        <v>74</v>
      </c>
      <c r="BC102" t="s">
        <v>74</v>
      </c>
      <c r="BD102">
        <v>2159888</v>
      </c>
      <c r="BE102" t="s">
        <v>1956</v>
      </c>
      <c r="BF102" t="str">
        <f>HYPERLINK("http://dx.doi.org/10.1080/22423982.2022.2159888","http://dx.doi.org/10.1080/22423982.2022.2159888")</f>
        <v>http://dx.doi.org/10.1080/22423982.2022.2159888</v>
      </c>
      <c r="BG102" t="s">
        <v>74</v>
      </c>
      <c r="BH102" t="s">
        <v>74</v>
      </c>
      <c r="BI102">
        <v>10</v>
      </c>
      <c r="BJ102" t="s">
        <v>163</v>
      </c>
      <c r="BK102" t="s">
        <v>123</v>
      </c>
      <c r="BL102" t="s">
        <v>163</v>
      </c>
      <c r="BM102" t="s">
        <v>1957</v>
      </c>
      <c r="BN102">
        <v>36544274</v>
      </c>
      <c r="BO102" t="s">
        <v>1958</v>
      </c>
      <c r="BP102" t="s">
        <v>74</v>
      </c>
      <c r="BQ102" t="s">
        <v>74</v>
      </c>
      <c r="BR102" t="s">
        <v>105</v>
      </c>
      <c r="BS102" t="s">
        <v>1959</v>
      </c>
      <c r="BT102" t="str">
        <f>HYPERLINK("https%3A%2F%2Fwww.webofscience.com%2Fwos%2Fwoscc%2Ffull-record%2FWOS:000900831000001","View Full Record in Web of Science")</f>
        <v>View Full Record in Web of Science</v>
      </c>
    </row>
    <row r="103" spans="1:72" x14ac:dyDescent="0.15">
      <c r="A103" t="s">
        <v>72</v>
      </c>
      <c r="B103" t="s">
        <v>1960</v>
      </c>
      <c r="C103" t="s">
        <v>74</v>
      </c>
      <c r="D103" t="s">
        <v>74</v>
      </c>
      <c r="E103" t="s">
        <v>74</v>
      </c>
      <c r="F103" t="s">
        <v>1961</v>
      </c>
      <c r="G103" t="s">
        <v>74</v>
      </c>
      <c r="H103" t="s">
        <v>74</v>
      </c>
      <c r="I103" t="s">
        <v>1962</v>
      </c>
      <c r="J103" t="s">
        <v>1078</v>
      </c>
      <c r="K103" t="s">
        <v>74</v>
      </c>
      <c r="L103" t="s">
        <v>74</v>
      </c>
      <c r="M103" t="s">
        <v>78</v>
      </c>
      <c r="N103" t="s">
        <v>79</v>
      </c>
      <c r="O103" t="s">
        <v>74</v>
      </c>
      <c r="P103" t="s">
        <v>74</v>
      </c>
      <c r="Q103" t="s">
        <v>74</v>
      </c>
      <c r="R103" t="s">
        <v>74</v>
      </c>
      <c r="S103" t="s">
        <v>74</v>
      </c>
      <c r="T103" t="s">
        <v>1963</v>
      </c>
      <c r="U103" t="s">
        <v>1964</v>
      </c>
      <c r="V103" t="s">
        <v>1965</v>
      </c>
      <c r="W103" t="s">
        <v>1966</v>
      </c>
      <c r="X103" t="s">
        <v>1967</v>
      </c>
      <c r="Y103" t="s">
        <v>1968</v>
      </c>
      <c r="Z103" t="s">
        <v>1969</v>
      </c>
      <c r="AA103" t="s">
        <v>74</v>
      </c>
      <c r="AB103" t="s">
        <v>1970</v>
      </c>
      <c r="AC103" t="s">
        <v>1971</v>
      </c>
      <c r="AD103" t="s">
        <v>1972</v>
      </c>
      <c r="AE103" t="s">
        <v>1973</v>
      </c>
      <c r="AF103" t="s">
        <v>74</v>
      </c>
      <c r="AG103">
        <v>36</v>
      </c>
      <c r="AH103">
        <v>0</v>
      </c>
      <c r="AI103">
        <v>0</v>
      </c>
      <c r="AJ103">
        <v>3</v>
      </c>
      <c r="AK103">
        <v>3</v>
      </c>
      <c r="AL103" t="s">
        <v>287</v>
      </c>
      <c r="AM103" t="s">
        <v>288</v>
      </c>
      <c r="AN103" t="s">
        <v>289</v>
      </c>
      <c r="AO103" t="s">
        <v>1090</v>
      </c>
      <c r="AP103" t="s">
        <v>74</v>
      </c>
      <c r="AQ103" t="s">
        <v>74</v>
      </c>
      <c r="AR103" t="s">
        <v>1091</v>
      </c>
      <c r="AS103" t="s">
        <v>1092</v>
      </c>
      <c r="AT103" t="s">
        <v>99</v>
      </c>
      <c r="AU103">
        <v>2023</v>
      </c>
      <c r="AV103">
        <v>10</v>
      </c>
      <c r="AW103">
        <v>1</v>
      </c>
      <c r="AX103" t="s">
        <v>74</v>
      </c>
      <c r="AY103" t="s">
        <v>74</v>
      </c>
      <c r="AZ103" t="s">
        <v>74</v>
      </c>
      <c r="BA103" t="s">
        <v>74</v>
      </c>
      <c r="BB103" t="s">
        <v>74</v>
      </c>
      <c r="BC103" t="s">
        <v>74</v>
      </c>
      <c r="BD103">
        <v>2220492</v>
      </c>
      <c r="BE103" t="s">
        <v>1974</v>
      </c>
      <c r="BF103" t="str">
        <f>HYPERLINK("http://dx.doi.org/10.1080/23311916.2023.2220492","http://dx.doi.org/10.1080/23311916.2023.2220492")</f>
        <v>http://dx.doi.org/10.1080/23311916.2023.2220492</v>
      </c>
      <c r="BG103" t="s">
        <v>74</v>
      </c>
      <c r="BH103" t="s">
        <v>74</v>
      </c>
      <c r="BI103">
        <v>20</v>
      </c>
      <c r="BJ103" t="s">
        <v>1094</v>
      </c>
      <c r="BK103" t="s">
        <v>211</v>
      </c>
      <c r="BL103" t="s">
        <v>1095</v>
      </c>
      <c r="BM103" t="s">
        <v>1975</v>
      </c>
      <c r="BN103" t="s">
        <v>74</v>
      </c>
      <c r="BO103" t="s">
        <v>126</v>
      </c>
      <c r="BP103" t="s">
        <v>74</v>
      </c>
      <c r="BQ103" t="s">
        <v>74</v>
      </c>
      <c r="BR103" t="s">
        <v>105</v>
      </c>
      <c r="BS103" t="s">
        <v>1976</v>
      </c>
      <c r="BT103" t="str">
        <f>HYPERLINK("https%3A%2F%2Fwww.webofscience.com%2Fwos%2Fwoscc%2Ffull-record%2FWOS:001005746900001","View Full Record in Web of Science")</f>
        <v>View Full Record in Web of Science</v>
      </c>
    </row>
    <row r="104" spans="1:72" x14ac:dyDescent="0.15">
      <c r="A104" t="s">
        <v>72</v>
      </c>
      <c r="B104" t="s">
        <v>1977</v>
      </c>
      <c r="C104" t="s">
        <v>74</v>
      </c>
      <c r="D104" t="s">
        <v>74</v>
      </c>
      <c r="E104" t="s">
        <v>74</v>
      </c>
      <c r="F104" t="s">
        <v>1978</v>
      </c>
      <c r="G104" t="s">
        <v>74</v>
      </c>
      <c r="H104" t="s">
        <v>74</v>
      </c>
      <c r="I104" t="s">
        <v>1979</v>
      </c>
      <c r="J104" t="s">
        <v>1980</v>
      </c>
      <c r="K104" t="s">
        <v>74</v>
      </c>
      <c r="L104" t="s">
        <v>74</v>
      </c>
      <c r="M104" t="s">
        <v>78</v>
      </c>
      <c r="N104" t="s">
        <v>79</v>
      </c>
      <c r="O104" t="s">
        <v>74</v>
      </c>
      <c r="P104" t="s">
        <v>74</v>
      </c>
      <c r="Q104" t="s">
        <v>74</v>
      </c>
      <c r="R104" t="s">
        <v>74</v>
      </c>
      <c r="S104" t="s">
        <v>74</v>
      </c>
      <c r="T104" t="s">
        <v>1981</v>
      </c>
      <c r="U104" t="s">
        <v>1982</v>
      </c>
      <c r="V104" t="s">
        <v>1983</v>
      </c>
      <c r="W104" t="s">
        <v>1984</v>
      </c>
      <c r="X104" t="s">
        <v>1985</v>
      </c>
      <c r="Y104" t="s">
        <v>1986</v>
      </c>
      <c r="Z104" t="s">
        <v>1987</v>
      </c>
      <c r="AA104" t="s">
        <v>74</v>
      </c>
      <c r="AB104" t="s">
        <v>74</v>
      </c>
      <c r="AC104" t="s">
        <v>1988</v>
      </c>
      <c r="AD104" t="s">
        <v>1368</v>
      </c>
      <c r="AE104" t="s">
        <v>1989</v>
      </c>
      <c r="AF104" t="s">
        <v>74</v>
      </c>
      <c r="AG104">
        <v>53</v>
      </c>
      <c r="AH104">
        <v>0</v>
      </c>
      <c r="AI104">
        <v>0</v>
      </c>
      <c r="AJ104">
        <v>8</v>
      </c>
      <c r="AK104">
        <v>8</v>
      </c>
      <c r="AL104" t="s">
        <v>184</v>
      </c>
      <c r="AM104" t="s">
        <v>185</v>
      </c>
      <c r="AN104" t="s">
        <v>186</v>
      </c>
      <c r="AO104" t="s">
        <v>1990</v>
      </c>
      <c r="AP104" t="s">
        <v>1991</v>
      </c>
      <c r="AQ104" t="s">
        <v>74</v>
      </c>
      <c r="AR104" t="s">
        <v>1980</v>
      </c>
      <c r="AS104" t="s">
        <v>1992</v>
      </c>
      <c r="AT104" t="s">
        <v>99</v>
      </c>
      <c r="AU104">
        <v>2023</v>
      </c>
      <c r="AV104">
        <v>14</v>
      </c>
      <c r="AW104">
        <v>1</v>
      </c>
      <c r="AX104" t="s">
        <v>74</v>
      </c>
      <c r="AY104" t="s">
        <v>74</v>
      </c>
      <c r="AZ104" t="s">
        <v>74</v>
      </c>
      <c r="BA104" t="s">
        <v>74</v>
      </c>
      <c r="BB104" t="s">
        <v>74</v>
      </c>
      <c r="BC104" t="s">
        <v>74</v>
      </c>
      <c r="BD104">
        <v>2232707</v>
      </c>
      <c r="BE104" t="s">
        <v>1993</v>
      </c>
      <c r="BF104" t="str">
        <f>HYPERLINK("http://dx.doi.org/10.1080/21505594.2023.2232707","http://dx.doi.org/10.1080/21505594.2023.2232707")</f>
        <v>http://dx.doi.org/10.1080/21505594.2023.2232707</v>
      </c>
      <c r="BG104" t="s">
        <v>74</v>
      </c>
      <c r="BH104" t="s">
        <v>74</v>
      </c>
      <c r="BI104">
        <v>11</v>
      </c>
      <c r="BJ104" t="s">
        <v>752</v>
      </c>
      <c r="BK104" t="s">
        <v>102</v>
      </c>
      <c r="BL104" t="s">
        <v>752</v>
      </c>
      <c r="BM104" t="s">
        <v>1994</v>
      </c>
      <c r="BN104">
        <v>37442088</v>
      </c>
      <c r="BO104" t="s">
        <v>165</v>
      </c>
      <c r="BP104" t="s">
        <v>74</v>
      </c>
      <c r="BQ104" t="s">
        <v>74</v>
      </c>
      <c r="BR104" t="s">
        <v>105</v>
      </c>
      <c r="BS104" t="s">
        <v>1995</v>
      </c>
      <c r="BT104" t="str">
        <f>HYPERLINK("https%3A%2F%2Fwww.webofscience.com%2Fwos%2Fwoscc%2Ffull-record%2FWOS:001024489900001","View Full Record in Web of Science")</f>
        <v>View Full Record in Web of Science</v>
      </c>
    </row>
    <row r="105" spans="1:72" x14ac:dyDescent="0.15">
      <c r="A105" t="s">
        <v>72</v>
      </c>
      <c r="B105" t="s">
        <v>1996</v>
      </c>
      <c r="C105" t="s">
        <v>74</v>
      </c>
      <c r="D105" t="s">
        <v>74</v>
      </c>
      <c r="E105" t="s">
        <v>74</v>
      </c>
      <c r="F105" t="s">
        <v>1997</v>
      </c>
      <c r="G105" t="s">
        <v>74</v>
      </c>
      <c r="H105" t="s">
        <v>74</v>
      </c>
      <c r="I105" t="s">
        <v>1998</v>
      </c>
      <c r="J105" t="s">
        <v>1118</v>
      </c>
      <c r="K105" t="s">
        <v>74</v>
      </c>
      <c r="L105" t="s">
        <v>74</v>
      </c>
      <c r="M105" t="s">
        <v>78</v>
      </c>
      <c r="N105" t="s">
        <v>79</v>
      </c>
      <c r="O105" t="s">
        <v>74</v>
      </c>
      <c r="P105" t="s">
        <v>74</v>
      </c>
      <c r="Q105" t="s">
        <v>74</v>
      </c>
      <c r="R105" t="s">
        <v>74</v>
      </c>
      <c r="S105" t="s">
        <v>74</v>
      </c>
      <c r="T105" t="s">
        <v>1999</v>
      </c>
      <c r="U105" t="s">
        <v>74</v>
      </c>
      <c r="V105" t="s">
        <v>2000</v>
      </c>
      <c r="W105" t="s">
        <v>2001</v>
      </c>
      <c r="X105" t="s">
        <v>2002</v>
      </c>
      <c r="Y105" t="s">
        <v>2003</v>
      </c>
      <c r="Z105" t="s">
        <v>2004</v>
      </c>
      <c r="AA105" t="s">
        <v>74</v>
      </c>
      <c r="AB105" t="s">
        <v>74</v>
      </c>
      <c r="AC105" t="s">
        <v>2005</v>
      </c>
      <c r="AD105" t="s">
        <v>2006</v>
      </c>
      <c r="AE105" t="s">
        <v>2007</v>
      </c>
      <c r="AF105" t="s">
        <v>74</v>
      </c>
      <c r="AG105">
        <v>22</v>
      </c>
      <c r="AH105">
        <v>0</v>
      </c>
      <c r="AI105">
        <v>0</v>
      </c>
      <c r="AJ105">
        <v>25</v>
      </c>
      <c r="AK105">
        <v>25</v>
      </c>
      <c r="AL105" t="s">
        <v>92</v>
      </c>
      <c r="AM105" t="s">
        <v>93</v>
      </c>
      <c r="AN105" t="s">
        <v>94</v>
      </c>
      <c r="AO105" t="s">
        <v>1130</v>
      </c>
      <c r="AP105" t="s">
        <v>1131</v>
      </c>
      <c r="AQ105" t="s">
        <v>74</v>
      </c>
      <c r="AR105" t="s">
        <v>1132</v>
      </c>
      <c r="AS105" t="s">
        <v>1133</v>
      </c>
      <c r="AT105" t="s">
        <v>99</v>
      </c>
      <c r="AU105">
        <v>2023</v>
      </c>
      <c r="AV105">
        <v>21</v>
      </c>
      <c r="AW105">
        <v>1</v>
      </c>
      <c r="AX105" t="s">
        <v>74</v>
      </c>
      <c r="AY105" t="s">
        <v>74</v>
      </c>
      <c r="AZ105" t="s">
        <v>74</v>
      </c>
      <c r="BA105" t="s">
        <v>74</v>
      </c>
      <c r="BB105">
        <v>293</v>
      </c>
      <c r="BC105">
        <v>301</v>
      </c>
      <c r="BD105" t="s">
        <v>74</v>
      </c>
      <c r="BE105" t="s">
        <v>2008</v>
      </c>
      <c r="BF105" t="str">
        <f>HYPERLINK("http://dx.doi.org/10.1080/19476337.2023.2197027","http://dx.doi.org/10.1080/19476337.2023.2197027")</f>
        <v>http://dx.doi.org/10.1080/19476337.2023.2197027</v>
      </c>
      <c r="BG105" t="s">
        <v>74</v>
      </c>
      <c r="BH105" t="s">
        <v>74</v>
      </c>
      <c r="BI105">
        <v>9</v>
      </c>
      <c r="BJ105" t="s">
        <v>192</v>
      </c>
      <c r="BK105" t="s">
        <v>102</v>
      </c>
      <c r="BL105" t="s">
        <v>192</v>
      </c>
      <c r="BM105" t="s">
        <v>2009</v>
      </c>
      <c r="BN105" t="s">
        <v>74</v>
      </c>
      <c r="BO105" t="s">
        <v>126</v>
      </c>
      <c r="BP105" t="s">
        <v>74</v>
      </c>
      <c r="BQ105" t="s">
        <v>74</v>
      </c>
      <c r="BR105" t="s">
        <v>105</v>
      </c>
      <c r="BS105" t="s">
        <v>2010</v>
      </c>
      <c r="BT105" t="str">
        <f>HYPERLINK("https%3A%2F%2Fwww.webofscience.com%2Fwos%2Fwoscc%2Ffull-record%2FWOS:000969133200001","View Full Record in Web of Science")</f>
        <v>View Full Record in Web of Science</v>
      </c>
    </row>
    <row r="106" spans="1:72" x14ac:dyDescent="0.15">
      <c r="A106" t="s">
        <v>72</v>
      </c>
      <c r="B106" t="s">
        <v>2011</v>
      </c>
      <c r="C106" t="s">
        <v>74</v>
      </c>
      <c r="D106" t="s">
        <v>74</v>
      </c>
      <c r="E106" t="s">
        <v>74</v>
      </c>
      <c r="F106" t="s">
        <v>2012</v>
      </c>
      <c r="G106" t="s">
        <v>74</v>
      </c>
      <c r="H106" t="s">
        <v>74</v>
      </c>
      <c r="I106" t="s">
        <v>2013</v>
      </c>
      <c r="J106" t="s">
        <v>1723</v>
      </c>
      <c r="K106" t="s">
        <v>74</v>
      </c>
      <c r="L106" t="s">
        <v>74</v>
      </c>
      <c r="M106" t="s">
        <v>78</v>
      </c>
      <c r="N106" t="s">
        <v>171</v>
      </c>
      <c r="O106" t="s">
        <v>74</v>
      </c>
      <c r="P106" t="s">
        <v>74</v>
      </c>
      <c r="Q106" t="s">
        <v>74</v>
      </c>
      <c r="R106" t="s">
        <v>74</v>
      </c>
      <c r="S106" t="s">
        <v>74</v>
      </c>
      <c r="T106" t="s">
        <v>2014</v>
      </c>
      <c r="U106" t="s">
        <v>2015</v>
      </c>
      <c r="V106" t="s">
        <v>2016</v>
      </c>
      <c r="W106" t="s">
        <v>2017</v>
      </c>
      <c r="X106" t="s">
        <v>74</v>
      </c>
      <c r="Y106" t="s">
        <v>2018</v>
      </c>
      <c r="Z106" t="s">
        <v>2019</v>
      </c>
      <c r="AA106" t="s">
        <v>74</v>
      </c>
      <c r="AB106" t="s">
        <v>74</v>
      </c>
      <c r="AC106" t="s">
        <v>2020</v>
      </c>
      <c r="AD106" t="s">
        <v>2020</v>
      </c>
      <c r="AE106" t="s">
        <v>2020</v>
      </c>
      <c r="AF106" t="s">
        <v>74</v>
      </c>
      <c r="AG106">
        <v>45</v>
      </c>
      <c r="AH106">
        <v>0</v>
      </c>
      <c r="AI106">
        <v>0</v>
      </c>
      <c r="AJ106">
        <v>0</v>
      </c>
      <c r="AK106">
        <v>0</v>
      </c>
      <c r="AL106" t="s">
        <v>92</v>
      </c>
      <c r="AM106" t="s">
        <v>93</v>
      </c>
      <c r="AN106" t="s">
        <v>94</v>
      </c>
      <c r="AO106" t="s">
        <v>1731</v>
      </c>
      <c r="AP106" t="s">
        <v>1732</v>
      </c>
      <c r="AQ106" t="s">
        <v>74</v>
      </c>
      <c r="AR106" t="s">
        <v>1723</v>
      </c>
      <c r="AS106" t="s">
        <v>1733</v>
      </c>
      <c r="AT106" t="s">
        <v>99</v>
      </c>
      <c r="AU106">
        <v>2023</v>
      </c>
      <c r="AV106">
        <v>32</v>
      </c>
      <c r="AW106">
        <v>1</v>
      </c>
      <c r="AX106" t="s">
        <v>74</v>
      </c>
      <c r="AY106" t="s">
        <v>74</v>
      </c>
      <c r="AZ106" t="s">
        <v>74</v>
      </c>
      <c r="BA106" t="s">
        <v>74</v>
      </c>
      <c r="BB106" t="s">
        <v>74</v>
      </c>
      <c r="BC106" t="s">
        <v>74</v>
      </c>
      <c r="BD106">
        <v>2242501</v>
      </c>
      <c r="BE106" t="s">
        <v>2021</v>
      </c>
      <c r="BF106" t="str">
        <f>HYPERLINK("http://dx.doi.org/10.1080/08037051.2023.2242501","http://dx.doi.org/10.1080/08037051.2023.2242501")</f>
        <v>http://dx.doi.org/10.1080/08037051.2023.2242501</v>
      </c>
      <c r="BG106" t="s">
        <v>74</v>
      </c>
      <c r="BH106" t="s">
        <v>74</v>
      </c>
      <c r="BI106">
        <v>10</v>
      </c>
      <c r="BJ106" t="s">
        <v>1735</v>
      </c>
      <c r="BK106" t="s">
        <v>102</v>
      </c>
      <c r="BL106" t="s">
        <v>1736</v>
      </c>
      <c r="BM106" t="s">
        <v>2022</v>
      </c>
      <c r="BN106">
        <v>37652401</v>
      </c>
      <c r="BO106" t="s">
        <v>126</v>
      </c>
      <c r="BP106" t="s">
        <v>74</v>
      </c>
      <c r="BQ106" t="s">
        <v>74</v>
      </c>
      <c r="BR106" t="s">
        <v>105</v>
      </c>
      <c r="BS106" t="s">
        <v>2023</v>
      </c>
      <c r="BT106" t="str">
        <f>HYPERLINK("https%3A%2F%2Fwww.webofscience.com%2Fwos%2Fwoscc%2Ffull-record%2FWOS:001056129900001","View Full Record in Web of Science")</f>
        <v>View Full Record in Web of Science</v>
      </c>
    </row>
    <row r="107" spans="1:72" x14ac:dyDescent="0.15">
      <c r="A107" t="s">
        <v>72</v>
      </c>
      <c r="B107" t="s">
        <v>2024</v>
      </c>
      <c r="C107" t="s">
        <v>74</v>
      </c>
      <c r="D107" t="s">
        <v>74</v>
      </c>
      <c r="E107" t="s">
        <v>74</v>
      </c>
      <c r="F107" t="s">
        <v>2025</v>
      </c>
      <c r="G107" t="s">
        <v>74</v>
      </c>
      <c r="H107" t="s">
        <v>74</v>
      </c>
      <c r="I107" t="s">
        <v>2026</v>
      </c>
      <c r="J107" t="s">
        <v>1613</v>
      </c>
      <c r="K107" t="s">
        <v>74</v>
      </c>
      <c r="L107" t="s">
        <v>74</v>
      </c>
      <c r="M107" t="s">
        <v>78</v>
      </c>
      <c r="N107" t="s">
        <v>171</v>
      </c>
      <c r="O107" t="s">
        <v>74</v>
      </c>
      <c r="P107" t="s">
        <v>74</v>
      </c>
      <c r="Q107" t="s">
        <v>74</v>
      </c>
      <c r="R107" t="s">
        <v>74</v>
      </c>
      <c r="S107" t="s">
        <v>74</v>
      </c>
      <c r="T107" t="s">
        <v>2027</v>
      </c>
      <c r="U107" t="s">
        <v>2028</v>
      </c>
      <c r="V107" t="s">
        <v>2029</v>
      </c>
      <c r="W107" t="s">
        <v>2030</v>
      </c>
      <c r="X107" t="s">
        <v>2031</v>
      </c>
      <c r="Y107" t="s">
        <v>2032</v>
      </c>
      <c r="Z107" t="s">
        <v>2033</v>
      </c>
      <c r="AA107" t="s">
        <v>74</v>
      </c>
      <c r="AB107" t="s">
        <v>74</v>
      </c>
      <c r="AC107" t="s">
        <v>2034</v>
      </c>
      <c r="AD107" t="s">
        <v>2035</v>
      </c>
      <c r="AE107" t="s">
        <v>2036</v>
      </c>
      <c r="AF107" t="s">
        <v>74</v>
      </c>
      <c r="AG107">
        <v>136</v>
      </c>
      <c r="AH107">
        <v>0</v>
      </c>
      <c r="AI107">
        <v>0</v>
      </c>
      <c r="AJ107">
        <v>6</v>
      </c>
      <c r="AK107">
        <v>6</v>
      </c>
      <c r="AL107" t="s">
        <v>184</v>
      </c>
      <c r="AM107" t="s">
        <v>185</v>
      </c>
      <c r="AN107" t="s">
        <v>186</v>
      </c>
      <c r="AO107" t="s">
        <v>1621</v>
      </c>
      <c r="AP107" t="s">
        <v>1622</v>
      </c>
      <c r="AQ107" t="s">
        <v>74</v>
      </c>
      <c r="AR107" t="s">
        <v>1613</v>
      </c>
      <c r="AS107" t="s">
        <v>1623</v>
      </c>
      <c r="AT107" t="s">
        <v>99</v>
      </c>
      <c r="AU107">
        <v>2023</v>
      </c>
      <c r="AV107">
        <v>15</v>
      </c>
      <c r="AW107">
        <v>1</v>
      </c>
      <c r="AX107" t="s">
        <v>74</v>
      </c>
      <c r="AY107" t="s">
        <v>74</v>
      </c>
      <c r="AZ107" t="s">
        <v>74</v>
      </c>
      <c r="BA107" t="s">
        <v>74</v>
      </c>
      <c r="BB107" t="s">
        <v>74</v>
      </c>
      <c r="BC107" t="s">
        <v>74</v>
      </c>
      <c r="BD107">
        <v>2236749</v>
      </c>
      <c r="BE107" t="s">
        <v>2037</v>
      </c>
      <c r="BF107" t="str">
        <f>HYPERLINK("http://dx.doi.org/10.1080/19490976.2023.2236749","http://dx.doi.org/10.1080/19490976.2023.2236749")</f>
        <v>http://dx.doi.org/10.1080/19490976.2023.2236749</v>
      </c>
      <c r="BG107" t="s">
        <v>74</v>
      </c>
      <c r="BH107" t="s">
        <v>74</v>
      </c>
      <c r="BI107">
        <v>22</v>
      </c>
      <c r="BJ107" t="s">
        <v>1625</v>
      </c>
      <c r="BK107" t="s">
        <v>102</v>
      </c>
      <c r="BL107" t="s">
        <v>1625</v>
      </c>
      <c r="BM107" t="s">
        <v>2038</v>
      </c>
      <c r="BN107">
        <v>37559394</v>
      </c>
      <c r="BO107" t="s">
        <v>165</v>
      </c>
      <c r="BP107" t="s">
        <v>74</v>
      </c>
      <c r="BQ107" t="s">
        <v>74</v>
      </c>
      <c r="BR107" t="s">
        <v>105</v>
      </c>
      <c r="BS107" t="s">
        <v>2039</v>
      </c>
      <c r="BT107" t="str">
        <f>HYPERLINK("https%3A%2F%2Fwww.webofscience.com%2Fwos%2Fwoscc%2Ffull-record%2FWOS:001045275800001","View Full Record in Web of Science")</f>
        <v>View Full Record in Web of Science</v>
      </c>
    </row>
    <row r="108" spans="1:72" x14ac:dyDescent="0.15">
      <c r="A108" t="s">
        <v>72</v>
      </c>
      <c r="B108" t="s">
        <v>2040</v>
      </c>
      <c r="C108" t="s">
        <v>74</v>
      </c>
      <c r="D108" t="s">
        <v>74</v>
      </c>
      <c r="E108" t="s">
        <v>74</v>
      </c>
      <c r="F108" t="s">
        <v>2041</v>
      </c>
      <c r="G108" t="s">
        <v>74</v>
      </c>
      <c r="H108" t="s">
        <v>74</v>
      </c>
      <c r="I108" t="s">
        <v>2042</v>
      </c>
      <c r="J108" t="s">
        <v>1337</v>
      </c>
      <c r="K108" t="s">
        <v>74</v>
      </c>
      <c r="L108" t="s">
        <v>74</v>
      </c>
      <c r="M108" t="s">
        <v>78</v>
      </c>
      <c r="N108" t="s">
        <v>79</v>
      </c>
      <c r="O108" t="s">
        <v>74</v>
      </c>
      <c r="P108" t="s">
        <v>74</v>
      </c>
      <c r="Q108" t="s">
        <v>74</v>
      </c>
      <c r="R108" t="s">
        <v>74</v>
      </c>
      <c r="S108" t="s">
        <v>74</v>
      </c>
      <c r="T108" t="s">
        <v>2043</v>
      </c>
      <c r="U108" t="s">
        <v>2044</v>
      </c>
      <c r="V108" t="s">
        <v>2045</v>
      </c>
      <c r="W108" t="s">
        <v>2046</v>
      </c>
      <c r="X108" t="s">
        <v>2047</v>
      </c>
      <c r="Y108" t="s">
        <v>2048</v>
      </c>
      <c r="Z108" t="s">
        <v>2049</v>
      </c>
      <c r="AA108" t="s">
        <v>2050</v>
      </c>
      <c r="AB108" t="s">
        <v>74</v>
      </c>
      <c r="AC108" t="s">
        <v>2051</v>
      </c>
      <c r="AD108" t="s">
        <v>2052</v>
      </c>
      <c r="AE108" t="s">
        <v>2053</v>
      </c>
      <c r="AF108" t="s">
        <v>74</v>
      </c>
      <c r="AG108">
        <v>34</v>
      </c>
      <c r="AH108">
        <v>1</v>
      </c>
      <c r="AI108">
        <v>1</v>
      </c>
      <c r="AJ108">
        <v>4</v>
      </c>
      <c r="AK108">
        <v>4</v>
      </c>
      <c r="AL108" t="s">
        <v>184</v>
      </c>
      <c r="AM108" t="s">
        <v>185</v>
      </c>
      <c r="AN108" t="s">
        <v>186</v>
      </c>
      <c r="AO108" t="s">
        <v>1348</v>
      </c>
      <c r="AP108" t="s">
        <v>1349</v>
      </c>
      <c r="AQ108" t="s">
        <v>74</v>
      </c>
      <c r="AR108" t="s">
        <v>1350</v>
      </c>
      <c r="AS108" t="s">
        <v>1351</v>
      </c>
      <c r="AT108" t="s">
        <v>99</v>
      </c>
      <c r="AU108">
        <v>2023</v>
      </c>
      <c r="AV108">
        <v>24</v>
      </c>
      <c r="AW108">
        <v>1</v>
      </c>
      <c r="AX108" t="s">
        <v>74</v>
      </c>
      <c r="AY108" t="s">
        <v>74</v>
      </c>
      <c r="AZ108" t="s">
        <v>74</v>
      </c>
      <c r="BA108" t="s">
        <v>74</v>
      </c>
      <c r="BB108" t="s">
        <v>74</v>
      </c>
      <c r="BC108" t="s">
        <v>74</v>
      </c>
      <c r="BD108">
        <v>2226418</v>
      </c>
      <c r="BE108" t="s">
        <v>2054</v>
      </c>
      <c r="BF108" t="str">
        <f>HYPERLINK("http://dx.doi.org/10.1080/15384047.2023.2226418","http://dx.doi.org/10.1080/15384047.2023.2226418")</f>
        <v>http://dx.doi.org/10.1080/15384047.2023.2226418</v>
      </c>
      <c r="BG108" t="s">
        <v>74</v>
      </c>
      <c r="BH108" t="s">
        <v>74</v>
      </c>
      <c r="BI108">
        <v>12</v>
      </c>
      <c r="BJ108" t="s">
        <v>1353</v>
      </c>
      <c r="BK108" t="s">
        <v>102</v>
      </c>
      <c r="BL108" t="s">
        <v>1353</v>
      </c>
      <c r="BM108" t="s">
        <v>2055</v>
      </c>
      <c r="BN108">
        <v>37381162</v>
      </c>
      <c r="BO108" t="s">
        <v>104</v>
      </c>
      <c r="BP108" t="s">
        <v>74</v>
      </c>
      <c r="BQ108" t="s">
        <v>74</v>
      </c>
      <c r="BR108" t="s">
        <v>105</v>
      </c>
      <c r="BS108" t="s">
        <v>2056</v>
      </c>
      <c r="BT108" t="str">
        <f>HYPERLINK("https%3A%2F%2Fwww.webofscience.com%2Fwos%2Fwoscc%2Ffull-record%2FWOS:001018613900001","View Full Record in Web of Science")</f>
        <v>View Full Record in Web of Science</v>
      </c>
    </row>
    <row r="109" spans="1:72" x14ac:dyDescent="0.15">
      <c r="A109" t="s">
        <v>72</v>
      </c>
      <c r="B109" t="s">
        <v>2057</v>
      </c>
      <c r="C109" t="s">
        <v>74</v>
      </c>
      <c r="D109" t="s">
        <v>74</v>
      </c>
      <c r="E109" t="s">
        <v>74</v>
      </c>
      <c r="F109" t="s">
        <v>2058</v>
      </c>
      <c r="G109" t="s">
        <v>74</v>
      </c>
      <c r="H109" t="s">
        <v>74</v>
      </c>
      <c r="I109" t="s">
        <v>2059</v>
      </c>
      <c r="J109" t="s">
        <v>736</v>
      </c>
      <c r="K109" t="s">
        <v>74</v>
      </c>
      <c r="L109" t="s">
        <v>74</v>
      </c>
      <c r="M109" t="s">
        <v>78</v>
      </c>
      <c r="N109" t="s">
        <v>79</v>
      </c>
      <c r="O109" t="s">
        <v>74</v>
      </c>
      <c r="P109" t="s">
        <v>74</v>
      </c>
      <c r="Q109" t="s">
        <v>74</v>
      </c>
      <c r="R109" t="s">
        <v>74</v>
      </c>
      <c r="S109" t="s">
        <v>74</v>
      </c>
      <c r="T109" t="s">
        <v>2060</v>
      </c>
      <c r="U109" t="s">
        <v>2061</v>
      </c>
      <c r="V109" t="s">
        <v>2062</v>
      </c>
      <c r="W109" t="s">
        <v>2063</v>
      </c>
      <c r="X109" t="s">
        <v>2064</v>
      </c>
      <c r="Y109" t="s">
        <v>2065</v>
      </c>
      <c r="Z109" t="s">
        <v>2066</v>
      </c>
      <c r="AA109" t="s">
        <v>2067</v>
      </c>
      <c r="AB109" t="s">
        <v>2068</v>
      </c>
      <c r="AC109" t="s">
        <v>2069</v>
      </c>
      <c r="AD109" t="s">
        <v>2070</v>
      </c>
      <c r="AE109" t="s">
        <v>2071</v>
      </c>
      <c r="AF109" t="s">
        <v>74</v>
      </c>
      <c r="AG109">
        <v>64</v>
      </c>
      <c r="AH109">
        <v>0</v>
      </c>
      <c r="AI109">
        <v>0</v>
      </c>
      <c r="AJ109">
        <v>12</v>
      </c>
      <c r="AK109">
        <v>12</v>
      </c>
      <c r="AL109" t="s">
        <v>92</v>
      </c>
      <c r="AM109" t="s">
        <v>93</v>
      </c>
      <c r="AN109" t="s">
        <v>94</v>
      </c>
      <c r="AO109" t="s">
        <v>74</v>
      </c>
      <c r="AP109" t="s">
        <v>748</v>
      </c>
      <c r="AQ109" t="s">
        <v>74</v>
      </c>
      <c r="AR109" t="s">
        <v>749</v>
      </c>
      <c r="AS109" t="s">
        <v>750</v>
      </c>
      <c r="AT109" t="s">
        <v>99</v>
      </c>
      <c r="AU109">
        <v>2023</v>
      </c>
      <c r="AV109">
        <v>12</v>
      </c>
      <c r="AW109">
        <v>1</v>
      </c>
      <c r="AX109" t="s">
        <v>74</v>
      </c>
      <c r="AY109" t="s">
        <v>74</v>
      </c>
      <c r="AZ109" t="s">
        <v>74</v>
      </c>
      <c r="BA109" t="s">
        <v>74</v>
      </c>
      <c r="BB109" t="s">
        <v>74</v>
      </c>
      <c r="BC109" t="s">
        <v>74</v>
      </c>
      <c r="BD109">
        <v>2203782</v>
      </c>
      <c r="BE109" t="s">
        <v>2072</v>
      </c>
      <c r="BF109" t="str">
        <f>HYPERLINK("http://dx.doi.org/10.1080/22221751.2023.2203782","http://dx.doi.org/10.1080/22221751.2023.2203782")</f>
        <v>http://dx.doi.org/10.1080/22221751.2023.2203782</v>
      </c>
      <c r="BG109" t="s">
        <v>74</v>
      </c>
      <c r="BH109" t="s">
        <v>74</v>
      </c>
      <c r="BI109">
        <v>12</v>
      </c>
      <c r="BJ109" t="s">
        <v>752</v>
      </c>
      <c r="BK109" t="s">
        <v>102</v>
      </c>
      <c r="BL109" t="s">
        <v>752</v>
      </c>
      <c r="BM109" t="s">
        <v>2073</v>
      </c>
      <c r="BN109">
        <v>37060137</v>
      </c>
      <c r="BO109" t="s">
        <v>165</v>
      </c>
      <c r="BP109" t="s">
        <v>74</v>
      </c>
      <c r="BQ109" t="s">
        <v>74</v>
      </c>
      <c r="BR109" t="s">
        <v>105</v>
      </c>
      <c r="BS109" t="s">
        <v>2074</v>
      </c>
      <c r="BT109" t="str">
        <f>HYPERLINK("https%3A%2F%2Fwww.webofscience.com%2Fwos%2Fwoscc%2Ffull-record%2FWOS:000980308500001","View Full Record in Web of Science")</f>
        <v>View Full Record in Web of Science</v>
      </c>
    </row>
    <row r="110" spans="1:72" x14ac:dyDescent="0.15">
      <c r="A110" t="s">
        <v>72</v>
      </c>
      <c r="B110" t="s">
        <v>2075</v>
      </c>
      <c r="C110" t="s">
        <v>74</v>
      </c>
      <c r="D110" t="s">
        <v>74</v>
      </c>
      <c r="E110" t="s">
        <v>74</v>
      </c>
      <c r="F110" t="s">
        <v>2076</v>
      </c>
      <c r="G110" t="s">
        <v>74</v>
      </c>
      <c r="H110" t="s">
        <v>74</v>
      </c>
      <c r="I110" t="s">
        <v>2077</v>
      </c>
      <c r="J110" t="s">
        <v>1613</v>
      </c>
      <c r="K110" t="s">
        <v>74</v>
      </c>
      <c r="L110" t="s">
        <v>74</v>
      </c>
      <c r="M110" t="s">
        <v>78</v>
      </c>
      <c r="N110" t="s">
        <v>79</v>
      </c>
      <c r="O110" t="s">
        <v>74</v>
      </c>
      <c r="P110" t="s">
        <v>74</v>
      </c>
      <c r="Q110" t="s">
        <v>74</v>
      </c>
      <c r="R110" t="s">
        <v>74</v>
      </c>
      <c r="S110" t="s">
        <v>74</v>
      </c>
      <c r="T110" t="s">
        <v>2078</v>
      </c>
      <c r="U110" t="s">
        <v>2079</v>
      </c>
      <c r="V110" t="s">
        <v>2080</v>
      </c>
      <c r="W110" t="s">
        <v>2081</v>
      </c>
      <c r="X110" t="s">
        <v>2082</v>
      </c>
      <c r="Y110" t="s">
        <v>2083</v>
      </c>
      <c r="Z110" t="s">
        <v>2084</v>
      </c>
      <c r="AA110" t="s">
        <v>74</v>
      </c>
      <c r="AB110" t="s">
        <v>2085</v>
      </c>
      <c r="AC110" t="s">
        <v>2086</v>
      </c>
      <c r="AD110" t="s">
        <v>2087</v>
      </c>
      <c r="AE110" t="s">
        <v>2088</v>
      </c>
      <c r="AF110" t="s">
        <v>74</v>
      </c>
      <c r="AG110">
        <v>66</v>
      </c>
      <c r="AH110">
        <v>0</v>
      </c>
      <c r="AI110">
        <v>0</v>
      </c>
      <c r="AJ110">
        <v>6</v>
      </c>
      <c r="AK110">
        <v>6</v>
      </c>
      <c r="AL110" t="s">
        <v>184</v>
      </c>
      <c r="AM110" t="s">
        <v>185</v>
      </c>
      <c r="AN110" t="s">
        <v>186</v>
      </c>
      <c r="AO110" t="s">
        <v>1621</v>
      </c>
      <c r="AP110" t="s">
        <v>1622</v>
      </c>
      <c r="AQ110" t="s">
        <v>74</v>
      </c>
      <c r="AR110" t="s">
        <v>1613</v>
      </c>
      <c r="AS110" t="s">
        <v>1623</v>
      </c>
      <c r="AT110" t="s">
        <v>99</v>
      </c>
      <c r="AU110">
        <v>2023</v>
      </c>
      <c r="AV110">
        <v>15</v>
      </c>
      <c r="AW110">
        <v>1</v>
      </c>
      <c r="AX110" t="s">
        <v>74</v>
      </c>
      <c r="AY110" t="s">
        <v>74</v>
      </c>
      <c r="AZ110" t="s">
        <v>74</v>
      </c>
      <c r="BA110" t="s">
        <v>74</v>
      </c>
      <c r="BB110" t="s">
        <v>74</v>
      </c>
      <c r="BC110" t="s">
        <v>74</v>
      </c>
      <c r="BD110">
        <v>2241209</v>
      </c>
      <c r="BE110" t="s">
        <v>2089</v>
      </c>
      <c r="BF110" t="str">
        <f>HYPERLINK("http://dx.doi.org/10.1080/19490976.2023.2241209","http://dx.doi.org/10.1080/19490976.2023.2241209")</f>
        <v>http://dx.doi.org/10.1080/19490976.2023.2241209</v>
      </c>
      <c r="BG110" t="s">
        <v>74</v>
      </c>
      <c r="BH110" t="s">
        <v>74</v>
      </c>
      <c r="BI110">
        <v>21</v>
      </c>
      <c r="BJ110" t="s">
        <v>1625</v>
      </c>
      <c r="BK110" t="s">
        <v>102</v>
      </c>
      <c r="BL110" t="s">
        <v>1625</v>
      </c>
      <c r="BM110" t="s">
        <v>2090</v>
      </c>
      <c r="BN110">
        <v>37592891</v>
      </c>
      <c r="BO110" t="s">
        <v>126</v>
      </c>
      <c r="BP110" t="s">
        <v>74</v>
      </c>
      <c r="BQ110" t="s">
        <v>74</v>
      </c>
      <c r="BR110" t="s">
        <v>105</v>
      </c>
      <c r="BS110" t="s">
        <v>2091</v>
      </c>
      <c r="BT110" t="str">
        <f>HYPERLINK("https%3A%2F%2Fwww.webofscience.com%2Fwos%2Fwoscc%2Ffull-record%2FWOS:001050268300001","View Full Record in Web of Science")</f>
        <v>View Full Record in Web of Science</v>
      </c>
    </row>
    <row r="111" spans="1:72" x14ac:dyDescent="0.15">
      <c r="A111" t="s">
        <v>72</v>
      </c>
      <c r="B111" t="s">
        <v>2092</v>
      </c>
      <c r="C111" t="s">
        <v>74</v>
      </c>
      <c r="D111" t="s">
        <v>74</v>
      </c>
      <c r="E111" t="s">
        <v>74</v>
      </c>
      <c r="F111" t="s">
        <v>2093</v>
      </c>
      <c r="G111" t="s">
        <v>74</v>
      </c>
      <c r="H111" t="s">
        <v>74</v>
      </c>
      <c r="I111" t="s">
        <v>2094</v>
      </c>
      <c r="J111" t="s">
        <v>1315</v>
      </c>
      <c r="K111" t="s">
        <v>74</v>
      </c>
      <c r="L111" t="s">
        <v>74</v>
      </c>
      <c r="M111" t="s">
        <v>78</v>
      </c>
      <c r="N111" t="s">
        <v>1697</v>
      </c>
      <c r="O111" t="s">
        <v>74</v>
      </c>
      <c r="P111" t="s">
        <v>74</v>
      </c>
      <c r="Q111" t="s">
        <v>74</v>
      </c>
      <c r="R111" t="s">
        <v>74</v>
      </c>
      <c r="S111" t="s">
        <v>74</v>
      </c>
      <c r="T111" t="s">
        <v>2095</v>
      </c>
      <c r="U111" t="s">
        <v>2096</v>
      </c>
      <c r="V111" t="s">
        <v>74</v>
      </c>
      <c r="W111" t="s">
        <v>2097</v>
      </c>
      <c r="X111" t="s">
        <v>2098</v>
      </c>
      <c r="Y111" t="s">
        <v>2099</v>
      </c>
      <c r="Z111" t="s">
        <v>2100</v>
      </c>
      <c r="AA111" t="s">
        <v>2101</v>
      </c>
      <c r="AB111" t="s">
        <v>2102</v>
      </c>
      <c r="AC111" t="s">
        <v>74</v>
      </c>
      <c r="AD111" t="s">
        <v>74</v>
      </c>
      <c r="AE111" t="s">
        <v>74</v>
      </c>
      <c r="AF111" t="s">
        <v>74</v>
      </c>
      <c r="AG111">
        <v>12</v>
      </c>
      <c r="AH111">
        <v>4</v>
      </c>
      <c r="AI111">
        <v>4</v>
      </c>
      <c r="AJ111">
        <v>1</v>
      </c>
      <c r="AK111">
        <v>1</v>
      </c>
      <c r="AL111" t="s">
        <v>92</v>
      </c>
      <c r="AM111" t="s">
        <v>93</v>
      </c>
      <c r="AN111" t="s">
        <v>94</v>
      </c>
      <c r="AO111" t="s">
        <v>1326</v>
      </c>
      <c r="AP111" t="s">
        <v>1327</v>
      </c>
      <c r="AQ111" t="s">
        <v>74</v>
      </c>
      <c r="AR111" t="s">
        <v>1328</v>
      </c>
      <c r="AS111" t="s">
        <v>1329</v>
      </c>
      <c r="AT111" t="s">
        <v>99</v>
      </c>
      <c r="AU111">
        <v>2023</v>
      </c>
      <c r="AV111">
        <v>34</v>
      </c>
      <c r="AW111">
        <v>1</v>
      </c>
      <c r="AX111" t="s">
        <v>74</v>
      </c>
      <c r="AY111" t="s">
        <v>74</v>
      </c>
      <c r="AZ111" t="s">
        <v>74</v>
      </c>
      <c r="BA111" t="s">
        <v>74</v>
      </c>
      <c r="BB111" t="s">
        <v>74</v>
      </c>
      <c r="BC111" t="s">
        <v>74</v>
      </c>
      <c r="BD111">
        <v>2199108</v>
      </c>
      <c r="BE111" t="s">
        <v>2103</v>
      </c>
      <c r="BF111" t="str">
        <f>HYPERLINK("http://dx.doi.org/10.1080/09546634.2023.2199108","http://dx.doi.org/10.1080/09546634.2023.2199108")</f>
        <v>http://dx.doi.org/10.1080/09546634.2023.2199108</v>
      </c>
      <c r="BG111" t="s">
        <v>74</v>
      </c>
      <c r="BH111" t="s">
        <v>74</v>
      </c>
      <c r="BI111">
        <v>3</v>
      </c>
      <c r="BJ111" t="s">
        <v>1331</v>
      </c>
      <c r="BK111" t="s">
        <v>102</v>
      </c>
      <c r="BL111" t="s">
        <v>1331</v>
      </c>
      <c r="BM111" t="s">
        <v>2104</v>
      </c>
      <c r="BN111">
        <v>37010456</v>
      </c>
      <c r="BO111" t="s">
        <v>126</v>
      </c>
      <c r="BP111" t="s">
        <v>74</v>
      </c>
      <c r="BQ111" t="s">
        <v>74</v>
      </c>
      <c r="BR111" t="s">
        <v>105</v>
      </c>
      <c r="BS111" t="s">
        <v>2105</v>
      </c>
      <c r="BT111" t="str">
        <f>HYPERLINK("https%3A%2F%2Fwww.webofscience.com%2Fwos%2Fwoscc%2Ffull-record%2FWOS:000972113100001","View Full Record in Web of Science")</f>
        <v>View Full Record in Web of Science</v>
      </c>
    </row>
    <row r="112" spans="1:72" x14ac:dyDescent="0.15">
      <c r="A112" t="s">
        <v>72</v>
      </c>
      <c r="B112" t="s">
        <v>2106</v>
      </c>
      <c r="C112" t="s">
        <v>74</v>
      </c>
      <c r="D112" t="s">
        <v>74</v>
      </c>
      <c r="E112" t="s">
        <v>74</v>
      </c>
      <c r="F112" t="s">
        <v>2107</v>
      </c>
      <c r="G112" t="s">
        <v>74</v>
      </c>
      <c r="H112" t="s">
        <v>74</v>
      </c>
      <c r="I112" t="s">
        <v>2108</v>
      </c>
      <c r="J112" t="s">
        <v>563</v>
      </c>
      <c r="K112" t="s">
        <v>74</v>
      </c>
      <c r="L112" t="s">
        <v>74</v>
      </c>
      <c r="M112" t="s">
        <v>78</v>
      </c>
      <c r="N112" t="s">
        <v>79</v>
      </c>
      <c r="O112" t="s">
        <v>74</v>
      </c>
      <c r="P112" t="s">
        <v>74</v>
      </c>
      <c r="Q112" t="s">
        <v>74</v>
      </c>
      <c r="R112" t="s">
        <v>74</v>
      </c>
      <c r="S112" t="s">
        <v>74</v>
      </c>
      <c r="T112" t="s">
        <v>2109</v>
      </c>
      <c r="U112" t="s">
        <v>74</v>
      </c>
      <c r="V112" t="s">
        <v>2110</v>
      </c>
      <c r="W112" t="s">
        <v>2111</v>
      </c>
      <c r="X112" t="s">
        <v>2112</v>
      </c>
      <c r="Y112" t="s">
        <v>2113</v>
      </c>
      <c r="Z112" t="s">
        <v>2114</v>
      </c>
      <c r="AA112" t="s">
        <v>74</v>
      </c>
      <c r="AB112" t="s">
        <v>74</v>
      </c>
      <c r="AC112" t="s">
        <v>74</v>
      </c>
      <c r="AD112" t="s">
        <v>74</v>
      </c>
      <c r="AE112" t="s">
        <v>74</v>
      </c>
      <c r="AF112" t="s">
        <v>74</v>
      </c>
      <c r="AG112">
        <v>8</v>
      </c>
      <c r="AH112">
        <v>0</v>
      </c>
      <c r="AI112">
        <v>0</v>
      </c>
      <c r="AJ112">
        <v>0</v>
      </c>
      <c r="AK112">
        <v>0</v>
      </c>
      <c r="AL112" t="s">
        <v>287</v>
      </c>
      <c r="AM112" t="s">
        <v>288</v>
      </c>
      <c r="AN112" t="s">
        <v>289</v>
      </c>
      <c r="AO112" t="s">
        <v>571</v>
      </c>
      <c r="AP112" t="s">
        <v>74</v>
      </c>
      <c r="AQ112" t="s">
        <v>74</v>
      </c>
      <c r="AR112" t="s">
        <v>572</v>
      </c>
      <c r="AS112" t="s">
        <v>573</v>
      </c>
      <c r="AT112" t="s">
        <v>99</v>
      </c>
      <c r="AU112">
        <v>2023</v>
      </c>
      <c r="AV112">
        <v>10</v>
      </c>
      <c r="AW112">
        <v>1</v>
      </c>
      <c r="AX112" t="s">
        <v>74</v>
      </c>
      <c r="AY112" t="s">
        <v>74</v>
      </c>
      <c r="AZ112" t="s">
        <v>74</v>
      </c>
      <c r="BA112" t="s">
        <v>74</v>
      </c>
      <c r="BB112" t="s">
        <v>74</v>
      </c>
      <c r="BC112" t="s">
        <v>74</v>
      </c>
      <c r="BD112">
        <v>2242133</v>
      </c>
      <c r="BE112" t="s">
        <v>2115</v>
      </c>
      <c r="BF112" t="str">
        <f>HYPERLINK("http://dx.doi.org/10.1080/23311983.2023.2242133","http://dx.doi.org/10.1080/23311983.2023.2242133")</f>
        <v>http://dx.doi.org/10.1080/23311983.2023.2242133</v>
      </c>
      <c r="BG112" t="s">
        <v>74</v>
      </c>
      <c r="BH112" t="s">
        <v>74</v>
      </c>
      <c r="BI112">
        <v>11</v>
      </c>
      <c r="BJ112" t="s">
        <v>575</v>
      </c>
      <c r="BK112" t="s">
        <v>211</v>
      </c>
      <c r="BL112" t="s">
        <v>576</v>
      </c>
      <c r="BM112" t="s">
        <v>2116</v>
      </c>
      <c r="BN112" t="s">
        <v>74</v>
      </c>
      <c r="BO112" t="s">
        <v>126</v>
      </c>
      <c r="BP112" t="s">
        <v>74</v>
      </c>
      <c r="BQ112" t="s">
        <v>74</v>
      </c>
      <c r="BR112" t="s">
        <v>105</v>
      </c>
      <c r="BS112" t="s">
        <v>2117</v>
      </c>
      <c r="BT112" t="str">
        <f>HYPERLINK("https%3A%2F%2Fwww.webofscience.com%2Fwos%2Fwoscc%2Ffull-record%2FWOS:001041355000001","View Full Record in Web of Science")</f>
        <v>View Full Record in Web of Science</v>
      </c>
    </row>
    <row r="113" spans="1:72" x14ac:dyDescent="0.15">
      <c r="A113" t="s">
        <v>72</v>
      </c>
      <c r="B113" t="s">
        <v>2118</v>
      </c>
      <c r="C113" t="s">
        <v>74</v>
      </c>
      <c r="D113" t="s">
        <v>74</v>
      </c>
      <c r="E113" t="s">
        <v>74</v>
      </c>
      <c r="F113" t="s">
        <v>2119</v>
      </c>
      <c r="G113" t="s">
        <v>74</v>
      </c>
      <c r="H113" t="s">
        <v>74</v>
      </c>
      <c r="I113" t="s">
        <v>2120</v>
      </c>
      <c r="J113" t="s">
        <v>151</v>
      </c>
      <c r="K113" t="s">
        <v>74</v>
      </c>
      <c r="L113" t="s">
        <v>74</v>
      </c>
      <c r="M113" t="s">
        <v>78</v>
      </c>
      <c r="N113" t="s">
        <v>79</v>
      </c>
      <c r="O113" t="s">
        <v>74</v>
      </c>
      <c r="P113" t="s">
        <v>74</v>
      </c>
      <c r="Q113" t="s">
        <v>74</v>
      </c>
      <c r="R113" t="s">
        <v>74</v>
      </c>
      <c r="S113" t="s">
        <v>74</v>
      </c>
      <c r="T113" t="s">
        <v>2121</v>
      </c>
      <c r="U113" t="s">
        <v>74</v>
      </c>
      <c r="V113" t="s">
        <v>2122</v>
      </c>
      <c r="W113" t="s">
        <v>2123</v>
      </c>
      <c r="X113" t="s">
        <v>2124</v>
      </c>
      <c r="Y113" t="s">
        <v>2125</v>
      </c>
      <c r="Z113" t="s">
        <v>2126</v>
      </c>
      <c r="AA113" t="s">
        <v>74</v>
      </c>
      <c r="AB113" t="s">
        <v>74</v>
      </c>
      <c r="AC113" t="s">
        <v>74</v>
      </c>
      <c r="AD113" t="s">
        <v>74</v>
      </c>
      <c r="AE113" t="s">
        <v>74</v>
      </c>
      <c r="AF113" t="s">
        <v>74</v>
      </c>
      <c r="AG113">
        <v>14</v>
      </c>
      <c r="AH113">
        <v>0</v>
      </c>
      <c r="AI113">
        <v>0</v>
      </c>
      <c r="AJ113">
        <v>3</v>
      </c>
      <c r="AK113">
        <v>9</v>
      </c>
      <c r="AL113" t="s">
        <v>92</v>
      </c>
      <c r="AM113" t="s">
        <v>93</v>
      </c>
      <c r="AN113" t="s">
        <v>94</v>
      </c>
      <c r="AO113" t="s">
        <v>74</v>
      </c>
      <c r="AP113" t="s">
        <v>160</v>
      </c>
      <c r="AQ113" t="s">
        <v>74</v>
      </c>
      <c r="AR113" t="s">
        <v>151</v>
      </c>
      <c r="AS113" t="s">
        <v>161</v>
      </c>
      <c r="AT113" t="s">
        <v>99</v>
      </c>
      <c r="AU113">
        <v>2023</v>
      </c>
      <c r="AV113">
        <v>16</v>
      </c>
      <c r="AW113">
        <v>1</v>
      </c>
      <c r="AX113" t="s">
        <v>74</v>
      </c>
      <c r="AY113" t="s">
        <v>74</v>
      </c>
      <c r="AZ113" t="s">
        <v>74</v>
      </c>
      <c r="BA113" t="s">
        <v>74</v>
      </c>
      <c r="BB113" t="s">
        <v>74</v>
      </c>
      <c r="BC113" t="s">
        <v>74</v>
      </c>
      <c r="BD113">
        <v>2157542</v>
      </c>
      <c r="BE113" t="s">
        <v>2127</v>
      </c>
      <c r="BF113" t="str">
        <f>HYPERLINK("http://dx.doi.org/10.1080/16549716.2022.2157542","http://dx.doi.org/10.1080/16549716.2022.2157542")</f>
        <v>http://dx.doi.org/10.1080/16549716.2022.2157542</v>
      </c>
      <c r="BG113" t="s">
        <v>74</v>
      </c>
      <c r="BH113" t="s">
        <v>74</v>
      </c>
      <c r="BI113">
        <v>7</v>
      </c>
      <c r="BJ113" t="s">
        <v>163</v>
      </c>
      <c r="BK113" t="s">
        <v>123</v>
      </c>
      <c r="BL113" t="s">
        <v>163</v>
      </c>
      <c r="BM113" t="s">
        <v>2128</v>
      </c>
      <c r="BN113">
        <v>36692486</v>
      </c>
      <c r="BO113" t="s">
        <v>104</v>
      </c>
      <c r="BP113" t="s">
        <v>74</v>
      </c>
      <c r="BQ113" t="s">
        <v>74</v>
      </c>
      <c r="BR113" t="s">
        <v>105</v>
      </c>
      <c r="BS113" t="s">
        <v>2129</v>
      </c>
      <c r="BT113" t="str">
        <f>HYPERLINK("https%3A%2F%2Fwww.webofscience.com%2Fwos%2Fwoscc%2Ffull-record%2FWOS:000917784100001","View Full Record in Web of Science")</f>
        <v>View Full Record in Web of Science</v>
      </c>
    </row>
    <row r="114" spans="1:72" x14ac:dyDescent="0.15">
      <c r="A114" t="s">
        <v>72</v>
      </c>
      <c r="B114" t="s">
        <v>2130</v>
      </c>
      <c r="C114" t="s">
        <v>74</v>
      </c>
      <c r="D114" t="s">
        <v>74</v>
      </c>
      <c r="E114" t="s">
        <v>74</v>
      </c>
      <c r="F114" t="s">
        <v>2131</v>
      </c>
      <c r="G114" t="s">
        <v>74</v>
      </c>
      <c r="H114" t="s">
        <v>74</v>
      </c>
      <c r="I114" t="s">
        <v>2132</v>
      </c>
      <c r="J114" t="s">
        <v>2133</v>
      </c>
      <c r="K114" t="s">
        <v>74</v>
      </c>
      <c r="L114" t="s">
        <v>74</v>
      </c>
      <c r="M114" t="s">
        <v>78</v>
      </c>
      <c r="N114" t="s">
        <v>79</v>
      </c>
      <c r="O114" t="s">
        <v>74</v>
      </c>
      <c r="P114" t="s">
        <v>74</v>
      </c>
      <c r="Q114" t="s">
        <v>74</v>
      </c>
      <c r="R114" t="s">
        <v>74</v>
      </c>
      <c r="S114" t="s">
        <v>74</v>
      </c>
      <c r="T114" t="s">
        <v>2134</v>
      </c>
      <c r="U114" t="s">
        <v>2135</v>
      </c>
      <c r="V114" t="s">
        <v>2136</v>
      </c>
      <c r="W114" t="s">
        <v>2137</v>
      </c>
      <c r="X114" t="s">
        <v>2138</v>
      </c>
      <c r="Y114" t="s">
        <v>2139</v>
      </c>
      <c r="Z114" t="s">
        <v>2140</v>
      </c>
      <c r="AA114" t="s">
        <v>74</v>
      </c>
      <c r="AB114" t="s">
        <v>74</v>
      </c>
      <c r="AC114" t="s">
        <v>2141</v>
      </c>
      <c r="AD114" t="s">
        <v>2142</v>
      </c>
      <c r="AE114" t="s">
        <v>2143</v>
      </c>
      <c r="AF114" t="s">
        <v>74</v>
      </c>
      <c r="AG114">
        <v>46</v>
      </c>
      <c r="AH114">
        <v>1</v>
      </c>
      <c r="AI114">
        <v>1</v>
      </c>
      <c r="AJ114">
        <v>33</v>
      </c>
      <c r="AK114">
        <v>36</v>
      </c>
      <c r="AL114" t="s">
        <v>184</v>
      </c>
      <c r="AM114" t="s">
        <v>185</v>
      </c>
      <c r="AN114" t="s">
        <v>186</v>
      </c>
      <c r="AO114" t="s">
        <v>2144</v>
      </c>
      <c r="AP114" t="s">
        <v>2145</v>
      </c>
      <c r="AQ114" t="s">
        <v>74</v>
      </c>
      <c r="AR114" t="s">
        <v>2146</v>
      </c>
      <c r="AS114" t="s">
        <v>2147</v>
      </c>
      <c r="AT114" t="s">
        <v>99</v>
      </c>
      <c r="AU114">
        <v>2023</v>
      </c>
      <c r="AV114">
        <v>45</v>
      </c>
      <c r="AW114">
        <v>1</v>
      </c>
      <c r="AX114" t="s">
        <v>74</v>
      </c>
      <c r="AY114" t="s">
        <v>74</v>
      </c>
      <c r="AZ114" t="s">
        <v>74</v>
      </c>
      <c r="BA114" t="s">
        <v>74</v>
      </c>
      <c r="BB114" t="s">
        <v>74</v>
      </c>
      <c r="BC114" t="s">
        <v>74</v>
      </c>
      <c r="BD114">
        <v>2192444</v>
      </c>
      <c r="BE114" t="s">
        <v>2148</v>
      </c>
      <c r="BF114" t="str">
        <f>HYPERLINK("http://dx.doi.org/10.1080/10641963.2023.2192444","http://dx.doi.org/10.1080/10641963.2023.2192444")</f>
        <v>http://dx.doi.org/10.1080/10641963.2023.2192444</v>
      </c>
      <c r="BG114" t="s">
        <v>74</v>
      </c>
      <c r="BH114" t="s">
        <v>74</v>
      </c>
      <c r="BI114">
        <v>10</v>
      </c>
      <c r="BJ114" t="s">
        <v>2149</v>
      </c>
      <c r="BK114" t="s">
        <v>102</v>
      </c>
      <c r="BL114" t="s">
        <v>2150</v>
      </c>
      <c r="BM114" t="s">
        <v>2151</v>
      </c>
      <c r="BN114">
        <v>36951068</v>
      </c>
      <c r="BO114" t="s">
        <v>126</v>
      </c>
      <c r="BP114" t="s">
        <v>74</v>
      </c>
      <c r="BQ114" t="s">
        <v>74</v>
      </c>
      <c r="BR114" t="s">
        <v>105</v>
      </c>
      <c r="BS114" t="s">
        <v>2152</v>
      </c>
      <c r="BT114" t="str">
        <f>HYPERLINK("https%3A%2F%2Fwww.webofscience.com%2Fwos%2Fwoscc%2Ffull-record%2FWOS:000955268800001","View Full Record in Web of Science")</f>
        <v>View Full Record in Web of Science</v>
      </c>
    </row>
    <row r="115" spans="1:72" x14ac:dyDescent="0.15">
      <c r="A115" t="s">
        <v>72</v>
      </c>
      <c r="B115" t="s">
        <v>2153</v>
      </c>
      <c r="C115" t="s">
        <v>74</v>
      </c>
      <c r="D115" t="s">
        <v>74</v>
      </c>
      <c r="E115" t="s">
        <v>74</v>
      </c>
      <c r="F115" t="s">
        <v>2154</v>
      </c>
      <c r="G115" t="s">
        <v>74</v>
      </c>
      <c r="H115" t="s">
        <v>74</v>
      </c>
      <c r="I115" t="s">
        <v>2155</v>
      </c>
      <c r="J115" t="s">
        <v>131</v>
      </c>
      <c r="K115" t="s">
        <v>74</v>
      </c>
      <c r="L115" t="s">
        <v>74</v>
      </c>
      <c r="M115" t="s">
        <v>78</v>
      </c>
      <c r="N115" t="s">
        <v>171</v>
      </c>
      <c r="O115" t="s">
        <v>74</v>
      </c>
      <c r="P115" t="s">
        <v>74</v>
      </c>
      <c r="Q115" t="s">
        <v>74</v>
      </c>
      <c r="R115" t="s">
        <v>74</v>
      </c>
      <c r="S115" t="s">
        <v>74</v>
      </c>
      <c r="T115" t="s">
        <v>2156</v>
      </c>
      <c r="U115" t="s">
        <v>2157</v>
      </c>
      <c r="V115" t="s">
        <v>2158</v>
      </c>
      <c r="W115" t="s">
        <v>2159</v>
      </c>
      <c r="X115" t="s">
        <v>74</v>
      </c>
      <c r="Y115" t="s">
        <v>2160</v>
      </c>
      <c r="Z115" t="s">
        <v>2161</v>
      </c>
      <c r="AA115" t="s">
        <v>2162</v>
      </c>
      <c r="AB115" t="s">
        <v>2163</v>
      </c>
      <c r="AC115" t="s">
        <v>74</v>
      </c>
      <c r="AD115" t="s">
        <v>74</v>
      </c>
      <c r="AE115" t="s">
        <v>74</v>
      </c>
      <c r="AF115" t="s">
        <v>74</v>
      </c>
      <c r="AG115">
        <v>97</v>
      </c>
      <c r="AH115">
        <v>2</v>
      </c>
      <c r="AI115">
        <v>2</v>
      </c>
      <c r="AJ115">
        <v>133</v>
      </c>
      <c r="AK115">
        <v>133</v>
      </c>
      <c r="AL115" t="s">
        <v>92</v>
      </c>
      <c r="AM115" t="s">
        <v>93</v>
      </c>
      <c r="AN115" t="s">
        <v>94</v>
      </c>
      <c r="AO115" t="s">
        <v>142</v>
      </c>
      <c r="AP115" t="s">
        <v>143</v>
      </c>
      <c r="AQ115" t="s">
        <v>74</v>
      </c>
      <c r="AR115" t="s">
        <v>131</v>
      </c>
      <c r="AS115" t="s">
        <v>144</v>
      </c>
      <c r="AT115" t="s">
        <v>99</v>
      </c>
      <c r="AU115">
        <v>2023</v>
      </c>
      <c r="AV115">
        <v>28</v>
      </c>
      <c r="AW115">
        <v>1</v>
      </c>
      <c r="AX115" t="s">
        <v>74</v>
      </c>
      <c r="AY115" t="s">
        <v>74</v>
      </c>
      <c r="AZ115" t="s">
        <v>74</v>
      </c>
      <c r="BA115" t="s">
        <v>74</v>
      </c>
      <c r="BB115" t="s">
        <v>74</v>
      </c>
      <c r="BC115" t="s">
        <v>74</v>
      </c>
      <c r="BD115">
        <v>2196482</v>
      </c>
      <c r="BE115" t="s">
        <v>2164</v>
      </c>
      <c r="BF115" t="str">
        <f>HYPERLINK("http://dx.doi.org/10.1080/16078454.2023.2196482","http://dx.doi.org/10.1080/16078454.2023.2196482")</f>
        <v>http://dx.doi.org/10.1080/16078454.2023.2196482</v>
      </c>
      <c r="BG115" t="s">
        <v>74</v>
      </c>
      <c r="BH115" t="s">
        <v>74</v>
      </c>
      <c r="BI115">
        <v>13</v>
      </c>
      <c r="BJ115" t="s">
        <v>144</v>
      </c>
      <c r="BK115" t="s">
        <v>102</v>
      </c>
      <c r="BL115" t="s">
        <v>144</v>
      </c>
      <c r="BM115" t="s">
        <v>2165</v>
      </c>
      <c r="BN115">
        <v>37036019</v>
      </c>
      <c r="BO115" t="s">
        <v>126</v>
      </c>
      <c r="BP115" t="s">
        <v>74</v>
      </c>
      <c r="BQ115" t="s">
        <v>74</v>
      </c>
      <c r="BR115" t="s">
        <v>105</v>
      </c>
      <c r="BS115" t="s">
        <v>2166</v>
      </c>
      <c r="BT115" t="str">
        <f>HYPERLINK("https%3A%2F%2Fwww.webofscience.com%2Fwos%2Fwoscc%2Ffull-record%2FWOS:000965495200001","View Full Record in Web of Science")</f>
        <v>View Full Record in Web of Science</v>
      </c>
    </row>
    <row r="116" spans="1:72" x14ac:dyDescent="0.15">
      <c r="A116" t="s">
        <v>72</v>
      </c>
      <c r="B116" t="s">
        <v>2167</v>
      </c>
      <c r="C116" t="s">
        <v>74</v>
      </c>
      <c r="D116" t="s">
        <v>74</v>
      </c>
      <c r="E116" t="s">
        <v>74</v>
      </c>
      <c r="F116" t="s">
        <v>2168</v>
      </c>
      <c r="G116" t="s">
        <v>74</v>
      </c>
      <c r="H116" t="s">
        <v>74</v>
      </c>
      <c r="I116" t="s">
        <v>2169</v>
      </c>
      <c r="J116" t="s">
        <v>2170</v>
      </c>
      <c r="K116" t="s">
        <v>74</v>
      </c>
      <c r="L116" t="s">
        <v>74</v>
      </c>
      <c r="M116" t="s">
        <v>78</v>
      </c>
      <c r="N116" t="s">
        <v>79</v>
      </c>
      <c r="O116" t="s">
        <v>74</v>
      </c>
      <c r="P116" t="s">
        <v>74</v>
      </c>
      <c r="Q116" t="s">
        <v>74</v>
      </c>
      <c r="R116" t="s">
        <v>74</v>
      </c>
      <c r="S116" t="s">
        <v>74</v>
      </c>
      <c r="T116" t="s">
        <v>2171</v>
      </c>
      <c r="U116" t="s">
        <v>2172</v>
      </c>
      <c r="V116" t="s">
        <v>2173</v>
      </c>
      <c r="W116" t="s">
        <v>2174</v>
      </c>
      <c r="X116" t="s">
        <v>2175</v>
      </c>
      <c r="Y116" t="s">
        <v>2176</v>
      </c>
      <c r="Z116" t="s">
        <v>2177</v>
      </c>
      <c r="AA116" t="s">
        <v>74</v>
      </c>
      <c r="AB116" t="s">
        <v>2178</v>
      </c>
      <c r="AC116" t="s">
        <v>74</v>
      </c>
      <c r="AD116" t="s">
        <v>74</v>
      </c>
      <c r="AE116" t="s">
        <v>74</v>
      </c>
      <c r="AF116" t="s">
        <v>74</v>
      </c>
      <c r="AG116">
        <v>37</v>
      </c>
      <c r="AH116">
        <v>0</v>
      </c>
      <c r="AI116">
        <v>0</v>
      </c>
      <c r="AJ116">
        <v>16</v>
      </c>
      <c r="AK116">
        <v>19</v>
      </c>
      <c r="AL116" t="s">
        <v>92</v>
      </c>
      <c r="AM116" t="s">
        <v>93</v>
      </c>
      <c r="AN116" t="s">
        <v>94</v>
      </c>
      <c r="AO116" t="s">
        <v>2179</v>
      </c>
      <c r="AP116" t="s">
        <v>2180</v>
      </c>
      <c r="AQ116" t="s">
        <v>74</v>
      </c>
      <c r="AR116" t="s">
        <v>2181</v>
      </c>
      <c r="AS116" t="s">
        <v>2182</v>
      </c>
      <c r="AT116" t="s">
        <v>99</v>
      </c>
      <c r="AU116">
        <v>2023</v>
      </c>
      <c r="AV116">
        <v>18</v>
      </c>
      <c r="AW116">
        <v>1</v>
      </c>
      <c r="AX116" t="s">
        <v>74</v>
      </c>
      <c r="AY116" t="s">
        <v>74</v>
      </c>
      <c r="AZ116" t="s">
        <v>74</v>
      </c>
      <c r="BA116" t="s">
        <v>74</v>
      </c>
      <c r="BB116" t="s">
        <v>74</v>
      </c>
      <c r="BC116" t="s">
        <v>74</v>
      </c>
      <c r="BD116">
        <v>2187333</v>
      </c>
      <c r="BE116" t="s">
        <v>2183</v>
      </c>
      <c r="BF116" t="str">
        <f>HYPERLINK("http://dx.doi.org/10.1080/17482631.2023.2187333","http://dx.doi.org/10.1080/17482631.2023.2187333")</f>
        <v>http://dx.doi.org/10.1080/17482631.2023.2187333</v>
      </c>
      <c r="BG116" t="s">
        <v>74</v>
      </c>
      <c r="BH116" t="s">
        <v>74</v>
      </c>
      <c r="BI116">
        <v>11</v>
      </c>
      <c r="BJ116" t="s">
        <v>2184</v>
      </c>
      <c r="BK116" t="s">
        <v>272</v>
      </c>
      <c r="BL116" t="s">
        <v>2185</v>
      </c>
      <c r="BM116" t="s">
        <v>2186</v>
      </c>
      <c r="BN116">
        <v>36880807</v>
      </c>
      <c r="BO116" t="s">
        <v>165</v>
      </c>
      <c r="BP116" t="s">
        <v>74</v>
      </c>
      <c r="BQ116" t="s">
        <v>74</v>
      </c>
      <c r="BR116" t="s">
        <v>105</v>
      </c>
      <c r="BS116" t="s">
        <v>2187</v>
      </c>
      <c r="BT116" t="str">
        <f>HYPERLINK("https%3A%2F%2Fwww.webofscience.com%2Fwos%2Fwoscc%2Ffull-record%2FWOS:000945620500001","View Full Record in Web of Science")</f>
        <v>View Full Record in Web of Science</v>
      </c>
    </row>
    <row r="117" spans="1:72" x14ac:dyDescent="0.15">
      <c r="A117" t="s">
        <v>72</v>
      </c>
      <c r="B117" t="s">
        <v>2188</v>
      </c>
      <c r="C117" t="s">
        <v>74</v>
      </c>
      <c r="D117" t="s">
        <v>74</v>
      </c>
      <c r="E117" t="s">
        <v>74</v>
      </c>
      <c r="F117" t="s">
        <v>2189</v>
      </c>
      <c r="G117" t="s">
        <v>74</v>
      </c>
      <c r="H117" t="s">
        <v>74</v>
      </c>
      <c r="I117" t="s">
        <v>2190</v>
      </c>
      <c r="J117" t="s">
        <v>2191</v>
      </c>
      <c r="K117" t="s">
        <v>74</v>
      </c>
      <c r="L117" t="s">
        <v>74</v>
      </c>
      <c r="M117" t="s">
        <v>78</v>
      </c>
      <c r="N117" t="s">
        <v>79</v>
      </c>
      <c r="O117" t="s">
        <v>74</v>
      </c>
      <c r="P117" t="s">
        <v>74</v>
      </c>
      <c r="Q117" t="s">
        <v>74</v>
      </c>
      <c r="R117" t="s">
        <v>74</v>
      </c>
      <c r="S117" t="s">
        <v>74</v>
      </c>
      <c r="T117" t="s">
        <v>2192</v>
      </c>
      <c r="U117" t="s">
        <v>2193</v>
      </c>
      <c r="V117" t="s">
        <v>2194</v>
      </c>
      <c r="W117" t="s">
        <v>2195</v>
      </c>
      <c r="X117" t="s">
        <v>2196</v>
      </c>
      <c r="Y117" t="s">
        <v>2197</v>
      </c>
      <c r="Z117" t="s">
        <v>2198</v>
      </c>
      <c r="AA117" t="s">
        <v>74</v>
      </c>
      <c r="AB117" t="s">
        <v>74</v>
      </c>
      <c r="AC117" t="s">
        <v>2199</v>
      </c>
      <c r="AD117" t="s">
        <v>2200</v>
      </c>
      <c r="AE117" t="s">
        <v>2201</v>
      </c>
      <c r="AF117" t="s">
        <v>74</v>
      </c>
      <c r="AG117">
        <v>32</v>
      </c>
      <c r="AH117">
        <v>0</v>
      </c>
      <c r="AI117">
        <v>0</v>
      </c>
      <c r="AJ117">
        <v>1</v>
      </c>
      <c r="AK117">
        <v>1</v>
      </c>
      <c r="AL117" t="s">
        <v>184</v>
      </c>
      <c r="AM117" t="s">
        <v>185</v>
      </c>
      <c r="AN117" t="s">
        <v>186</v>
      </c>
      <c r="AO117" t="s">
        <v>2202</v>
      </c>
      <c r="AP117" t="s">
        <v>74</v>
      </c>
      <c r="AQ117" t="s">
        <v>74</v>
      </c>
      <c r="AR117" t="s">
        <v>2191</v>
      </c>
      <c r="AS117" t="s">
        <v>2203</v>
      </c>
      <c r="AT117" t="s">
        <v>99</v>
      </c>
      <c r="AU117">
        <v>2023</v>
      </c>
      <c r="AV117">
        <v>12</v>
      </c>
      <c r="AW117">
        <v>1</v>
      </c>
      <c r="AX117" t="s">
        <v>74</v>
      </c>
      <c r="AY117" t="s">
        <v>74</v>
      </c>
      <c r="AZ117" t="s">
        <v>74</v>
      </c>
      <c r="BA117" t="s">
        <v>74</v>
      </c>
      <c r="BB117" t="s">
        <v>74</v>
      </c>
      <c r="BC117" t="s">
        <v>74</v>
      </c>
      <c r="BD117">
        <v>2213132</v>
      </c>
      <c r="BE117" t="s">
        <v>2204</v>
      </c>
      <c r="BF117" t="str">
        <f>HYPERLINK("http://dx.doi.org/10.1080/2162402X.2023.2213132","http://dx.doi.org/10.1080/2162402X.2023.2213132")</f>
        <v>http://dx.doi.org/10.1080/2162402X.2023.2213132</v>
      </c>
      <c r="BG117" t="s">
        <v>74</v>
      </c>
      <c r="BH117" t="s">
        <v>74</v>
      </c>
      <c r="BI117">
        <v>11</v>
      </c>
      <c r="BJ117" t="s">
        <v>2205</v>
      </c>
      <c r="BK117" t="s">
        <v>102</v>
      </c>
      <c r="BL117" t="s">
        <v>2205</v>
      </c>
      <c r="BM117" t="s">
        <v>2206</v>
      </c>
      <c r="BN117">
        <v>37235066</v>
      </c>
      <c r="BO117" t="s">
        <v>165</v>
      </c>
      <c r="BP117" t="s">
        <v>74</v>
      </c>
      <c r="BQ117" t="s">
        <v>74</v>
      </c>
      <c r="BR117" t="s">
        <v>105</v>
      </c>
      <c r="BS117" t="s">
        <v>2207</v>
      </c>
      <c r="BT117" t="str">
        <f>HYPERLINK("https%3A%2F%2Fwww.webofscience.com%2Fwos%2Fwoscc%2Ffull-record%2FWOS:000994036000001","View Full Record in Web of Science")</f>
        <v>View Full Record in Web of Science</v>
      </c>
    </row>
    <row r="118" spans="1:72" x14ac:dyDescent="0.15">
      <c r="A118" t="s">
        <v>72</v>
      </c>
      <c r="B118" t="s">
        <v>2208</v>
      </c>
      <c r="C118" t="s">
        <v>74</v>
      </c>
      <c r="D118" t="s">
        <v>74</v>
      </c>
      <c r="E118" t="s">
        <v>74</v>
      </c>
      <c r="F118" t="s">
        <v>2209</v>
      </c>
      <c r="G118" t="s">
        <v>74</v>
      </c>
      <c r="H118" t="s">
        <v>74</v>
      </c>
      <c r="I118" t="s">
        <v>2210</v>
      </c>
      <c r="J118" t="s">
        <v>670</v>
      </c>
      <c r="K118" t="s">
        <v>74</v>
      </c>
      <c r="L118" t="s">
        <v>74</v>
      </c>
      <c r="M118" t="s">
        <v>78</v>
      </c>
      <c r="N118" t="s">
        <v>79</v>
      </c>
      <c r="O118" t="s">
        <v>74</v>
      </c>
      <c r="P118" t="s">
        <v>74</v>
      </c>
      <c r="Q118" t="s">
        <v>74</v>
      </c>
      <c r="R118" t="s">
        <v>74</v>
      </c>
      <c r="S118" t="s">
        <v>74</v>
      </c>
      <c r="T118" t="s">
        <v>2211</v>
      </c>
      <c r="U118" t="s">
        <v>2212</v>
      </c>
      <c r="V118" t="s">
        <v>2213</v>
      </c>
      <c r="W118" t="s">
        <v>2214</v>
      </c>
      <c r="X118" t="s">
        <v>2215</v>
      </c>
      <c r="Y118" t="s">
        <v>2216</v>
      </c>
      <c r="Z118" t="s">
        <v>2217</v>
      </c>
      <c r="AA118" t="s">
        <v>2218</v>
      </c>
      <c r="AB118" t="s">
        <v>74</v>
      </c>
      <c r="AC118" t="s">
        <v>2219</v>
      </c>
      <c r="AD118" t="s">
        <v>2220</v>
      </c>
      <c r="AE118" t="s">
        <v>2221</v>
      </c>
      <c r="AF118" t="s">
        <v>74</v>
      </c>
      <c r="AG118">
        <v>43</v>
      </c>
      <c r="AH118">
        <v>1</v>
      </c>
      <c r="AI118">
        <v>1</v>
      </c>
      <c r="AJ118">
        <v>65</v>
      </c>
      <c r="AK118">
        <v>65</v>
      </c>
      <c r="AL118" t="s">
        <v>92</v>
      </c>
      <c r="AM118" t="s">
        <v>93</v>
      </c>
      <c r="AN118" t="s">
        <v>94</v>
      </c>
      <c r="AO118" t="s">
        <v>678</v>
      </c>
      <c r="AP118" t="s">
        <v>679</v>
      </c>
      <c r="AQ118" t="s">
        <v>74</v>
      </c>
      <c r="AR118" t="s">
        <v>680</v>
      </c>
      <c r="AS118" t="s">
        <v>681</v>
      </c>
      <c r="AT118" t="s">
        <v>99</v>
      </c>
      <c r="AU118">
        <v>2023</v>
      </c>
      <c r="AV118">
        <v>14</v>
      </c>
      <c r="AW118">
        <v>1</v>
      </c>
      <c r="AX118" t="s">
        <v>74</v>
      </c>
      <c r="AY118" t="s">
        <v>74</v>
      </c>
      <c r="AZ118" t="s">
        <v>74</v>
      </c>
      <c r="BA118" t="s">
        <v>74</v>
      </c>
      <c r="BB118" t="s">
        <v>74</v>
      </c>
      <c r="BC118" t="s">
        <v>74</v>
      </c>
      <c r="BD118">
        <v>2192334</v>
      </c>
      <c r="BE118" t="s">
        <v>2222</v>
      </c>
      <c r="BF118" t="str">
        <f>HYPERLINK("http://dx.doi.org/10.1080/19475705.2023.2192334","http://dx.doi.org/10.1080/19475705.2023.2192334")</f>
        <v>http://dx.doi.org/10.1080/19475705.2023.2192334</v>
      </c>
      <c r="BG118" t="s">
        <v>74</v>
      </c>
      <c r="BH118" t="s">
        <v>74</v>
      </c>
      <c r="BI118">
        <v>23</v>
      </c>
      <c r="BJ118" t="s">
        <v>683</v>
      </c>
      <c r="BK118" t="s">
        <v>102</v>
      </c>
      <c r="BL118" t="s">
        <v>684</v>
      </c>
      <c r="BM118" t="s">
        <v>2223</v>
      </c>
      <c r="BN118" t="s">
        <v>74</v>
      </c>
      <c r="BO118" t="s">
        <v>126</v>
      </c>
      <c r="BP118" t="s">
        <v>74</v>
      </c>
      <c r="BQ118" t="s">
        <v>74</v>
      </c>
      <c r="BR118" t="s">
        <v>105</v>
      </c>
      <c r="BS118" t="s">
        <v>2224</v>
      </c>
      <c r="BT118" t="str">
        <f>HYPERLINK("https%3A%2F%2Fwww.webofscience.com%2Fwos%2Fwoscc%2Ffull-record%2FWOS:000966814800001","View Full Record in Web of Science")</f>
        <v>View Full Record in Web of Science</v>
      </c>
    </row>
    <row r="119" spans="1:72" x14ac:dyDescent="0.15">
      <c r="A119" t="s">
        <v>72</v>
      </c>
      <c r="B119" t="s">
        <v>2225</v>
      </c>
      <c r="C119" t="s">
        <v>74</v>
      </c>
      <c r="D119" t="s">
        <v>74</v>
      </c>
      <c r="E119" t="s">
        <v>74</v>
      </c>
      <c r="F119" t="s">
        <v>2226</v>
      </c>
      <c r="G119" t="s">
        <v>74</v>
      </c>
      <c r="H119" t="s">
        <v>74</v>
      </c>
      <c r="I119" t="s">
        <v>2227</v>
      </c>
      <c r="J119" t="s">
        <v>379</v>
      </c>
      <c r="K119" t="s">
        <v>74</v>
      </c>
      <c r="L119" t="s">
        <v>74</v>
      </c>
      <c r="M119" t="s">
        <v>78</v>
      </c>
      <c r="N119" t="s">
        <v>79</v>
      </c>
      <c r="O119" t="s">
        <v>74</v>
      </c>
      <c r="P119" t="s">
        <v>74</v>
      </c>
      <c r="Q119" t="s">
        <v>74</v>
      </c>
      <c r="R119" t="s">
        <v>74</v>
      </c>
      <c r="S119" t="s">
        <v>74</v>
      </c>
      <c r="T119" t="s">
        <v>2228</v>
      </c>
      <c r="U119" t="s">
        <v>2229</v>
      </c>
      <c r="V119" t="s">
        <v>2230</v>
      </c>
      <c r="W119" t="s">
        <v>2231</v>
      </c>
      <c r="X119" t="s">
        <v>2232</v>
      </c>
      <c r="Y119" t="s">
        <v>2233</v>
      </c>
      <c r="Z119" t="s">
        <v>2234</v>
      </c>
      <c r="AA119" t="s">
        <v>2235</v>
      </c>
      <c r="AB119" t="s">
        <v>2236</v>
      </c>
      <c r="AC119" t="s">
        <v>74</v>
      </c>
      <c r="AD119" t="s">
        <v>74</v>
      </c>
      <c r="AE119" t="s">
        <v>74</v>
      </c>
      <c r="AF119" t="s">
        <v>74</v>
      </c>
      <c r="AG119">
        <v>132</v>
      </c>
      <c r="AH119">
        <v>0</v>
      </c>
      <c r="AI119">
        <v>0</v>
      </c>
      <c r="AJ119">
        <v>1</v>
      </c>
      <c r="AK119">
        <v>1</v>
      </c>
      <c r="AL119" t="s">
        <v>287</v>
      </c>
      <c r="AM119" t="s">
        <v>288</v>
      </c>
      <c r="AN119" t="s">
        <v>289</v>
      </c>
      <c r="AO119" t="s">
        <v>392</v>
      </c>
      <c r="AP119" t="s">
        <v>74</v>
      </c>
      <c r="AQ119" t="s">
        <v>74</v>
      </c>
      <c r="AR119" t="s">
        <v>393</v>
      </c>
      <c r="AS119" t="s">
        <v>394</v>
      </c>
      <c r="AT119" t="s">
        <v>99</v>
      </c>
      <c r="AU119">
        <v>2023</v>
      </c>
      <c r="AV119">
        <v>9</v>
      </c>
      <c r="AW119">
        <v>1</v>
      </c>
      <c r="AX119" t="s">
        <v>74</v>
      </c>
      <c r="AY119" t="s">
        <v>74</v>
      </c>
      <c r="AZ119" t="s">
        <v>74</v>
      </c>
      <c r="BA119" t="s">
        <v>74</v>
      </c>
      <c r="BB119" t="s">
        <v>74</v>
      </c>
      <c r="BC119" t="s">
        <v>74</v>
      </c>
      <c r="BD119">
        <v>2238968</v>
      </c>
      <c r="BE119" t="s">
        <v>2237</v>
      </c>
      <c r="BF119" t="str">
        <f>HYPERLINK("http://dx.doi.org/10.1080/23311886.2023.2238968","http://dx.doi.org/10.1080/23311886.2023.2238968")</f>
        <v>http://dx.doi.org/10.1080/23311886.2023.2238968</v>
      </c>
      <c r="BG119" t="s">
        <v>74</v>
      </c>
      <c r="BH119" t="s">
        <v>74</v>
      </c>
      <c r="BI119">
        <v>25</v>
      </c>
      <c r="BJ119" t="s">
        <v>396</v>
      </c>
      <c r="BK119" t="s">
        <v>211</v>
      </c>
      <c r="BL119" t="s">
        <v>397</v>
      </c>
      <c r="BM119" t="s">
        <v>2238</v>
      </c>
      <c r="BN119" t="s">
        <v>74</v>
      </c>
      <c r="BO119" t="s">
        <v>126</v>
      </c>
      <c r="BP119" t="s">
        <v>74</v>
      </c>
      <c r="BQ119" t="s">
        <v>74</v>
      </c>
      <c r="BR119" t="s">
        <v>105</v>
      </c>
      <c r="BS119" t="s">
        <v>2239</v>
      </c>
      <c r="BT119" t="str">
        <f>HYPERLINK("https%3A%2F%2Fwww.webofscience.com%2Fwos%2Fwoscc%2Ffull-record%2FWOS:001036770800001","View Full Record in Web of Science")</f>
        <v>View Full Record in Web of Science</v>
      </c>
    </row>
    <row r="120" spans="1:72" x14ac:dyDescent="0.15">
      <c r="A120" t="s">
        <v>72</v>
      </c>
      <c r="B120" t="s">
        <v>2240</v>
      </c>
      <c r="C120" t="s">
        <v>74</v>
      </c>
      <c r="D120" t="s">
        <v>74</v>
      </c>
      <c r="E120" t="s">
        <v>74</v>
      </c>
      <c r="F120" t="s">
        <v>2241</v>
      </c>
      <c r="G120" t="s">
        <v>74</v>
      </c>
      <c r="H120" t="s">
        <v>74</v>
      </c>
      <c r="I120" t="s">
        <v>2242</v>
      </c>
      <c r="J120" t="s">
        <v>2243</v>
      </c>
      <c r="K120" t="s">
        <v>74</v>
      </c>
      <c r="L120" t="s">
        <v>74</v>
      </c>
      <c r="M120" t="s">
        <v>78</v>
      </c>
      <c r="N120" t="s">
        <v>79</v>
      </c>
      <c r="O120" t="s">
        <v>74</v>
      </c>
      <c r="P120" t="s">
        <v>74</v>
      </c>
      <c r="Q120" t="s">
        <v>74</v>
      </c>
      <c r="R120" t="s">
        <v>74</v>
      </c>
      <c r="S120" t="s">
        <v>74</v>
      </c>
      <c r="T120" t="s">
        <v>2244</v>
      </c>
      <c r="U120" t="s">
        <v>2245</v>
      </c>
      <c r="V120" t="s">
        <v>2246</v>
      </c>
      <c r="W120" t="s">
        <v>2247</v>
      </c>
      <c r="X120" t="s">
        <v>2248</v>
      </c>
      <c r="Y120" t="s">
        <v>2249</v>
      </c>
      <c r="Z120" t="s">
        <v>2250</v>
      </c>
      <c r="AA120" t="s">
        <v>2251</v>
      </c>
      <c r="AB120" t="s">
        <v>2252</v>
      </c>
      <c r="AC120" t="s">
        <v>2253</v>
      </c>
      <c r="AD120" t="s">
        <v>2254</v>
      </c>
      <c r="AE120" t="s">
        <v>2255</v>
      </c>
      <c r="AF120" t="s">
        <v>74</v>
      </c>
      <c r="AG120">
        <v>61</v>
      </c>
      <c r="AH120">
        <v>1</v>
      </c>
      <c r="AI120">
        <v>1</v>
      </c>
      <c r="AJ120">
        <v>10</v>
      </c>
      <c r="AK120">
        <v>10</v>
      </c>
      <c r="AL120" t="s">
        <v>184</v>
      </c>
      <c r="AM120" t="s">
        <v>185</v>
      </c>
      <c r="AN120" t="s">
        <v>186</v>
      </c>
      <c r="AO120" t="s">
        <v>2256</v>
      </c>
      <c r="AP120" t="s">
        <v>2257</v>
      </c>
      <c r="AQ120" t="s">
        <v>74</v>
      </c>
      <c r="AR120" t="s">
        <v>2258</v>
      </c>
      <c r="AS120" t="s">
        <v>2259</v>
      </c>
      <c r="AT120" t="s">
        <v>99</v>
      </c>
      <c r="AU120">
        <v>2023</v>
      </c>
      <c r="AV120">
        <v>18</v>
      </c>
      <c r="AW120">
        <v>1</v>
      </c>
      <c r="AX120" t="s">
        <v>74</v>
      </c>
      <c r="AY120" t="s">
        <v>74</v>
      </c>
      <c r="AZ120" t="s">
        <v>74</v>
      </c>
      <c r="BA120" t="s">
        <v>74</v>
      </c>
      <c r="BB120" t="s">
        <v>74</v>
      </c>
      <c r="BC120" t="s">
        <v>74</v>
      </c>
      <c r="BD120">
        <v>2211361</v>
      </c>
      <c r="BE120" t="s">
        <v>2260</v>
      </c>
      <c r="BF120" t="str">
        <f>HYPERLINK("http://dx.doi.org/10.1080/15592294.2023.2211361","http://dx.doi.org/10.1080/15592294.2023.2211361")</f>
        <v>http://dx.doi.org/10.1080/15592294.2023.2211361</v>
      </c>
      <c r="BG120" t="s">
        <v>74</v>
      </c>
      <c r="BH120" t="s">
        <v>74</v>
      </c>
      <c r="BI120">
        <v>15</v>
      </c>
      <c r="BJ120" t="s">
        <v>2261</v>
      </c>
      <c r="BK120" t="s">
        <v>102</v>
      </c>
      <c r="BL120" t="s">
        <v>2261</v>
      </c>
      <c r="BM120" t="s">
        <v>2262</v>
      </c>
      <c r="BN120">
        <v>37233989</v>
      </c>
      <c r="BO120" t="s">
        <v>165</v>
      </c>
      <c r="BP120" t="s">
        <v>74</v>
      </c>
      <c r="BQ120" t="s">
        <v>74</v>
      </c>
      <c r="BR120" t="s">
        <v>105</v>
      </c>
      <c r="BS120" t="s">
        <v>2263</v>
      </c>
      <c r="BT120" t="str">
        <f>HYPERLINK("https%3A%2F%2Fwww.webofscience.com%2Fwos%2Fwoscc%2Ffull-record%2FWOS:000996053400001","View Full Record in Web of Science")</f>
        <v>View Full Record in Web of Science</v>
      </c>
    </row>
    <row r="121" spans="1:72" x14ac:dyDescent="0.15">
      <c r="A121" t="s">
        <v>72</v>
      </c>
      <c r="B121" t="s">
        <v>2264</v>
      </c>
      <c r="C121" t="s">
        <v>74</v>
      </c>
      <c r="D121" t="s">
        <v>74</v>
      </c>
      <c r="E121" t="s">
        <v>74</v>
      </c>
      <c r="F121" t="s">
        <v>2265</v>
      </c>
      <c r="G121" t="s">
        <v>74</v>
      </c>
      <c r="H121" t="s">
        <v>74</v>
      </c>
      <c r="I121" t="s">
        <v>2266</v>
      </c>
      <c r="J121" t="s">
        <v>847</v>
      </c>
      <c r="K121" t="s">
        <v>74</v>
      </c>
      <c r="L121" t="s">
        <v>74</v>
      </c>
      <c r="M121" t="s">
        <v>78</v>
      </c>
      <c r="N121" t="s">
        <v>171</v>
      </c>
      <c r="O121" t="s">
        <v>74</v>
      </c>
      <c r="P121" t="s">
        <v>74</v>
      </c>
      <c r="Q121" t="s">
        <v>74</v>
      </c>
      <c r="R121" t="s">
        <v>74</v>
      </c>
      <c r="S121" t="s">
        <v>74</v>
      </c>
      <c r="T121" t="s">
        <v>2267</v>
      </c>
      <c r="U121" t="s">
        <v>2268</v>
      </c>
      <c r="V121" t="s">
        <v>2269</v>
      </c>
      <c r="W121" t="s">
        <v>2270</v>
      </c>
      <c r="X121" t="s">
        <v>2271</v>
      </c>
      <c r="Y121" t="s">
        <v>2272</v>
      </c>
      <c r="Z121" t="s">
        <v>2273</v>
      </c>
      <c r="AA121" t="s">
        <v>2274</v>
      </c>
      <c r="AB121" t="s">
        <v>2275</v>
      </c>
      <c r="AC121" t="s">
        <v>2276</v>
      </c>
      <c r="AD121" t="s">
        <v>2277</v>
      </c>
      <c r="AE121" t="s">
        <v>2278</v>
      </c>
      <c r="AF121" t="s">
        <v>74</v>
      </c>
      <c r="AG121">
        <v>191</v>
      </c>
      <c r="AH121">
        <v>0</v>
      </c>
      <c r="AI121">
        <v>0</v>
      </c>
      <c r="AJ121">
        <v>5</v>
      </c>
      <c r="AK121">
        <v>6</v>
      </c>
      <c r="AL121" t="s">
        <v>184</v>
      </c>
      <c r="AM121" t="s">
        <v>185</v>
      </c>
      <c r="AN121" t="s">
        <v>186</v>
      </c>
      <c r="AO121" t="s">
        <v>860</v>
      </c>
      <c r="AP121" t="s">
        <v>861</v>
      </c>
      <c r="AQ121" t="s">
        <v>74</v>
      </c>
      <c r="AR121" t="s">
        <v>862</v>
      </c>
      <c r="AS121" t="s">
        <v>863</v>
      </c>
      <c r="AT121" t="s">
        <v>99</v>
      </c>
      <c r="AU121">
        <v>2023</v>
      </c>
      <c r="AV121">
        <v>14</v>
      </c>
      <c r="AW121">
        <v>1</v>
      </c>
      <c r="AX121" t="s">
        <v>74</v>
      </c>
      <c r="AY121" t="s">
        <v>74</v>
      </c>
      <c r="AZ121" t="s">
        <v>74</v>
      </c>
      <c r="BA121" t="s">
        <v>74</v>
      </c>
      <c r="BB121" t="s">
        <v>74</v>
      </c>
      <c r="BC121" t="s">
        <v>74</v>
      </c>
      <c r="BD121">
        <v>2178184</v>
      </c>
      <c r="BE121" t="s">
        <v>2279</v>
      </c>
      <c r="BF121" t="str">
        <f>HYPERLINK("http://dx.doi.org/10.1080/19491034.2023.2178184","http://dx.doi.org/10.1080/19491034.2023.2178184")</f>
        <v>http://dx.doi.org/10.1080/19491034.2023.2178184</v>
      </c>
      <c r="BG121" t="s">
        <v>74</v>
      </c>
      <c r="BH121" t="s">
        <v>74</v>
      </c>
      <c r="BI121">
        <v>19</v>
      </c>
      <c r="BJ121" t="s">
        <v>865</v>
      </c>
      <c r="BK121" t="s">
        <v>102</v>
      </c>
      <c r="BL121" t="s">
        <v>865</v>
      </c>
      <c r="BM121" t="s">
        <v>2280</v>
      </c>
      <c r="BN121">
        <v>36814098</v>
      </c>
      <c r="BO121" t="s">
        <v>104</v>
      </c>
      <c r="BP121" t="s">
        <v>74</v>
      </c>
      <c r="BQ121" t="s">
        <v>74</v>
      </c>
      <c r="BR121" t="s">
        <v>105</v>
      </c>
      <c r="BS121" t="s">
        <v>2281</v>
      </c>
      <c r="BT121" t="str">
        <f>HYPERLINK("https%3A%2F%2Fwww.webofscience.com%2Fwos%2Fwoscc%2Ffull-record%2FWOS:000938016800001","View Full Record in Web of Science")</f>
        <v>View Full Record in Web of Science</v>
      </c>
    </row>
    <row r="122" spans="1:72" x14ac:dyDescent="0.15">
      <c r="A122" t="s">
        <v>72</v>
      </c>
      <c r="B122" t="s">
        <v>2282</v>
      </c>
      <c r="C122" t="s">
        <v>74</v>
      </c>
      <c r="D122" t="s">
        <v>74</v>
      </c>
      <c r="E122" t="s">
        <v>74</v>
      </c>
      <c r="F122" t="s">
        <v>2283</v>
      </c>
      <c r="G122" t="s">
        <v>74</v>
      </c>
      <c r="H122" t="s">
        <v>74</v>
      </c>
      <c r="I122" t="s">
        <v>2284</v>
      </c>
      <c r="J122" t="s">
        <v>131</v>
      </c>
      <c r="K122" t="s">
        <v>74</v>
      </c>
      <c r="L122" t="s">
        <v>74</v>
      </c>
      <c r="M122" t="s">
        <v>78</v>
      </c>
      <c r="N122" t="s">
        <v>79</v>
      </c>
      <c r="O122" t="s">
        <v>74</v>
      </c>
      <c r="P122" t="s">
        <v>74</v>
      </c>
      <c r="Q122" t="s">
        <v>74</v>
      </c>
      <c r="R122" t="s">
        <v>74</v>
      </c>
      <c r="S122" t="s">
        <v>74</v>
      </c>
      <c r="T122" t="s">
        <v>2285</v>
      </c>
      <c r="U122" t="s">
        <v>2286</v>
      </c>
      <c r="V122" t="s">
        <v>2287</v>
      </c>
      <c r="W122" t="s">
        <v>2288</v>
      </c>
      <c r="X122" t="s">
        <v>2289</v>
      </c>
      <c r="Y122" t="s">
        <v>2290</v>
      </c>
      <c r="Z122" t="s">
        <v>2291</v>
      </c>
      <c r="AA122" t="s">
        <v>2292</v>
      </c>
      <c r="AB122" t="s">
        <v>2293</v>
      </c>
      <c r="AC122" t="s">
        <v>74</v>
      </c>
      <c r="AD122" t="s">
        <v>74</v>
      </c>
      <c r="AE122" t="s">
        <v>74</v>
      </c>
      <c r="AF122" t="s">
        <v>74</v>
      </c>
      <c r="AG122">
        <v>61</v>
      </c>
      <c r="AH122">
        <v>0</v>
      </c>
      <c r="AI122">
        <v>0</v>
      </c>
      <c r="AJ122">
        <v>3</v>
      </c>
      <c r="AK122">
        <v>3</v>
      </c>
      <c r="AL122" t="s">
        <v>92</v>
      </c>
      <c r="AM122" t="s">
        <v>93</v>
      </c>
      <c r="AN122" t="s">
        <v>94</v>
      </c>
      <c r="AO122" t="s">
        <v>142</v>
      </c>
      <c r="AP122" t="s">
        <v>143</v>
      </c>
      <c r="AQ122" t="s">
        <v>74</v>
      </c>
      <c r="AR122" t="s">
        <v>131</v>
      </c>
      <c r="AS122" t="s">
        <v>144</v>
      </c>
      <c r="AT122" t="s">
        <v>99</v>
      </c>
      <c r="AU122">
        <v>2023</v>
      </c>
      <c r="AV122">
        <v>28</v>
      </c>
      <c r="AW122">
        <v>1</v>
      </c>
      <c r="AX122" t="s">
        <v>74</v>
      </c>
      <c r="AY122" t="s">
        <v>74</v>
      </c>
      <c r="AZ122" t="s">
        <v>74</v>
      </c>
      <c r="BA122" t="s">
        <v>74</v>
      </c>
      <c r="BB122" t="s">
        <v>74</v>
      </c>
      <c r="BC122" t="s">
        <v>74</v>
      </c>
      <c r="BD122">
        <v>2199629</v>
      </c>
      <c r="BE122" t="s">
        <v>2294</v>
      </c>
      <c r="BF122" t="str">
        <f>HYPERLINK("http://dx.doi.org/10.1080/16078454.2023.2199629","http://dx.doi.org/10.1080/16078454.2023.2199629")</f>
        <v>http://dx.doi.org/10.1080/16078454.2023.2199629</v>
      </c>
      <c r="BG122" t="s">
        <v>74</v>
      </c>
      <c r="BH122" t="s">
        <v>74</v>
      </c>
      <c r="BI122">
        <v>10</v>
      </c>
      <c r="BJ122" t="s">
        <v>144</v>
      </c>
      <c r="BK122" t="s">
        <v>102</v>
      </c>
      <c r="BL122" t="s">
        <v>144</v>
      </c>
      <c r="BM122" t="s">
        <v>2295</v>
      </c>
      <c r="BN122">
        <v>37408482</v>
      </c>
      <c r="BO122" t="s">
        <v>126</v>
      </c>
      <c r="BP122" t="s">
        <v>74</v>
      </c>
      <c r="BQ122" t="s">
        <v>74</v>
      </c>
      <c r="BR122" t="s">
        <v>105</v>
      </c>
      <c r="BS122" t="s">
        <v>2296</v>
      </c>
      <c r="BT122" t="str">
        <f>HYPERLINK("https%3A%2F%2Fwww.webofscience.com%2Fwos%2Fwoscc%2Ffull-record%2FWOS:001019818700001","View Full Record in Web of Science")</f>
        <v>View Full Record in Web of Science</v>
      </c>
    </row>
    <row r="123" spans="1:72" x14ac:dyDescent="0.15">
      <c r="A123" t="s">
        <v>72</v>
      </c>
      <c r="B123" t="s">
        <v>2297</v>
      </c>
      <c r="C123" t="s">
        <v>74</v>
      </c>
      <c r="D123" t="s">
        <v>74</v>
      </c>
      <c r="E123" t="s">
        <v>74</v>
      </c>
      <c r="F123" t="s">
        <v>2298</v>
      </c>
      <c r="G123" t="s">
        <v>74</v>
      </c>
      <c r="H123" t="s">
        <v>74</v>
      </c>
      <c r="I123" t="s">
        <v>2299</v>
      </c>
      <c r="J123" t="s">
        <v>2300</v>
      </c>
      <c r="K123" t="s">
        <v>74</v>
      </c>
      <c r="L123" t="s">
        <v>74</v>
      </c>
      <c r="M123" t="s">
        <v>78</v>
      </c>
      <c r="N123" t="s">
        <v>79</v>
      </c>
      <c r="O123" t="s">
        <v>74</v>
      </c>
      <c r="P123" t="s">
        <v>74</v>
      </c>
      <c r="Q123" t="s">
        <v>74</v>
      </c>
      <c r="R123" t="s">
        <v>74</v>
      </c>
      <c r="S123" t="s">
        <v>74</v>
      </c>
      <c r="T123" t="s">
        <v>2301</v>
      </c>
      <c r="U123" t="s">
        <v>2302</v>
      </c>
      <c r="V123" t="s">
        <v>2303</v>
      </c>
      <c r="W123" t="s">
        <v>2304</v>
      </c>
      <c r="X123" t="s">
        <v>2305</v>
      </c>
      <c r="Y123" t="s">
        <v>2306</v>
      </c>
      <c r="Z123" t="s">
        <v>2307</v>
      </c>
      <c r="AA123" t="s">
        <v>2308</v>
      </c>
      <c r="AB123" t="s">
        <v>2309</v>
      </c>
      <c r="AC123" t="s">
        <v>2310</v>
      </c>
      <c r="AD123" t="s">
        <v>2311</v>
      </c>
      <c r="AE123" t="s">
        <v>2312</v>
      </c>
      <c r="AF123" t="s">
        <v>74</v>
      </c>
      <c r="AG123">
        <v>74</v>
      </c>
      <c r="AH123">
        <v>0</v>
      </c>
      <c r="AI123">
        <v>0</v>
      </c>
      <c r="AJ123">
        <v>6</v>
      </c>
      <c r="AK123">
        <v>6</v>
      </c>
      <c r="AL123" t="s">
        <v>92</v>
      </c>
      <c r="AM123" t="s">
        <v>93</v>
      </c>
      <c r="AN123" t="s">
        <v>94</v>
      </c>
      <c r="AO123" t="s">
        <v>74</v>
      </c>
      <c r="AP123" t="s">
        <v>2313</v>
      </c>
      <c r="AQ123" t="s">
        <v>74</v>
      </c>
      <c r="AR123" t="s">
        <v>2314</v>
      </c>
      <c r="AS123" t="s">
        <v>2315</v>
      </c>
      <c r="AT123" t="s">
        <v>99</v>
      </c>
      <c r="AU123">
        <v>2023</v>
      </c>
      <c r="AV123">
        <v>56</v>
      </c>
      <c r="AW123">
        <v>1</v>
      </c>
      <c r="AX123" t="s">
        <v>74</v>
      </c>
      <c r="AY123" t="s">
        <v>74</v>
      </c>
      <c r="AZ123" t="s">
        <v>74</v>
      </c>
      <c r="BA123" t="s">
        <v>74</v>
      </c>
      <c r="BB123" t="s">
        <v>74</v>
      </c>
      <c r="BC123" t="s">
        <v>74</v>
      </c>
      <c r="BD123">
        <v>2253985</v>
      </c>
      <c r="BE123" t="s">
        <v>2316</v>
      </c>
      <c r="BF123" t="str">
        <f>HYPERLINK("http://dx.doi.org/10.1080/22797254.2023.2253985","http://dx.doi.org/10.1080/22797254.2023.2253985")</f>
        <v>http://dx.doi.org/10.1080/22797254.2023.2253985</v>
      </c>
      <c r="BG123" t="s">
        <v>74</v>
      </c>
      <c r="BH123" t="s">
        <v>74</v>
      </c>
      <c r="BI123">
        <v>15</v>
      </c>
      <c r="BJ123" t="s">
        <v>2317</v>
      </c>
      <c r="BK123" t="s">
        <v>102</v>
      </c>
      <c r="BL123" t="s">
        <v>2317</v>
      </c>
      <c r="BM123" t="s">
        <v>2318</v>
      </c>
      <c r="BN123" t="s">
        <v>74</v>
      </c>
      <c r="BO123" t="s">
        <v>126</v>
      </c>
      <c r="BP123" t="s">
        <v>74</v>
      </c>
      <c r="BQ123" t="s">
        <v>74</v>
      </c>
      <c r="BR123" t="s">
        <v>105</v>
      </c>
      <c r="BS123" t="s">
        <v>2319</v>
      </c>
      <c r="BT123" t="str">
        <f>HYPERLINK("https%3A%2F%2Fwww.webofscience.com%2Fwos%2Fwoscc%2Ffull-record%2FWOS:001058764900001","View Full Record in Web of Science")</f>
        <v>View Full Record in Web of Science</v>
      </c>
    </row>
    <row r="124" spans="1:72" x14ac:dyDescent="0.15">
      <c r="A124" t="s">
        <v>72</v>
      </c>
      <c r="B124" t="s">
        <v>2320</v>
      </c>
      <c r="C124" t="s">
        <v>74</v>
      </c>
      <c r="D124" t="s">
        <v>74</v>
      </c>
      <c r="E124" t="s">
        <v>74</v>
      </c>
      <c r="F124" t="s">
        <v>2321</v>
      </c>
      <c r="G124" t="s">
        <v>74</v>
      </c>
      <c r="H124" t="s">
        <v>74</v>
      </c>
      <c r="I124" t="s">
        <v>2322</v>
      </c>
      <c r="J124" t="s">
        <v>359</v>
      </c>
      <c r="K124" t="s">
        <v>74</v>
      </c>
      <c r="L124" t="s">
        <v>74</v>
      </c>
      <c r="M124" t="s">
        <v>78</v>
      </c>
      <c r="N124" t="s">
        <v>79</v>
      </c>
      <c r="O124" t="s">
        <v>74</v>
      </c>
      <c r="P124" t="s">
        <v>74</v>
      </c>
      <c r="Q124" t="s">
        <v>74</v>
      </c>
      <c r="R124" t="s">
        <v>74</v>
      </c>
      <c r="S124" t="s">
        <v>74</v>
      </c>
      <c r="T124" t="s">
        <v>2323</v>
      </c>
      <c r="U124" t="s">
        <v>2324</v>
      </c>
      <c r="V124" t="s">
        <v>2325</v>
      </c>
      <c r="W124" t="s">
        <v>2326</v>
      </c>
      <c r="X124" t="s">
        <v>2327</v>
      </c>
      <c r="Y124" t="s">
        <v>2328</v>
      </c>
      <c r="Z124" t="s">
        <v>2329</v>
      </c>
      <c r="AA124" t="s">
        <v>2330</v>
      </c>
      <c r="AB124" t="s">
        <v>2331</v>
      </c>
      <c r="AC124" t="s">
        <v>2332</v>
      </c>
      <c r="AD124" t="s">
        <v>2333</v>
      </c>
      <c r="AE124" t="s">
        <v>2334</v>
      </c>
      <c r="AF124" t="s">
        <v>74</v>
      </c>
      <c r="AG124">
        <v>81</v>
      </c>
      <c r="AH124">
        <v>0</v>
      </c>
      <c r="AI124">
        <v>0</v>
      </c>
      <c r="AJ124">
        <v>8</v>
      </c>
      <c r="AK124">
        <v>8</v>
      </c>
      <c r="AL124" t="s">
        <v>287</v>
      </c>
      <c r="AM124" t="s">
        <v>288</v>
      </c>
      <c r="AN124" t="s">
        <v>289</v>
      </c>
      <c r="AO124" t="s">
        <v>369</v>
      </c>
      <c r="AP124" t="s">
        <v>74</v>
      </c>
      <c r="AQ124" t="s">
        <v>74</v>
      </c>
      <c r="AR124" t="s">
        <v>370</v>
      </c>
      <c r="AS124" t="s">
        <v>371</v>
      </c>
      <c r="AT124" t="s">
        <v>99</v>
      </c>
      <c r="AU124">
        <v>2023</v>
      </c>
      <c r="AV124">
        <v>11</v>
      </c>
      <c r="AW124">
        <v>1</v>
      </c>
      <c r="AX124" t="s">
        <v>74</v>
      </c>
      <c r="AY124" t="s">
        <v>74</v>
      </c>
      <c r="AZ124" t="s">
        <v>74</v>
      </c>
      <c r="BA124" t="s">
        <v>74</v>
      </c>
      <c r="BB124" t="s">
        <v>74</v>
      </c>
      <c r="BC124" t="s">
        <v>74</v>
      </c>
      <c r="BD124">
        <v>2209955</v>
      </c>
      <c r="BE124" t="s">
        <v>2335</v>
      </c>
      <c r="BF124" t="str">
        <f>HYPERLINK("http://dx.doi.org/10.1080/23322039.2023.2209955","http://dx.doi.org/10.1080/23322039.2023.2209955")</f>
        <v>http://dx.doi.org/10.1080/23322039.2023.2209955</v>
      </c>
      <c r="BG124" t="s">
        <v>74</v>
      </c>
      <c r="BH124" t="s">
        <v>74</v>
      </c>
      <c r="BI124">
        <v>28</v>
      </c>
      <c r="BJ124" t="s">
        <v>373</v>
      </c>
      <c r="BK124" t="s">
        <v>211</v>
      </c>
      <c r="BL124" t="s">
        <v>295</v>
      </c>
      <c r="BM124" t="s">
        <v>2336</v>
      </c>
      <c r="BN124" t="s">
        <v>74</v>
      </c>
      <c r="BO124" t="s">
        <v>126</v>
      </c>
      <c r="BP124" t="s">
        <v>74</v>
      </c>
      <c r="BQ124" t="s">
        <v>74</v>
      </c>
      <c r="BR124" t="s">
        <v>105</v>
      </c>
      <c r="BS124" t="s">
        <v>2337</v>
      </c>
      <c r="BT124" t="str">
        <f>HYPERLINK("https%3A%2F%2Fwww.webofscience.com%2Fwos%2Fwoscc%2Ffull-record%2FWOS:000982965700001","View Full Record in Web of Science")</f>
        <v>View Full Record in Web of Science</v>
      </c>
    </row>
    <row r="125" spans="1:72" x14ac:dyDescent="0.15">
      <c r="A125" t="s">
        <v>72</v>
      </c>
      <c r="B125" t="s">
        <v>2338</v>
      </c>
      <c r="C125" t="s">
        <v>74</v>
      </c>
      <c r="D125" t="s">
        <v>74</v>
      </c>
      <c r="E125" t="s">
        <v>74</v>
      </c>
      <c r="F125" t="s">
        <v>2339</v>
      </c>
      <c r="G125" t="s">
        <v>74</v>
      </c>
      <c r="H125" t="s">
        <v>74</v>
      </c>
      <c r="I125" t="s">
        <v>2340</v>
      </c>
      <c r="J125" t="s">
        <v>1315</v>
      </c>
      <c r="K125" t="s">
        <v>74</v>
      </c>
      <c r="L125" t="s">
        <v>74</v>
      </c>
      <c r="M125" t="s">
        <v>78</v>
      </c>
      <c r="N125" t="s">
        <v>79</v>
      </c>
      <c r="O125" t="s">
        <v>74</v>
      </c>
      <c r="P125" t="s">
        <v>74</v>
      </c>
      <c r="Q125" t="s">
        <v>74</v>
      </c>
      <c r="R125" t="s">
        <v>74</v>
      </c>
      <c r="S125" t="s">
        <v>74</v>
      </c>
      <c r="T125" t="s">
        <v>2341</v>
      </c>
      <c r="U125" t="s">
        <v>2342</v>
      </c>
      <c r="V125" t="s">
        <v>2343</v>
      </c>
      <c r="W125" t="s">
        <v>2344</v>
      </c>
      <c r="X125" t="s">
        <v>2345</v>
      </c>
      <c r="Y125" t="s">
        <v>2346</v>
      </c>
      <c r="Z125" t="s">
        <v>2347</v>
      </c>
      <c r="AA125" t="s">
        <v>74</v>
      </c>
      <c r="AB125" t="s">
        <v>2348</v>
      </c>
      <c r="AC125" t="s">
        <v>2349</v>
      </c>
      <c r="AD125" t="s">
        <v>2350</v>
      </c>
      <c r="AE125" t="s">
        <v>2351</v>
      </c>
      <c r="AF125" t="s">
        <v>74</v>
      </c>
      <c r="AG125">
        <v>16</v>
      </c>
      <c r="AH125">
        <v>0</v>
      </c>
      <c r="AI125">
        <v>0</v>
      </c>
      <c r="AJ125">
        <v>2</v>
      </c>
      <c r="AK125">
        <v>2</v>
      </c>
      <c r="AL125" t="s">
        <v>92</v>
      </c>
      <c r="AM125" t="s">
        <v>93</v>
      </c>
      <c r="AN125" t="s">
        <v>94</v>
      </c>
      <c r="AO125" t="s">
        <v>1326</v>
      </c>
      <c r="AP125" t="s">
        <v>1327</v>
      </c>
      <c r="AQ125" t="s">
        <v>74</v>
      </c>
      <c r="AR125" t="s">
        <v>1328</v>
      </c>
      <c r="AS125" t="s">
        <v>1329</v>
      </c>
      <c r="AT125" t="s">
        <v>99</v>
      </c>
      <c r="AU125">
        <v>2023</v>
      </c>
      <c r="AV125">
        <v>34</v>
      </c>
      <c r="AW125">
        <v>1</v>
      </c>
      <c r="AX125" t="s">
        <v>74</v>
      </c>
      <c r="AY125" t="s">
        <v>74</v>
      </c>
      <c r="AZ125" t="s">
        <v>74</v>
      </c>
      <c r="BA125" t="s">
        <v>74</v>
      </c>
      <c r="BB125" t="s">
        <v>74</v>
      </c>
      <c r="BC125" t="s">
        <v>74</v>
      </c>
      <c r="BD125">
        <v>2181655</v>
      </c>
      <c r="BE125" t="s">
        <v>2352</v>
      </c>
      <c r="BF125" t="str">
        <f>HYPERLINK("http://dx.doi.org/10.1080/09546634.2023.2181655","http://dx.doi.org/10.1080/09546634.2023.2181655")</f>
        <v>http://dx.doi.org/10.1080/09546634.2023.2181655</v>
      </c>
      <c r="BG125" t="s">
        <v>74</v>
      </c>
      <c r="BH125" t="s">
        <v>74</v>
      </c>
      <c r="BI125">
        <v>6</v>
      </c>
      <c r="BJ125" t="s">
        <v>1331</v>
      </c>
      <c r="BK125" t="s">
        <v>102</v>
      </c>
      <c r="BL125" t="s">
        <v>1331</v>
      </c>
      <c r="BM125" t="s">
        <v>2353</v>
      </c>
      <c r="BN125">
        <v>36809147</v>
      </c>
      <c r="BO125" t="s">
        <v>126</v>
      </c>
      <c r="BP125" t="s">
        <v>74</v>
      </c>
      <c r="BQ125" t="s">
        <v>74</v>
      </c>
      <c r="BR125" t="s">
        <v>105</v>
      </c>
      <c r="BS125" t="s">
        <v>2354</v>
      </c>
      <c r="BT125" t="str">
        <f>HYPERLINK("https%3A%2F%2Fwww.webofscience.com%2Fwos%2Fwoscc%2Ffull-record%2FWOS:000956955100001","View Full Record in Web of Science")</f>
        <v>View Full Record in Web of Science</v>
      </c>
    </row>
    <row r="126" spans="1:72" x14ac:dyDescent="0.15">
      <c r="A126" t="s">
        <v>72</v>
      </c>
      <c r="B126" t="s">
        <v>2355</v>
      </c>
      <c r="C126" t="s">
        <v>74</v>
      </c>
      <c r="D126" t="s">
        <v>74</v>
      </c>
      <c r="E126" t="s">
        <v>74</v>
      </c>
      <c r="F126" t="s">
        <v>2356</v>
      </c>
      <c r="G126" t="s">
        <v>74</v>
      </c>
      <c r="H126" t="s">
        <v>74</v>
      </c>
      <c r="I126" t="s">
        <v>2357</v>
      </c>
      <c r="J126" t="s">
        <v>2358</v>
      </c>
      <c r="K126" t="s">
        <v>74</v>
      </c>
      <c r="L126" t="s">
        <v>74</v>
      </c>
      <c r="M126" t="s">
        <v>78</v>
      </c>
      <c r="N126" t="s">
        <v>79</v>
      </c>
      <c r="O126" t="s">
        <v>74</v>
      </c>
      <c r="P126" t="s">
        <v>74</v>
      </c>
      <c r="Q126" t="s">
        <v>74</v>
      </c>
      <c r="R126" t="s">
        <v>74</v>
      </c>
      <c r="S126" t="s">
        <v>74</v>
      </c>
      <c r="T126" t="s">
        <v>2359</v>
      </c>
      <c r="U126" t="s">
        <v>2360</v>
      </c>
      <c r="V126" t="s">
        <v>2361</v>
      </c>
      <c r="W126" t="s">
        <v>2362</v>
      </c>
      <c r="X126" t="s">
        <v>2363</v>
      </c>
      <c r="Y126" t="s">
        <v>2364</v>
      </c>
      <c r="Z126" t="s">
        <v>2365</v>
      </c>
      <c r="AA126" t="s">
        <v>74</v>
      </c>
      <c r="AB126" t="s">
        <v>74</v>
      </c>
      <c r="AC126" t="s">
        <v>2366</v>
      </c>
      <c r="AD126" t="s">
        <v>2367</v>
      </c>
      <c r="AE126" t="s">
        <v>2368</v>
      </c>
      <c r="AF126" t="s">
        <v>74</v>
      </c>
      <c r="AG126">
        <v>169</v>
      </c>
      <c r="AH126">
        <v>0</v>
      </c>
      <c r="AI126">
        <v>0</v>
      </c>
      <c r="AJ126">
        <v>19</v>
      </c>
      <c r="AK126">
        <v>19</v>
      </c>
      <c r="AL126" t="s">
        <v>92</v>
      </c>
      <c r="AM126" t="s">
        <v>93</v>
      </c>
      <c r="AN126" t="s">
        <v>94</v>
      </c>
      <c r="AO126" t="s">
        <v>2369</v>
      </c>
      <c r="AP126" t="s">
        <v>2370</v>
      </c>
      <c r="AQ126" t="s">
        <v>74</v>
      </c>
      <c r="AR126" t="s">
        <v>2358</v>
      </c>
      <c r="AS126" t="s">
        <v>2371</v>
      </c>
      <c r="AT126" t="s">
        <v>99</v>
      </c>
      <c r="AU126">
        <v>2023</v>
      </c>
      <c r="AV126">
        <v>16</v>
      </c>
      <c r="AW126">
        <v>1</v>
      </c>
      <c r="AX126" t="s">
        <v>74</v>
      </c>
      <c r="AY126" t="s">
        <v>74</v>
      </c>
      <c r="AZ126" t="s">
        <v>74</v>
      </c>
      <c r="BA126" t="s">
        <v>74</v>
      </c>
      <c r="BB126" t="s">
        <v>74</v>
      </c>
      <c r="BC126" t="s">
        <v>74</v>
      </c>
      <c r="BD126">
        <v>2207774</v>
      </c>
      <c r="BE126" t="s">
        <v>2372</v>
      </c>
      <c r="BF126" t="str">
        <f>HYPERLINK("http://dx.doi.org/10.1080/26895293.2023.2207774","http://dx.doi.org/10.1080/26895293.2023.2207774")</f>
        <v>http://dx.doi.org/10.1080/26895293.2023.2207774</v>
      </c>
      <c r="BG126" t="s">
        <v>74</v>
      </c>
      <c r="BH126" t="s">
        <v>74</v>
      </c>
      <c r="BI126">
        <v>23</v>
      </c>
      <c r="BJ126" t="s">
        <v>352</v>
      </c>
      <c r="BK126" t="s">
        <v>102</v>
      </c>
      <c r="BL126" t="s">
        <v>353</v>
      </c>
      <c r="BM126" t="s">
        <v>2373</v>
      </c>
      <c r="BN126" t="s">
        <v>74</v>
      </c>
      <c r="BO126" t="s">
        <v>126</v>
      </c>
      <c r="BP126" t="s">
        <v>74</v>
      </c>
      <c r="BQ126" t="s">
        <v>74</v>
      </c>
      <c r="BR126" t="s">
        <v>105</v>
      </c>
      <c r="BS126" t="s">
        <v>2374</v>
      </c>
      <c r="BT126" t="str">
        <f>HYPERLINK("https%3A%2F%2Fwww.webofscience.com%2Fwos%2Fwoscc%2Ffull-record%2FWOS:000982847500001","View Full Record in Web of Science")</f>
        <v>View Full Record in Web of Science</v>
      </c>
    </row>
    <row r="127" spans="1:72" x14ac:dyDescent="0.15">
      <c r="A127" t="s">
        <v>72</v>
      </c>
      <c r="B127" t="s">
        <v>2375</v>
      </c>
      <c r="C127" t="s">
        <v>74</v>
      </c>
      <c r="D127" t="s">
        <v>74</v>
      </c>
      <c r="E127" t="s">
        <v>74</v>
      </c>
      <c r="F127" t="s">
        <v>2376</v>
      </c>
      <c r="G127" t="s">
        <v>74</v>
      </c>
      <c r="H127" t="s">
        <v>74</v>
      </c>
      <c r="I127" t="s">
        <v>2377</v>
      </c>
      <c r="J127" t="s">
        <v>871</v>
      </c>
      <c r="K127" t="s">
        <v>74</v>
      </c>
      <c r="L127" t="s">
        <v>74</v>
      </c>
      <c r="M127" t="s">
        <v>78</v>
      </c>
      <c r="N127" t="s">
        <v>79</v>
      </c>
      <c r="O127" t="s">
        <v>74</v>
      </c>
      <c r="P127" t="s">
        <v>74</v>
      </c>
      <c r="Q127" t="s">
        <v>74</v>
      </c>
      <c r="R127" t="s">
        <v>74</v>
      </c>
      <c r="S127" t="s">
        <v>74</v>
      </c>
      <c r="T127" t="s">
        <v>2378</v>
      </c>
      <c r="U127" t="s">
        <v>2379</v>
      </c>
      <c r="V127" t="s">
        <v>2380</v>
      </c>
      <c r="W127" t="s">
        <v>2381</v>
      </c>
      <c r="X127" t="s">
        <v>2382</v>
      </c>
      <c r="Y127" t="s">
        <v>2383</v>
      </c>
      <c r="Z127" t="s">
        <v>2384</v>
      </c>
      <c r="AA127" t="s">
        <v>74</v>
      </c>
      <c r="AB127" t="s">
        <v>2385</v>
      </c>
      <c r="AC127" t="s">
        <v>74</v>
      </c>
      <c r="AD127" t="s">
        <v>74</v>
      </c>
      <c r="AE127" t="s">
        <v>74</v>
      </c>
      <c r="AF127" t="s">
        <v>74</v>
      </c>
      <c r="AG127">
        <v>48</v>
      </c>
      <c r="AH127">
        <v>1</v>
      </c>
      <c r="AI127">
        <v>1</v>
      </c>
      <c r="AJ127">
        <v>6</v>
      </c>
      <c r="AK127">
        <v>6</v>
      </c>
      <c r="AL127" t="s">
        <v>92</v>
      </c>
      <c r="AM127" t="s">
        <v>93</v>
      </c>
      <c r="AN127" t="s">
        <v>94</v>
      </c>
      <c r="AO127" t="s">
        <v>880</v>
      </c>
      <c r="AP127" t="s">
        <v>881</v>
      </c>
      <c r="AQ127" t="s">
        <v>74</v>
      </c>
      <c r="AR127" t="s">
        <v>882</v>
      </c>
      <c r="AS127" t="s">
        <v>883</v>
      </c>
      <c r="AT127" t="s">
        <v>99</v>
      </c>
      <c r="AU127">
        <v>2023</v>
      </c>
      <c r="AV127">
        <v>36</v>
      </c>
      <c r="AW127">
        <v>1</v>
      </c>
      <c r="AX127" t="s">
        <v>74</v>
      </c>
      <c r="AY127" t="s">
        <v>74</v>
      </c>
      <c r="AZ127" t="s">
        <v>74</v>
      </c>
      <c r="BA127" t="s">
        <v>74</v>
      </c>
      <c r="BB127" t="s">
        <v>74</v>
      </c>
      <c r="BC127" t="s">
        <v>74</v>
      </c>
      <c r="BD127">
        <v>2195523</v>
      </c>
      <c r="BE127" t="s">
        <v>2386</v>
      </c>
      <c r="BF127" t="str">
        <f>HYPERLINK("http://dx.doi.org/10.1080/14767058.2023.2195523","http://dx.doi.org/10.1080/14767058.2023.2195523")</f>
        <v>http://dx.doi.org/10.1080/14767058.2023.2195523</v>
      </c>
      <c r="BG127" t="s">
        <v>74</v>
      </c>
      <c r="BH127" t="s">
        <v>74</v>
      </c>
      <c r="BI127">
        <v>11</v>
      </c>
      <c r="BJ127" t="s">
        <v>885</v>
      </c>
      <c r="BK127" t="s">
        <v>102</v>
      </c>
      <c r="BL127" t="s">
        <v>885</v>
      </c>
      <c r="BM127" t="s">
        <v>2387</v>
      </c>
      <c r="BN127">
        <v>36997167</v>
      </c>
      <c r="BO127" t="s">
        <v>887</v>
      </c>
      <c r="BP127" t="s">
        <v>74</v>
      </c>
      <c r="BQ127" t="s">
        <v>74</v>
      </c>
      <c r="BR127" t="s">
        <v>105</v>
      </c>
      <c r="BS127" t="s">
        <v>2388</v>
      </c>
      <c r="BT127" t="str">
        <f>HYPERLINK("https%3A%2F%2Fwww.webofscience.com%2Fwos%2Fwoscc%2Ffull-record%2FWOS:000960606400001","View Full Record in Web of Science")</f>
        <v>View Full Record in Web of Science</v>
      </c>
    </row>
    <row r="128" spans="1:72" x14ac:dyDescent="0.15">
      <c r="A128" t="s">
        <v>72</v>
      </c>
      <c r="B128" t="s">
        <v>2389</v>
      </c>
      <c r="C128" t="s">
        <v>74</v>
      </c>
      <c r="D128" t="s">
        <v>74</v>
      </c>
      <c r="E128" t="s">
        <v>74</v>
      </c>
      <c r="F128" t="s">
        <v>2390</v>
      </c>
      <c r="G128" t="s">
        <v>74</v>
      </c>
      <c r="H128" t="s">
        <v>74</v>
      </c>
      <c r="I128" t="s">
        <v>2391</v>
      </c>
      <c r="J128" t="s">
        <v>151</v>
      </c>
      <c r="K128" t="s">
        <v>74</v>
      </c>
      <c r="L128" t="s">
        <v>74</v>
      </c>
      <c r="M128" t="s">
        <v>78</v>
      </c>
      <c r="N128" t="s">
        <v>79</v>
      </c>
      <c r="O128" t="s">
        <v>74</v>
      </c>
      <c r="P128" t="s">
        <v>74</v>
      </c>
      <c r="Q128" t="s">
        <v>74</v>
      </c>
      <c r="R128" t="s">
        <v>74</v>
      </c>
      <c r="S128" t="s">
        <v>74</v>
      </c>
      <c r="T128" t="s">
        <v>2392</v>
      </c>
      <c r="U128" t="s">
        <v>2393</v>
      </c>
      <c r="V128" t="s">
        <v>2394</v>
      </c>
      <c r="W128" t="s">
        <v>2395</v>
      </c>
      <c r="X128" t="s">
        <v>2396</v>
      </c>
      <c r="Y128" t="s">
        <v>2397</v>
      </c>
      <c r="Z128" t="s">
        <v>2398</v>
      </c>
      <c r="AA128" t="s">
        <v>74</v>
      </c>
      <c r="AB128" t="s">
        <v>74</v>
      </c>
      <c r="AC128" t="s">
        <v>74</v>
      </c>
      <c r="AD128" t="s">
        <v>74</v>
      </c>
      <c r="AE128" t="s">
        <v>74</v>
      </c>
      <c r="AF128" t="s">
        <v>74</v>
      </c>
      <c r="AG128">
        <v>32</v>
      </c>
      <c r="AH128">
        <v>0</v>
      </c>
      <c r="AI128">
        <v>0</v>
      </c>
      <c r="AJ128">
        <v>2</v>
      </c>
      <c r="AK128">
        <v>2</v>
      </c>
      <c r="AL128" t="s">
        <v>92</v>
      </c>
      <c r="AM128" t="s">
        <v>93</v>
      </c>
      <c r="AN128" t="s">
        <v>94</v>
      </c>
      <c r="AO128" t="s">
        <v>74</v>
      </c>
      <c r="AP128" t="s">
        <v>160</v>
      </c>
      <c r="AQ128" t="s">
        <v>74</v>
      </c>
      <c r="AR128" t="s">
        <v>151</v>
      </c>
      <c r="AS128" t="s">
        <v>161</v>
      </c>
      <c r="AT128" t="s">
        <v>99</v>
      </c>
      <c r="AU128">
        <v>2023</v>
      </c>
      <c r="AV128">
        <v>16</v>
      </c>
      <c r="AW128">
        <v>1</v>
      </c>
      <c r="AX128" t="s">
        <v>74</v>
      </c>
      <c r="AY128" t="s">
        <v>74</v>
      </c>
      <c r="AZ128" t="s">
        <v>74</v>
      </c>
      <c r="BA128" t="s">
        <v>74</v>
      </c>
      <c r="BB128" t="s">
        <v>74</v>
      </c>
      <c r="BC128" t="s">
        <v>74</v>
      </c>
      <c r="BD128">
        <v>2207862</v>
      </c>
      <c r="BE128" t="s">
        <v>2399</v>
      </c>
      <c r="BF128" t="str">
        <f>HYPERLINK("http://dx.doi.org/10.1080/16549716.2023.2207862","http://dx.doi.org/10.1080/16549716.2023.2207862")</f>
        <v>http://dx.doi.org/10.1080/16549716.2023.2207862</v>
      </c>
      <c r="BG128" t="s">
        <v>74</v>
      </c>
      <c r="BH128" t="s">
        <v>74</v>
      </c>
      <c r="BI128">
        <v>9</v>
      </c>
      <c r="BJ128" t="s">
        <v>163</v>
      </c>
      <c r="BK128" t="s">
        <v>123</v>
      </c>
      <c r="BL128" t="s">
        <v>163</v>
      </c>
      <c r="BM128" t="s">
        <v>2400</v>
      </c>
      <c r="BN128">
        <v>37158206</v>
      </c>
      <c r="BO128" t="s">
        <v>104</v>
      </c>
      <c r="BP128" t="s">
        <v>74</v>
      </c>
      <c r="BQ128" t="s">
        <v>74</v>
      </c>
      <c r="BR128" t="s">
        <v>105</v>
      </c>
      <c r="BS128" t="s">
        <v>2401</v>
      </c>
      <c r="BT128" t="str">
        <f>HYPERLINK("https%3A%2F%2Fwww.webofscience.com%2Fwos%2Fwoscc%2Ffull-record%2FWOS:000983597100001","View Full Record in Web of Science")</f>
        <v>View Full Record in Web of Science</v>
      </c>
    </row>
    <row r="129" spans="1:72" x14ac:dyDescent="0.15">
      <c r="A129" t="s">
        <v>72</v>
      </c>
      <c r="B129" t="s">
        <v>2402</v>
      </c>
      <c r="C129" t="s">
        <v>74</v>
      </c>
      <c r="D129" t="s">
        <v>74</v>
      </c>
      <c r="E129" t="s">
        <v>74</v>
      </c>
      <c r="F129" t="s">
        <v>2403</v>
      </c>
      <c r="G129" t="s">
        <v>74</v>
      </c>
      <c r="H129" t="s">
        <v>74</v>
      </c>
      <c r="I129" t="s">
        <v>2404</v>
      </c>
      <c r="J129" t="s">
        <v>736</v>
      </c>
      <c r="K129" t="s">
        <v>74</v>
      </c>
      <c r="L129" t="s">
        <v>74</v>
      </c>
      <c r="M129" t="s">
        <v>78</v>
      </c>
      <c r="N129" t="s">
        <v>79</v>
      </c>
      <c r="O129" t="s">
        <v>74</v>
      </c>
      <c r="P129" t="s">
        <v>74</v>
      </c>
      <c r="Q129" t="s">
        <v>74</v>
      </c>
      <c r="R129" t="s">
        <v>74</v>
      </c>
      <c r="S129" t="s">
        <v>74</v>
      </c>
      <c r="T129" t="s">
        <v>2405</v>
      </c>
      <c r="U129" t="s">
        <v>2406</v>
      </c>
      <c r="V129" t="s">
        <v>2407</v>
      </c>
      <c r="W129" t="s">
        <v>2408</v>
      </c>
      <c r="X129" t="s">
        <v>2409</v>
      </c>
      <c r="Y129" t="s">
        <v>2410</v>
      </c>
      <c r="Z129" t="s">
        <v>2411</v>
      </c>
      <c r="AA129" t="s">
        <v>2412</v>
      </c>
      <c r="AB129" t="s">
        <v>2413</v>
      </c>
      <c r="AC129" t="s">
        <v>2414</v>
      </c>
      <c r="AD129" t="s">
        <v>2415</v>
      </c>
      <c r="AE129" t="s">
        <v>2416</v>
      </c>
      <c r="AF129" t="s">
        <v>74</v>
      </c>
      <c r="AG129">
        <v>60</v>
      </c>
      <c r="AH129">
        <v>1</v>
      </c>
      <c r="AI129">
        <v>1</v>
      </c>
      <c r="AJ129">
        <v>4</v>
      </c>
      <c r="AK129">
        <v>6</v>
      </c>
      <c r="AL129" t="s">
        <v>92</v>
      </c>
      <c r="AM129" t="s">
        <v>93</v>
      </c>
      <c r="AN129" t="s">
        <v>94</v>
      </c>
      <c r="AO129" t="s">
        <v>74</v>
      </c>
      <c r="AP129" t="s">
        <v>748</v>
      </c>
      <c r="AQ129" t="s">
        <v>74</v>
      </c>
      <c r="AR129" t="s">
        <v>749</v>
      </c>
      <c r="AS129" t="s">
        <v>750</v>
      </c>
      <c r="AT129" t="s">
        <v>99</v>
      </c>
      <c r="AU129">
        <v>2023</v>
      </c>
      <c r="AV129">
        <v>12</v>
      </c>
      <c r="AW129">
        <v>1</v>
      </c>
      <c r="AX129" t="s">
        <v>74</v>
      </c>
      <c r="AY129" t="s">
        <v>74</v>
      </c>
      <c r="AZ129" t="s">
        <v>74</v>
      </c>
      <c r="BA129" t="s">
        <v>74</v>
      </c>
      <c r="BB129" t="s">
        <v>74</v>
      </c>
      <c r="BC129" t="s">
        <v>74</v>
      </c>
      <c r="BD129" t="s">
        <v>2417</v>
      </c>
      <c r="BE129" t="s">
        <v>2418</v>
      </c>
      <c r="BF129" t="str">
        <f>HYPERLINK("http://dx.doi.org/10.1080/22221751.2023.2174782","http://dx.doi.org/10.1080/22221751.2023.2174782")</f>
        <v>http://dx.doi.org/10.1080/22221751.2023.2174782</v>
      </c>
      <c r="BG129" t="s">
        <v>74</v>
      </c>
      <c r="BH129" t="s">
        <v>74</v>
      </c>
      <c r="BI129">
        <v>10</v>
      </c>
      <c r="BJ129" t="s">
        <v>752</v>
      </c>
      <c r="BK129" t="s">
        <v>102</v>
      </c>
      <c r="BL129" t="s">
        <v>752</v>
      </c>
      <c r="BM129" t="s">
        <v>2419</v>
      </c>
      <c r="BN129">
        <v>36715361</v>
      </c>
      <c r="BO129" t="s">
        <v>165</v>
      </c>
      <c r="BP129" t="s">
        <v>74</v>
      </c>
      <c r="BQ129" t="s">
        <v>74</v>
      </c>
      <c r="BR129" t="s">
        <v>105</v>
      </c>
      <c r="BS129" t="s">
        <v>2420</v>
      </c>
      <c r="BT129" t="str">
        <f>HYPERLINK("https%3A%2F%2Fwww.webofscience.com%2Fwos%2Fwoscc%2Ffull-record%2FWOS:000935875300001","View Full Record in Web of Science")</f>
        <v>View Full Record in Web of Science</v>
      </c>
    </row>
    <row r="130" spans="1:72" x14ac:dyDescent="0.15">
      <c r="A130" t="s">
        <v>72</v>
      </c>
      <c r="B130" t="s">
        <v>2421</v>
      </c>
      <c r="C130" t="s">
        <v>74</v>
      </c>
      <c r="D130" t="s">
        <v>74</v>
      </c>
      <c r="E130" t="s">
        <v>74</v>
      </c>
      <c r="F130" t="s">
        <v>2422</v>
      </c>
      <c r="G130" t="s">
        <v>74</v>
      </c>
      <c r="H130" t="s">
        <v>74</v>
      </c>
      <c r="I130" t="s">
        <v>2423</v>
      </c>
      <c r="J130" t="s">
        <v>1337</v>
      </c>
      <c r="K130" t="s">
        <v>74</v>
      </c>
      <c r="L130" t="s">
        <v>74</v>
      </c>
      <c r="M130" t="s">
        <v>78</v>
      </c>
      <c r="N130" t="s">
        <v>79</v>
      </c>
      <c r="O130" t="s">
        <v>74</v>
      </c>
      <c r="P130" t="s">
        <v>74</v>
      </c>
      <c r="Q130" t="s">
        <v>74</v>
      </c>
      <c r="R130" t="s">
        <v>74</v>
      </c>
      <c r="S130" t="s">
        <v>74</v>
      </c>
      <c r="T130" t="s">
        <v>2424</v>
      </c>
      <c r="U130" t="s">
        <v>2425</v>
      </c>
      <c r="V130" t="s">
        <v>2426</v>
      </c>
      <c r="W130" t="s">
        <v>2427</v>
      </c>
      <c r="X130" t="s">
        <v>2428</v>
      </c>
      <c r="Y130" t="s">
        <v>2429</v>
      </c>
      <c r="Z130" t="s">
        <v>2430</v>
      </c>
      <c r="AA130" t="s">
        <v>2431</v>
      </c>
      <c r="AB130" t="s">
        <v>2432</v>
      </c>
      <c r="AC130" t="s">
        <v>2433</v>
      </c>
      <c r="AD130" t="s">
        <v>2434</v>
      </c>
      <c r="AE130" t="s">
        <v>2435</v>
      </c>
      <c r="AF130" t="s">
        <v>74</v>
      </c>
      <c r="AG130">
        <v>52</v>
      </c>
      <c r="AH130">
        <v>0</v>
      </c>
      <c r="AI130">
        <v>0</v>
      </c>
      <c r="AJ130">
        <v>9</v>
      </c>
      <c r="AK130">
        <v>20</v>
      </c>
      <c r="AL130" t="s">
        <v>184</v>
      </c>
      <c r="AM130" t="s">
        <v>185</v>
      </c>
      <c r="AN130" t="s">
        <v>186</v>
      </c>
      <c r="AO130" t="s">
        <v>1348</v>
      </c>
      <c r="AP130" t="s">
        <v>1349</v>
      </c>
      <c r="AQ130" t="s">
        <v>74</v>
      </c>
      <c r="AR130" t="s">
        <v>1350</v>
      </c>
      <c r="AS130" t="s">
        <v>1351</v>
      </c>
      <c r="AT130" t="s">
        <v>99</v>
      </c>
      <c r="AU130">
        <v>2023</v>
      </c>
      <c r="AV130">
        <v>24</v>
      </c>
      <c r="AW130">
        <v>1</v>
      </c>
      <c r="AX130" t="s">
        <v>74</v>
      </c>
      <c r="AY130" t="s">
        <v>74</v>
      </c>
      <c r="AZ130" t="s">
        <v>74</v>
      </c>
      <c r="BA130" t="s">
        <v>74</v>
      </c>
      <c r="BB130" t="s">
        <v>74</v>
      </c>
      <c r="BC130" t="s">
        <v>74</v>
      </c>
      <c r="BD130">
        <v>2170669</v>
      </c>
      <c r="BE130" t="s">
        <v>2436</v>
      </c>
      <c r="BF130" t="str">
        <f>HYPERLINK("http://dx.doi.org/10.1080/15384047.2023.2170669","http://dx.doi.org/10.1080/15384047.2023.2170669")</f>
        <v>http://dx.doi.org/10.1080/15384047.2023.2170669</v>
      </c>
      <c r="BG130" t="s">
        <v>74</v>
      </c>
      <c r="BH130" t="s">
        <v>74</v>
      </c>
      <c r="BI130">
        <v>14</v>
      </c>
      <c r="BJ130" t="s">
        <v>1353</v>
      </c>
      <c r="BK130" t="s">
        <v>102</v>
      </c>
      <c r="BL130" t="s">
        <v>1353</v>
      </c>
      <c r="BM130" t="s">
        <v>2437</v>
      </c>
      <c r="BN130">
        <v>36722045</v>
      </c>
      <c r="BO130" t="s">
        <v>165</v>
      </c>
      <c r="BP130" t="s">
        <v>74</v>
      </c>
      <c r="BQ130" t="s">
        <v>74</v>
      </c>
      <c r="BR130" t="s">
        <v>105</v>
      </c>
      <c r="BS130" t="s">
        <v>2438</v>
      </c>
      <c r="BT130" t="str">
        <f>HYPERLINK("https%3A%2F%2Fwww.webofscience.com%2Fwos%2Fwoscc%2Ffull-record%2FWOS:000923036000001","View Full Record in Web of Science")</f>
        <v>View Full Record in Web of Science</v>
      </c>
    </row>
    <row r="131" spans="1:72" x14ac:dyDescent="0.15">
      <c r="A131" t="s">
        <v>72</v>
      </c>
      <c r="B131" t="s">
        <v>2439</v>
      </c>
      <c r="C131" t="s">
        <v>74</v>
      </c>
      <c r="D131" t="s">
        <v>74</v>
      </c>
      <c r="E131" t="s">
        <v>74</v>
      </c>
      <c r="F131" t="s">
        <v>2440</v>
      </c>
      <c r="G131" t="s">
        <v>74</v>
      </c>
      <c r="H131" t="s">
        <v>74</v>
      </c>
      <c r="I131" t="s">
        <v>2441</v>
      </c>
      <c r="J131" t="s">
        <v>1575</v>
      </c>
      <c r="K131" t="s">
        <v>74</v>
      </c>
      <c r="L131" t="s">
        <v>74</v>
      </c>
      <c r="M131" t="s">
        <v>78</v>
      </c>
      <c r="N131" t="s">
        <v>79</v>
      </c>
      <c r="O131" t="s">
        <v>74</v>
      </c>
      <c r="P131" t="s">
        <v>74</v>
      </c>
      <c r="Q131" t="s">
        <v>74</v>
      </c>
      <c r="R131" t="s">
        <v>74</v>
      </c>
      <c r="S131" t="s">
        <v>74</v>
      </c>
      <c r="T131" t="s">
        <v>2442</v>
      </c>
      <c r="U131" t="s">
        <v>2443</v>
      </c>
      <c r="V131" t="s">
        <v>2444</v>
      </c>
      <c r="W131" t="s">
        <v>2445</v>
      </c>
      <c r="X131" t="s">
        <v>2446</v>
      </c>
      <c r="Y131" t="s">
        <v>2447</v>
      </c>
      <c r="Z131" t="s">
        <v>2448</v>
      </c>
      <c r="AA131" t="s">
        <v>2449</v>
      </c>
      <c r="AB131" t="s">
        <v>2450</v>
      </c>
      <c r="AC131" t="s">
        <v>74</v>
      </c>
      <c r="AD131" t="s">
        <v>74</v>
      </c>
      <c r="AE131" t="s">
        <v>74</v>
      </c>
      <c r="AF131" t="s">
        <v>74</v>
      </c>
      <c r="AG131">
        <v>53</v>
      </c>
      <c r="AH131">
        <v>0</v>
      </c>
      <c r="AI131">
        <v>0</v>
      </c>
      <c r="AJ131">
        <v>34</v>
      </c>
      <c r="AK131">
        <v>56</v>
      </c>
      <c r="AL131" t="s">
        <v>92</v>
      </c>
      <c r="AM131" t="s">
        <v>93</v>
      </c>
      <c r="AN131" t="s">
        <v>94</v>
      </c>
      <c r="AO131" t="s">
        <v>1588</v>
      </c>
      <c r="AP131" t="s">
        <v>1589</v>
      </c>
      <c r="AQ131" t="s">
        <v>74</v>
      </c>
      <c r="AR131" t="s">
        <v>1590</v>
      </c>
      <c r="AS131" t="s">
        <v>1591</v>
      </c>
      <c r="AT131" t="s">
        <v>99</v>
      </c>
      <c r="AU131">
        <v>2023</v>
      </c>
      <c r="AV131">
        <v>24</v>
      </c>
      <c r="AW131">
        <v>1</v>
      </c>
      <c r="AX131" t="s">
        <v>74</v>
      </c>
      <c r="AY131" t="s">
        <v>74</v>
      </c>
      <c r="AZ131" t="s">
        <v>74</v>
      </c>
      <c r="BA131" t="s">
        <v>74</v>
      </c>
      <c r="BB131" t="s">
        <v>74</v>
      </c>
      <c r="BC131" t="s">
        <v>74</v>
      </c>
      <c r="BD131">
        <v>2167466</v>
      </c>
      <c r="BE131" t="s">
        <v>2451</v>
      </c>
      <c r="BF131" t="str">
        <f>HYPERLINK("http://dx.doi.org/10.1080/14686996.2023.2167466","http://dx.doi.org/10.1080/14686996.2023.2167466")</f>
        <v>http://dx.doi.org/10.1080/14686996.2023.2167466</v>
      </c>
      <c r="BG131" t="s">
        <v>74</v>
      </c>
      <c r="BH131" t="s">
        <v>74</v>
      </c>
      <c r="BI131">
        <v>10</v>
      </c>
      <c r="BJ131" t="s">
        <v>1593</v>
      </c>
      <c r="BK131" t="s">
        <v>102</v>
      </c>
      <c r="BL131" t="s">
        <v>1594</v>
      </c>
      <c r="BM131" t="s">
        <v>2452</v>
      </c>
      <c r="BN131">
        <v>36846525</v>
      </c>
      <c r="BO131" t="s">
        <v>165</v>
      </c>
      <c r="BP131" t="s">
        <v>74</v>
      </c>
      <c r="BQ131" t="s">
        <v>74</v>
      </c>
      <c r="BR131" t="s">
        <v>105</v>
      </c>
      <c r="BS131" t="s">
        <v>2453</v>
      </c>
      <c r="BT131" t="str">
        <f>HYPERLINK("https%3A%2F%2Fwww.webofscience.com%2Fwos%2Fwoscc%2Ffull-record%2FWOS:000934582800001","View Full Record in Web of Science")</f>
        <v>View Full Record in Web of Science</v>
      </c>
    </row>
    <row r="132" spans="1:72" x14ac:dyDescent="0.15">
      <c r="A132" t="s">
        <v>72</v>
      </c>
      <c r="B132" t="s">
        <v>2454</v>
      </c>
      <c r="C132" t="s">
        <v>74</v>
      </c>
      <c r="D132" t="s">
        <v>74</v>
      </c>
      <c r="E132" t="s">
        <v>74</v>
      </c>
      <c r="F132" t="s">
        <v>2455</v>
      </c>
      <c r="G132" t="s">
        <v>74</v>
      </c>
      <c r="H132" t="s">
        <v>74</v>
      </c>
      <c r="I132" t="s">
        <v>2456</v>
      </c>
      <c r="J132" t="s">
        <v>258</v>
      </c>
      <c r="K132" t="s">
        <v>74</v>
      </c>
      <c r="L132" t="s">
        <v>74</v>
      </c>
      <c r="M132" t="s">
        <v>78</v>
      </c>
      <c r="N132" t="s">
        <v>79</v>
      </c>
      <c r="O132" t="s">
        <v>74</v>
      </c>
      <c r="P132" t="s">
        <v>74</v>
      </c>
      <c r="Q132" t="s">
        <v>74</v>
      </c>
      <c r="R132" t="s">
        <v>74</v>
      </c>
      <c r="S132" t="s">
        <v>74</v>
      </c>
      <c r="T132" t="s">
        <v>2457</v>
      </c>
      <c r="U132" t="s">
        <v>2458</v>
      </c>
      <c r="V132" t="s">
        <v>2459</v>
      </c>
      <c r="W132" t="s">
        <v>2460</v>
      </c>
      <c r="X132" t="s">
        <v>2461</v>
      </c>
      <c r="Y132" t="s">
        <v>2462</v>
      </c>
      <c r="Z132" t="s">
        <v>2463</v>
      </c>
      <c r="AA132" t="s">
        <v>2464</v>
      </c>
      <c r="AB132" t="s">
        <v>2465</v>
      </c>
      <c r="AC132" t="s">
        <v>2466</v>
      </c>
      <c r="AD132" t="s">
        <v>2467</v>
      </c>
      <c r="AE132" t="s">
        <v>2468</v>
      </c>
      <c r="AF132" t="s">
        <v>74</v>
      </c>
      <c r="AG132">
        <v>34</v>
      </c>
      <c r="AH132">
        <v>0</v>
      </c>
      <c r="AI132">
        <v>0</v>
      </c>
      <c r="AJ132">
        <v>10</v>
      </c>
      <c r="AK132">
        <v>10</v>
      </c>
      <c r="AL132" t="s">
        <v>92</v>
      </c>
      <c r="AM132" t="s">
        <v>93</v>
      </c>
      <c r="AN132" t="s">
        <v>94</v>
      </c>
      <c r="AO132" t="s">
        <v>267</v>
      </c>
      <c r="AP132" t="s">
        <v>74</v>
      </c>
      <c r="AQ132" t="s">
        <v>74</v>
      </c>
      <c r="AR132" t="s">
        <v>268</v>
      </c>
      <c r="AS132" t="s">
        <v>269</v>
      </c>
      <c r="AT132" t="s">
        <v>99</v>
      </c>
      <c r="AU132">
        <v>2023</v>
      </c>
      <c r="AV132">
        <v>28</v>
      </c>
      <c r="AW132">
        <v>1</v>
      </c>
      <c r="AX132" t="s">
        <v>74</v>
      </c>
      <c r="AY132" t="s">
        <v>74</v>
      </c>
      <c r="AZ132" t="s">
        <v>74</v>
      </c>
      <c r="BA132" t="s">
        <v>74</v>
      </c>
      <c r="BB132" t="s">
        <v>74</v>
      </c>
      <c r="BC132" t="s">
        <v>74</v>
      </c>
      <c r="BD132">
        <v>2232134</v>
      </c>
      <c r="BE132" t="s">
        <v>2469</v>
      </c>
      <c r="BF132" t="str">
        <f>HYPERLINK("http://dx.doi.org/10.1080/10872981.2023.2232134","http://dx.doi.org/10.1080/10872981.2023.2232134")</f>
        <v>http://dx.doi.org/10.1080/10872981.2023.2232134</v>
      </c>
      <c r="BG132" t="s">
        <v>74</v>
      </c>
      <c r="BH132" t="s">
        <v>74</v>
      </c>
      <c r="BI132">
        <v>8</v>
      </c>
      <c r="BJ132" t="s">
        <v>271</v>
      </c>
      <c r="BK132" t="s">
        <v>272</v>
      </c>
      <c r="BL132" t="s">
        <v>271</v>
      </c>
      <c r="BM132" t="s">
        <v>2470</v>
      </c>
      <c r="BN132">
        <v>37406175</v>
      </c>
      <c r="BO132" t="s">
        <v>104</v>
      </c>
      <c r="BP132" t="s">
        <v>74</v>
      </c>
      <c r="BQ132" t="s">
        <v>74</v>
      </c>
      <c r="BR132" t="s">
        <v>105</v>
      </c>
      <c r="BS132" t="s">
        <v>2471</v>
      </c>
      <c r="BT132" t="str">
        <f>HYPERLINK("https%3A%2F%2Fwww.webofscience.com%2Fwos%2Fwoscc%2Ffull-record%2FWOS:001019528100001","View Full Record in Web of Science")</f>
        <v>View Full Record in Web of Science</v>
      </c>
    </row>
    <row r="133" spans="1:72" x14ac:dyDescent="0.15">
      <c r="A133" t="s">
        <v>72</v>
      </c>
      <c r="B133" t="s">
        <v>2472</v>
      </c>
      <c r="C133" t="s">
        <v>74</v>
      </c>
      <c r="D133" t="s">
        <v>74</v>
      </c>
      <c r="E133" t="s">
        <v>74</v>
      </c>
      <c r="F133" t="s">
        <v>2473</v>
      </c>
      <c r="G133" t="s">
        <v>74</v>
      </c>
      <c r="H133" t="s">
        <v>74</v>
      </c>
      <c r="I133" t="s">
        <v>2474</v>
      </c>
      <c r="J133" t="s">
        <v>1910</v>
      </c>
      <c r="K133" t="s">
        <v>74</v>
      </c>
      <c r="L133" t="s">
        <v>74</v>
      </c>
      <c r="M133" t="s">
        <v>78</v>
      </c>
      <c r="N133" t="s">
        <v>79</v>
      </c>
      <c r="O133" t="s">
        <v>74</v>
      </c>
      <c r="P133" t="s">
        <v>74</v>
      </c>
      <c r="Q133" t="s">
        <v>74</v>
      </c>
      <c r="R133" t="s">
        <v>74</v>
      </c>
      <c r="S133" t="s">
        <v>74</v>
      </c>
      <c r="T133" t="s">
        <v>2475</v>
      </c>
      <c r="U133" t="s">
        <v>2476</v>
      </c>
      <c r="V133" t="s">
        <v>2477</v>
      </c>
      <c r="W133" t="s">
        <v>2478</v>
      </c>
      <c r="X133" t="s">
        <v>2479</v>
      </c>
      <c r="Y133" t="s">
        <v>2480</v>
      </c>
      <c r="Z133" t="s">
        <v>2481</v>
      </c>
      <c r="AA133" t="s">
        <v>74</v>
      </c>
      <c r="AB133" t="s">
        <v>74</v>
      </c>
      <c r="AC133" t="s">
        <v>74</v>
      </c>
      <c r="AD133" t="s">
        <v>74</v>
      </c>
      <c r="AE133" t="s">
        <v>74</v>
      </c>
      <c r="AF133" t="s">
        <v>74</v>
      </c>
      <c r="AG133">
        <v>34</v>
      </c>
      <c r="AH133">
        <v>0</v>
      </c>
      <c r="AI133">
        <v>0</v>
      </c>
      <c r="AJ133">
        <v>4</v>
      </c>
      <c r="AK133">
        <v>4</v>
      </c>
      <c r="AL133" t="s">
        <v>92</v>
      </c>
      <c r="AM133" t="s">
        <v>93</v>
      </c>
      <c r="AN133" t="s">
        <v>94</v>
      </c>
      <c r="AO133" t="s">
        <v>1921</v>
      </c>
      <c r="AP133" t="s">
        <v>1922</v>
      </c>
      <c r="AQ133" t="s">
        <v>74</v>
      </c>
      <c r="AR133" t="s">
        <v>1910</v>
      </c>
      <c r="AS133" t="s">
        <v>1923</v>
      </c>
      <c r="AT133" t="s">
        <v>99</v>
      </c>
      <c r="AU133">
        <v>2023</v>
      </c>
      <c r="AV133">
        <v>45</v>
      </c>
      <c r="AW133">
        <v>1</v>
      </c>
      <c r="AX133" t="s">
        <v>74</v>
      </c>
      <c r="AY133" t="s">
        <v>74</v>
      </c>
      <c r="AZ133" t="s">
        <v>74</v>
      </c>
      <c r="BA133" t="s">
        <v>74</v>
      </c>
      <c r="BB133" t="s">
        <v>74</v>
      </c>
      <c r="BC133" t="s">
        <v>74</v>
      </c>
      <c r="BD133">
        <v>2226221</v>
      </c>
      <c r="BE133" t="s">
        <v>2482</v>
      </c>
      <c r="BF133" t="str">
        <f>HYPERLINK("http://dx.doi.org/10.1080/0886022X.2023.2226221","http://dx.doi.org/10.1080/0886022X.2023.2226221")</f>
        <v>http://dx.doi.org/10.1080/0886022X.2023.2226221</v>
      </c>
      <c r="BG133" t="s">
        <v>74</v>
      </c>
      <c r="BH133" t="s">
        <v>74</v>
      </c>
      <c r="BI133">
        <v>9</v>
      </c>
      <c r="BJ133" t="s">
        <v>1925</v>
      </c>
      <c r="BK133" t="s">
        <v>102</v>
      </c>
      <c r="BL133" t="s">
        <v>1925</v>
      </c>
      <c r="BM133" t="s">
        <v>2483</v>
      </c>
      <c r="BN133">
        <v>37340970</v>
      </c>
      <c r="BO133" t="s">
        <v>2484</v>
      </c>
      <c r="BP133" t="s">
        <v>74</v>
      </c>
      <c r="BQ133" t="s">
        <v>74</v>
      </c>
      <c r="BR133" t="s">
        <v>105</v>
      </c>
      <c r="BS133" t="s">
        <v>2485</v>
      </c>
      <c r="BT133" t="str">
        <f>HYPERLINK("https%3A%2F%2Fwww.webofscience.com%2Fwos%2Fwoscc%2Ffull-record%2FWOS:001010163000001","View Full Record in Web of Science")</f>
        <v>View Full Record in Web of Science</v>
      </c>
    </row>
    <row r="134" spans="1:72" x14ac:dyDescent="0.15">
      <c r="A134" t="s">
        <v>72</v>
      </c>
      <c r="B134" t="s">
        <v>2486</v>
      </c>
      <c r="C134" t="s">
        <v>74</v>
      </c>
      <c r="D134" t="s">
        <v>74</v>
      </c>
      <c r="E134" t="s">
        <v>74</v>
      </c>
      <c r="F134" t="s">
        <v>2487</v>
      </c>
      <c r="G134" t="s">
        <v>74</v>
      </c>
      <c r="H134" t="s">
        <v>74</v>
      </c>
      <c r="I134" t="s">
        <v>2488</v>
      </c>
      <c r="J134" t="s">
        <v>1980</v>
      </c>
      <c r="K134" t="s">
        <v>74</v>
      </c>
      <c r="L134" t="s">
        <v>74</v>
      </c>
      <c r="M134" t="s">
        <v>78</v>
      </c>
      <c r="N134" t="s">
        <v>171</v>
      </c>
      <c r="O134" t="s">
        <v>74</v>
      </c>
      <c r="P134" t="s">
        <v>74</v>
      </c>
      <c r="Q134" t="s">
        <v>74</v>
      </c>
      <c r="R134" t="s">
        <v>74</v>
      </c>
      <c r="S134" t="s">
        <v>74</v>
      </c>
      <c r="T134" t="s">
        <v>2489</v>
      </c>
      <c r="U134" t="s">
        <v>2490</v>
      </c>
      <c r="V134" t="s">
        <v>2491</v>
      </c>
      <c r="W134" t="s">
        <v>2492</v>
      </c>
      <c r="X134" t="s">
        <v>2493</v>
      </c>
      <c r="Y134" t="s">
        <v>2494</v>
      </c>
      <c r="Z134" t="s">
        <v>2495</v>
      </c>
      <c r="AA134" t="s">
        <v>74</v>
      </c>
      <c r="AB134" t="s">
        <v>2496</v>
      </c>
      <c r="AC134" t="s">
        <v>74</v>
      </c>
      <c r="AD134" t="s">
        <v>74</v>
      </c>
      <c r="AE134" t="s">
        <v>74</v>
      </c>
      <c r="AF134" t="s">
        <v>74</v>
      </c>
      <c r="AG134">
        <v>114</v>
      </c>
      <c r="AH134">
        <v>0</v>
      </c>
      <c r="AI134">
        <v>0</v>
      </c>
      <c r="AJ134">
        <v>10</v>
      </c>
      <c r="AK134">
        <v>10</v>
      </c>
      <c r="AL134" t="s">
        <v>184</v>
      </c>
      <c r="AM134" t="s">
        <v>185</v>
      </c>
      <c r="AN134" t="s">
        <v>186</v>
      </c>
      <c r="AO134" t="s">
        <v>1990</v>
      </c>
      <c r="AP134" t="s">
        <v>1991</v>
      </c>
      <c r="AQ134" t="s">
        <v>74</v>
      </c>
      <c r="AR134" t="s">
        <v>1980</v>
      </c>
      <c r="AS134" t="s">
        <v>1992</v>
      </c>
      <c r="AT134" t="s">
        <v>99</v>
      </c>
      <c r="AU134">
        <v>2023</v>
      </c>
      <c r="AV134">
        <v>14</v>
      </c>
      <c r="AW134">
        <v>1</v>
      </c>
      <c r="AX134" t="s">
        <v>74</v>
      </c>
      <c r="AY134" t="s">
        <v>74</v>
      </c>
      <c r="AZ134" t="s">
        <v>74</v>
      </c>
      <c r="BA134" t="s">
        <v>74</v>
      </c>
      <c r="BB134" t="s">
        <v>74</v>
      </c>
      <c r="BC134" t="s">
        <v>74</v>
      </c>
      <c r="BD134">
        <v>2237222</v>
      </c>
      <c r="BE134" t="s">
        <v>2497</v>
      </c>
      <c r="BF134" t="str">
        <f>HYPERLINK("http://dx.doi.org/10.1080/21505594.2023.2237222","http://dx.doi.org/10.1080/21505594.2023.2237222")</f>
        <v>http://dx.doi.org/10.1080/21505594.2023.2237222</v>
      </c>
      <c r="BG134" t="s">
        <v>74</v>
      </c>
      <c r="BH134" t="s">
        <v>74</v>
      </c>
      <c r="BI134">
        <v>17</v>
      </c>
      <c r="BJ134" t="s">
        <v>752</v>
      </c>
      <c r="BK134" t="s">
        <v>102</v>
      </c>
      <c r="BL134" t="s">
        <v>752</v>
      </c>
      <c r="BM134" t="s">
        <v>2498</v>
      </c>
      <c r="BN134">
        <v>37482693</v>
      </c>
      <c r="BO134" t="s">
        <v>74</v>
      </c>
      <c r="BP134" t="s">
        <v>74</v>
      </c>
      <c r="BQ134" t="s">
        <v>74</v>
      </c>
      <c r="BR134" t="s">
        <v>105</v>
      </c>
      <c r="BS134" t="s">
        <v>2499</v>
      </c>
      <c r="BT134" t="str">
        <f>HYPERLINK("https%3A%2F%2Fwww.webofscience.com%2Fwos%2Fwoscc%2Ffull-record%2FWOS:001032034200001","View Full Record in Web of Science")</f>
        <v>View Full Record in Web of Science</v>
      </c>
    </row>
    <row r="135" spans="1:72" x14ac:dyDescent="0.15">
      <c r="A135" t="s">
        <v>72</v>
      </c>
      <c r="B135" t="s">
        <v>2500</v>
      </c>
      <c r="C135" t="s">
        <v>74</v>
      </c>
      <c r="D135" t="s">
        <v>74</v>
      </c>
      <c r="E135" t="s">
        <v>74</v>
      </c>
      <c r="F135" t="s">
        <v>2501</v>
      </c>
      <c r="G135" t="s">
        <v>74</v>
      </c>
      <c r="H135" t="s">
        <v>74</v>
      </c>
      <c r="I135" t="s">
        <v>2502</v>
      </c>
      <c r="J135" t="s">
        <v>2503</v>
      </c>
      <c r="K135" t="s">
        <v>74</v>
      </c>
      <c r="L135" t="s">
        <v>74</v>
      </c>
      <c r="M135" t="s">
        <v>78</v>
      </c>
      <c r="N135" t="s">
        <v>79</v>
      </c>
      <c r="O135" t="s">
        <v>74</v>
      </c>
      <c r="P135" t="s">
        <v>74</v>
      </c>
      <c r="Q135" t="s">
        <v>74</v>
      </c>
      <c r="R135" t="s">
        <v>74</v>
      </c>
      <c r="S135" t="s">
        <v>74</v>
      </c>
      <c r="T135" t="s">
        <v>2504</v>
      </c>
      <c r="U135" t="s">
        <v>2505</v>
      </c>
      <c r="V135" t="s">
        <v>2506</v>
      </c>
      <c r="W135" t="s">
        <v>2507</v>
      </c>
      <c r="X135" t="s">
        <v>2508</v>
      </c>
      <c r="Y135" t="s">
        <v>2509</v>
      </c>
      <c r="Z135" t="s">
        <v>2510</v>
      </c>
      <c r="AA135" t="s">
        <v>74</v>
      </c>
      <c r="AB135" t="s">
        <v>74</v>
      </c>
      <c r="AC135" t="s">
        <v>74</v>
      </c>
      <c r="AD135" t="s">
        <v>74</v>
      </c>
      <c r="AE135" t="s">
        <v>74</v>
      </c>
      <c r="AF135" t="s">
        <v>74</v>
      </c>
      <c r="AG135">
        <v>45</v>
      </c>
      <c r="AH135">
        <v>1</v>
      </c>
      <c r="AI135">
        <v>1</v>
      </c>
      <c r="AJ135">
        <v>14</v>
      </c>
      <c r="AK135">
        <v>14</v>
      </c>
      <c r="AL135" t="s">
        <v>92</v>
      </c>
      <c r="AM135" t="s">
        <v>93</v>
      </c>
      <c r="AN135" t="s">
        <v>94</v>
      </c>
      <c r="AO135" t="s">
        <v>2511</v>
      </c>
      <c r="AP135" t="s">
        <v>2512</v>
      </c>
      <c r="AQ135" t="s">
        <v>74</v>
      </c>
      <c r="AR135" t="s">
        <v>2513</v>
      </c>
      <c r="AS135" t="s">
        <v>2514</v>
      </c>
      <c r="AT135" t="s">
        <v>99</v>
      </c>
      <c r="AU135">
        <v>2023</v>
      </c>
      <c r="AV135">
        <v>51</v>
      </c>
      <c r="AW135">
        <v>1</v>
      </c>
      <c r="AX135" t="s">
        <v>74</v>
      </c>
      <c r="AY135" t="s">
        <v>74</v>
      </c>
      <c r="AZ135" t="s">
        <v>74</v>
      </c>
      <c r="BA135" t="s">
        <v>74</v>
      </c>
      <c r="BB135">
        <v>333</v>
      </c>
      <c r="BC135">
        <v>341</v>
      </c>
      <c r="BD135" t="s">
        <v>74</v>
      </c>
      <c r="BE135" t="s">
        <v>2515</v>
      </c>
      <c r="BF135" t="str">
        <f>HYPERLINK("http://dx.doi.org/10.1080/09712119.2023.2204135","http://dx.doi.org/10.1080/09712119.2023.2204135")</f>
        <v>http://dx.doi.org/10.1080/09712119.2023.2204135</v>
      </c>
      <c r="BG135" t="s">
        <v>74</v>
      </c>
      <c r="BH135" t="s">
        <v>74</v>
      </c>
      <c r="BI135">
        <v>9</v>
      </c>
      <c r="BJ135" t="s">
        <v>2516</v>
      </c>
      <c r="BK135" t="s">
        <v>102</v>
      </c>
      <c r="BL135" t="s">
        <v>2517</v>
      </c>
      <c r="BM135" t="s">
        <v>2518</v>
      </c>
      <c r="BN135" t="s">
        <v>74</v>
      </c>
      <c r="BO135" t="s">
        <v>126</v>
      </c>
      <c r="BP135" t="s">
        <v>74</v>
      </c>
      <c r="BQ135" t="s">
        <v>74</v>
      </c>
      <c r="BR135" t="s">
        <v>105</v>
      </c>
      <c r="BS135" t="s">
        <v>2519</v>
      </c>
      <c r="BT135" t="str">
        <f>HYPERLINK("https%3A%2F%2Fwww.webofscience.com%2Fwos%2Fwoscc%2Ffull-record%2FWOS:000974768700001","View Full Record in Web of Science")</f>
        <v>View Full Record in Web of Science</v>
      </c>
    </row>
    <row r="136" spans="1:72" x14ac:dyDescent="0.15">
      <c r="A136" t="s">
        <v>72</v>
      </c>
      <c r="B136" t="s">
        <v>2520</v>
      </c>
      <c r="C136" t="s">
        <v>74</v>
      </c>
      <c r="D136" t="s">
        <v>74</v>
      </c>
      <c r="E136" t="s">
        <v>74</v>
      </c>
      <c r="F136" t="s">
        <v>2521</v>
      </c>
      <c r="G136" t="s">
        <v>74</v>
      </c>
      <c r="H136" t="s">
        <v>74</v>
      </c>
      <c r="I136" t="s">
        <v>2522</v>
      </c>
      <c r="J136" t="s">
        <v>1540</v>
      </c>
      <c r="K136" t="s">
        <v>74</v>
      </c>
      <c r="L136" t="s">
        <v>74</v>
      </c>
      <c r="M136" t="s">
        <v>78</v>
      </c>
      <c r="N136" t="s">
        <v>79</v>
      </c>
      <c r="O136" t="s">
        <v>74</v>
      </c>
      <c r="P136" t="s">
        <v>74</v>
      </c>
      <c r="Q136" t="s">
        <v>74</v>
      </c>
      <c r="R136" t="s">
        <v>74</v>
      </c>
      <c r="S136" t="s">
        <v>74</v>
      </c>
      <c r="T136" t="s">
        <v>74</v>
      </c>
      <c r="U136" t="s">
        <v>2523</v>
      </c>
      <c r="V136" t="s">
        <v>2524</v>
      </c>
      <c r="W136" t="s">
        <v>2525</v>
      </c>
      <c r="X136" t="s">
        <v>2526</v>
      </c>
      <c r="Y136" t="s">
        <v>2527</v>
      </c>
      <c r="Z136" t="s">
        <v>2528</v>
      </c>
      <c r="AA136" t="s">
        <v>74</v>
      </c>
      <c r="AB136" t="s">
        <v>74</v>
      </c>
      <c r="AC136" t="s">
        <v>2529</v>
      </c>
      <c r="AD136" t="s">
        <v>2530</v>
      </c>
      <c r="AE136" t="s">
        <v>2531</v>
      </c>
      <c r="AF136" t="s">
        <v>74</v>
      </c>
      <c r="AG136">
        <v>18</v>
      </c>
      <c r="AH136">
        <v>0</v>
      </c>
      <c r="AI136">
        <v>0</v>
      </c>
      <c r="AJ136">
        <v>7</v>
      </c>
      <c r="AK136">
        <v>7</v>
      </c>
      <c r="AL136" t="s">
        <v>184</v>
      </c>
      <c r="AM136" t="s">
        <v>185</v>
      </c>
      <c r="AN136" t="s">
        <v>186</v>
      </c>
      <c r="AO136" t="s">
        <v>1550</v>
      </c>
      <c r="AP136" t="s">
        <v>1551</v>
      </c>
      <c r="AQ136" t="s">
        <v>74</v>
      </c>
      <c r="AR136" t="s">
        <v>1552</v>
      </c>
      <c r="AS136" t="s">
        <v>1553</v>
      </c>
      <c r="AT136" t="s">
        <v>99</v>
      </c>
      <c r="AU136">
        <v>2023</v>
      </c>
      <c r="AV136">
        <v>37</v>
      </c>
      <c r="AW136">
        <v>1</v>
      </c>
      <c r="AX136" t="s">
        <v>74</v>
      </c>
      <c r="AY136" t="s">
        <v>74</v>
      </c>
      <c r="AZ136" t="s">
        <v>74</v>
      </c>
      <c r="BA136" t="s">
        <v>74</v>
      </c>
      <c r="BB136" t="s">
        <v>74</v>
      </c>
      <c r="BC136" t="s">
        <v>74</v>
      </c>
      <c r="BD136">
        <v>2211462</v>
      </c>
      <c r="BE136" t="s">
        <v>2532</v>
      </c>
      <c r="BF136" t="str">
        <f>HYPERLINK("http://dx.doi.org/10.1080/08839514.2023.2211462","http://dx.doi.org/10.1080/08839514.2023.2211462")</f>
        <v>http://dx.doi.org/10.1080/08839514.2023.2211462</v>
      </c>
      <c r="BG136" t="s">
        <v>74</v>
      </c>
      <c r="BH136" t="s">
        <v>74</v>
      </c>
      <c r="BI136">
        <v>22</v>
      </c>
      <c r="BJ136" t="s">
        <v>1555</v>
      </c>
      <c r="BK136" t="s">
        <v>102</v>
      </c>
      <c r="BL136" t="s">
        <v>1556</v>
      </c>
      <c r="BM136" t="s">
        <v>2533</v>
      </c>
      <c r="BN136" t="s">
        <v>74</v>
      </c>
      <c r="BO136" t="s">
        <v>126</v>
      </c>
      <c r="BP136" t="s">
        <v>74</v>
      </c>
      <c r="BQ136" t="s">
        <v>74</v>
      </c>
      <c r="BR136" t="s">
        <v>105</v>
      </c>
      <c r="BS136" t="s">
        <v>2534</v>
      </c>
      <c r="BT136" t="str">
        <f>HYPERLINK("https%3A%2F%2Fwww.webofscience.com%2Fwos%2Fwoscc%2Ffull-record%2FWOS:000985202800001","View Full Record in Web of Science")</f>
        <v>View Full Record in Web of Science</v>
      </c>
    </row>
    <row r="137" spans="1:72" x14ac:dyDescent="0.15">
      <c r="A137" t="s">
        <v>72</v>
      </c>
      <c r="B137" t="s">
        <v>2535</v>
      </c>
      <c r="C137" t="s">
        <v>74</v>
      </c>
      <c r="D137" t="s">
        <v>74</v>
      </c>
      <c r="E137" t="s">
        <v>74</v>
      </c>
      <c r="F137" t="s">
        <v>2536</v>
      </c>
      <c r="G137" t="s">
        <v>74</v>
      </c>
      <c r="H137" t="s">
        <v>74</v>
      </c>
      <c r="I137" t="s">
        <v>2537</v>
      </c>
      <c r="J137" t="s">
        <v>1613</v>
      </c>
      <c r="K137" t="s">
        <v>74</v>
      </c>
      <c r="L137" t="s">
        <v>74</v>
      </c>
      <c r="M137" t="s">
        <v>78</v>
      </c>
      <c r="N137" t="s">
        <v>79</v>
      </c>
      <c r="O137" t="s">
        <v>74</v>
      </c>
      <c r="P137" t="s">
        <v>74</v>
      </c>
      <c r="Q137" t="s">
        <v>74</v>
      </c>
      <c r="R137" t="s">
        <v>74</v>
      </c>
      <c r="S137" t="s">
        <v>74</v>
      </c>
      <c r="T137" t="s">
        <v>2538</v>
      </c>
      <c r="U137" t="s">
        <v>2539</v>
      </c>
      <c r="V137" t="s">
        <v>2540</v>
      </c>
      <c r="W137" t="s">
        <v>2541</v>
      </c>
      <c r="X137" t="s">
        <v>2542</v>
      </c>
      <c r="Y137" t="s">
        <v>2543</v>
      </c>
      <c r="Z137" t="s">
        <v>2544</v>
      </c>
      <c r="AA137" t="s">
        <v>2545</v>
      </c>
      <c r="AB137" t="s">
        <v>2546</v>
      </c>
      <c r="AC137" t="s">
        <v>74</v>
      </c>
      <c r="AD137" t="s">
        <v>74</v>
      </c>
      <c r="AE137" t="s">
        <v>74</v>
      </c>
      <c r="AF137" t="s">
        <v>74</v>
      </c>
      <c r="AG137">
        <v>119</v>
      </c>
      <c r="AH137">
        <v>0</v>
      </c>
      <c r="AI137">
        <v>0</v>
      </c>
      <c r="AJ137">
        <v>7</v>
      </c>
      <c r="AK137">
        <v>7</v>
      </c>
      <c r="AL137" t="s">
        <v>184</v>
      </c>
      <c r="AM137" t="s">
        <v>185</v>
      </c>
      <c r="AN137" t="s">
        <v>186</v>
      </c>
      <c r="AO137" t="s">
        <v>1621</v>
      </c>
      <c r="AP137" t="s">
        <v>1622</v>
      </c>
      <c r="AQ137" t="s">
        <v>74</v>
      </c>
      <c r="AR137" t="s">
        <v>1613</v>
      </c>
      <c r="AS137" t="s">
        <v>1623</v>
      </c>
      <c r="AT137" t="s">
        <v>99</v>
      </c>
      <c r="AU137">
        <v>2023</v>
      </c>
      <c r="AV137">
        <v>15</v>
      </c>
      <c r="AW137">
        <v>1</v>
      </c>
      <c r="AX137" t="s">
        <v>74</v>
      </c>
      <c r="AY137" t="s">
        <v>74</v>
      </c>
      <c r="AZ137" t="s">
        <v>74</v>
      </c>
      <c r="BA137" t="s">
        <v>74</v>
      </c>
      <c r="BB137" t="s">
        <v>74</v>
      </c>
      <c r="BC137" t="s">
        <v>74</v>
      </c>
      <c r="BD137">
        <v>2242615</v>
      </c>
      <c r="BE137" t="s">
        <v>2547</v>
      </c>
      <c r="BF137" t="str">
        <f>HYPERLINK("http://dx.doi.org/10.1080/19490976.2023.2242615","http://dx.doi.org/10.1080/19490976.2023.2242615")</f>
        <v>http://dx.doi.org/10.1080/19490976.2023.2242615</v>
      </c>
      <c r="BG137" t="s">
        <v>74</v>
      </c>
      <c r="BH137" t="s">
        <v>74</v>
      </c>
      <c r="BI137">
        <v>24</v>
      </c>
      <c r="BJ137" t="s">
        <v>1625</v>
      </c>
      <c r="BK137" t="s">
        <v>102</v>
      </c>
      <c r="BL137" t="s">
        <v>1625</v>
      </c>
      <c r="BM137" t="s">
        <v>2548</v>
      </c>
      <c r="BN137">
        <v>37550964</v>
      </c>
      <c r="BO137" t="s">
        <v>104</v>
      </c>
      <c r="BP137" t="s">
        <v>74</v>
      </c>
      <c r="BQ137" t="s">
        <v>74</v>
      </c>
      <c r="BR137" t="s">
        <v>105</v>
      </c>
      <c r="BS137" t="s">
        <v>2549</v>
      </c>
      <c r="BT137" t="str">
        <f>HYPERLINK("https%3A%2F%2Fwww.webofscience.com%2Fwos%2Fwoscc%2Ffull-record%2FWOS:001043146800001","View Full Record in Web of Science")</f>
        <v>View Full Record in Web of Science</v>
      </c>
    </row>
    <row r="138" spans="1:72" x14ac:dyDescent="0.15">
      <c r="A138" t="s">
        <v>72</v>
      </c>
      <c r="B138" t="s">
        <v>2550</v>
      </c>
      <c r="C138" t="s">
        <v>74</v>
      </c>
      <c r="D138" t="s">
        <v>74</v>
      </c>
      <c r="E138" t="s">
        <v>74</v>
      </c>
      <c r="F138" t="s">
        <v>2551</v>
      </c>
      <c r="G138" t="s">
        <v>74</v>
      </c>
      <c r="H138" t="s">
        <v>74</v>
      </c>
      <c r="I138" t="s">
        <v>2552</v>
      </c>
      <c r="J138" t="s">
        <v>964</v>
      </c>
      <c r="K138" t="s">
        <v>74</v>
      </c>
      <c r="L138" t="s">
        <v>74</v>
      </c>
      <c r="M138" t="s">
        <v>78</v>
      </c>
      <c r="N138" t="s">
        <v>79</v>
      </c>
      <c r="O138" t="s">
        <v>74</v>
      </c>
      <c r="P138" t="s">
        <v>74</v>
      </c>
      <c r="Q138" t="s">
        <v>74</v>
      </c>
      <c r="R138" t="s">
        <v>74</v>
      </c>
      <c r="S138" t="s">
        <v>74</v>
      </c>
      <c r="T138" t="s">
        <v>2553</v>
      </c>
      <c r="U138" t="s">
        <v>2554</v>
      </c>
      <c r="V138" t="s">
        <v>2555</v>
      </c>
      <c r="W138" t="s">
        <v>2556</v>
      </c>
      <c r="X138" t="s">
        <v>2557</v>
      </c>
      <c r="Y138" t="s">
        <v>2558</v>
      </c>
      <c r="Z138" t="s">
        <v>2559</v>
      </c>
      <c r="AA138" t="s">
        <v>2560</v>
      </c>
      <c r="AB138" t="s">
        <v>2561</v>
      </c>
      <c r="AC138" t="s">
        <v>2562</v>
      </c>
      <c r="AD138" t="s">
        <v>2563</v>
      </c>
      <c r="AE138" t="s">
        <v>2564</v>
      </c>
      <c r="AF138" t="s">
        <v>74</v>
      </c>
      <c r="AG138">
        <v>87</v>
      </c>
      <c r="AH138">
        <v>2</v>
      </c>
      <c r="AI138">
        <v>2</v>
      </c>
      <c r="AJ138">
        <v>43</v>
      </c>
      <c r="AK138">
        <v>86</v>
      </c>
      <c r="AL138" t="s">
        <v>92</v>
      </c>
      <c r="AM138" t="s">
        <v>93</v>
      </c>
      <c r="AN138" t="s">
        <v>94</v>
      </c>
      <c r="AO138" t="s">
        <v>977</v>
      </c>
      <c r="AP138" t="s">
        <v>978</v>
      </c>
      <c r="AQ138" t="s">
        <v>74</v>
      </c>
      <c r="AR138" t="s">
        <v>979</v>
      </c>
      <c r="AS138" t="s">
        <v>980</v>
      </c>
      <c r="AT138" t="s">
        <v>99</v>
      </c>
      <c r="AU138">
        <v>2023</v>
      </c>
      <c r="AV138">
        <v>60</v>
      </c>
      <c r="AW138">
        <v>1</v>
      </c>
      <c r="AX138" t="s">
        <v>74</v>
      </c>
      <c r="AY138" t="s">
        <v>74</v>
      </c>
      <c r="AZ138" t="s">
        <v>74</v>
      </c>
      <c r="BA138" t="s">
        <v>74</v>
      </c>
      <c r="BB138" t="s">
        <v>74</v>
      </c>
      <c r="BC138" t="s">
        <v>74</v>
      </c>
      <c r="BD138">
        <v>2163575</v>
      </c>
      <c r="BE138" t="s">
        <v>2565</v>
      </c>
      <c r="BF138" t="str">
        <f>HYPERLINK("http://dx.doi.org/10.1080/15481603.2022.2163575","http://dx.doi.org/10.1080/15481603.2022.2163575")</f>
        <v>http://dx.doi.org/10.1080/15481603.2022.2163575</v>
      </c>
      <c r="BG138" t="s">
        <v>74</v>
      </c>
      <c r="BH138" t="s">
        <v>74</v>
      </c>
      <c r="BI138">
        <v>22</v>
      </c>
      <c r="BJ138" t="s">
        <v>542</v>
      </c>
      <c r="BK138" t="s">
        <v>102</v>
      </c>
      <c r="BL138" t="s">
        <v>543</v>
      </c>
      <c r="BM138" t="s">
        <v>2566</v>
      </c>
      <c r="BN138" t="s">
        <v>74</v>
      </c>
      <c r="BO138" t="s">
        <v>126</v>
      </c>
      <c r="BP138" t="s">
        <v>74</v>
      </c>
      <c r="BQ138" t="s">
        <v>74</v>
      </c>
      <c r="BR138" t="s">
        <v>105</v>
      </c>
      <c r="BS138" t="s">
        <v>2567</v>
      </c>
      <c r="BT138" t="str">
        <f>HYPERLINK("https%3A%2F%2Fwww.webofscience.com%2Fwos%2Fwoscc%2Ffull-record%2FWOS:000906596300001","View Full Record in Web of Science")</f>
        <v>View Full Record in Web of Science</v>
      </c>
    </row>
    <row r="139" spans="1:72" x14ac:dyDescent="0.15">
      <c r="A139" t="s">
        <v>72</v>
      </c>
      <c r="B139" t="s">
        <v>2568</v>
      </c>
      <c r="C139" t="s">
        <v>74</v>
      </c>
      <c r="D139" t="s">
        <v>74</v>
      </c>
      <c r="E139" t="s">
        <v>74</v>
      </c>
      <c r="F139" t="s">
        <v>2569</v>
      </c>
      <c r="G139" t="s">
        <v>74</v>
      </c>
      <c r="H139" t="s">
        <v>74</v>
      </c>
      <c r="I139" t="s">
        <v>2570</v>
      </c>
      <c r="J139" t="s">
        <v>871</v>
      </c>
      <c r="K139" t="s">
        <v>74</v>
      </c>
      <c r="L139" t="s">
        <v>74</v>
      </c>
      <c r="M139" t="s">
        <v>78</v>
      </c>
      <c r="N139" t="s">
        <v>79</v>
      </c>
      <c r="O139" t="s">
        <v>74</v>
      </c>
      <c r="P139" t="s">
        <v>74</v>
      </c>
      <c r="Q139" t="s">
        <v>74</v>
      </c>
      <c r="R139" t="s">
        <v>74</v>
      </c>
      <c r="S139" t="s">
        <v>74</v>
      </c>
      <c r="T139" t="s">
        <v>2571</v>
      </c>
      <c r="U139" t="s">
        <v>2572</v>
      </c>
      <c r="V139" t="s">
        <v>2573</v>
      </c>
      <c r="W139" t="s">
        <v>2574</v>
      </c>
      <c r="X139" t="s">
        <v>2575</v>
      </c>
      <c r="Y139" t="s">
        <v>2576</v>
      </c>
      <c r="Z139" t="s">
        <v>2577</v>
      </c>
      <c r="AA139" t="s">
        <v>2578</v>
      </c>
      <c r="AB139" t="s">
        <v>2579</v>
      </c>
      <c r="AC139" t="s">
        <v>74</v>
      </c>
      <c r="AD139" t="s">
        <v>74</v>
      </c>
      <c r="AE139" t="s">
        <v>74</v>
      </c>
      <c r="AF139" t="s">
        <v>74</v>
      </c>
      <c r="AG139">
        <v>53</v>
      </c>
      <c r="AH139">
        <v>0</v>
      </c>
      <c r="AI139">
        <v>0</v>
      </c>
      <c r="AJ139">
        <v>11</v>
      </c>
      <c r="AK139">
        <v>11</v>
      </c>
      <c r="AL139" t="s">
        <v>92</v>
      </c>
      <c r="AM139" t="s">
        <v>93</v>
      </c>
      <c r="AN139" t="s">
        <v>94</v>
      </c>
      <c r="AO139" t="s">
        <v>880</v>
      </c>
      <c r="AP139" t="s">
        <v>881</v>
      </c>
      <c r="AQ139" t="s">
        <v>74</v>
      </c>
      <c r="AR139" t="s">
        <v>882</v>
      </c>
      <c r="AS139" t="s">
        <v>883</v>
      </c>
      <c r="AT139" t="s">
        <v>99</v>
      </c>
      <c r="AU139">
        <v>2023</v>
      </c>
      <c r="AV139">
        <v>36</v>
      </c>
      <c r="AW139">
        <v>1</v>
      </c>
      <c r="AX139" t="s">
        <v>74</v>
      </c>
      <c r="AY139" t="s">
        <v>74</v>
      </c>
      <c r="AZ139" t="s">
        <v>74</v>
      </c>
      <c r="BA139" t="s">
        <v>74</v>
      </c>
      <c r="BB139" t="s">
        <v>74</v>
      </c>
      <c r="BC139" t="s">
        <v>74</v>
      </c>
      <c r="BD139">
        <v>2192853</v>
      </c>
      <c r="BE139" t="s">
        <v>2580</v>
      </c>
      <c r="BF139" t="str">
        <f>HYPERLINK("http://dx.doi.org/10.1080/14767058.2023.2192853","http://dx.doi.org/10.1080/14767058.2023.2192853")</f>
        <v>http://dx.doi.org/10.1080/14767058.2023.2192853</v>
      </c>
      <c r="BG139" t="s">
        <v>74</v>
      </c>
      <c r="BH139" t="s">
        <v>74</v>
      </c>
      <c r="BI139">
        <v>8</v>
      </c>
      <c r="BJ139" t="s">
        <v>885</v>
      </c>
      <c r="BK139" t="s">
        <v>102</v>
      </c>
      <c r="BL139" t="s">
        <v>885</v>
      </c>
      <c r="BM139" t="s">
        <v>2581</v>
      </c>
      <c r="BN139">
        <v>36966813</v>
      </c>
      <c r="BO139" t="s">
        <v>887</v>
      </c>
      <c r="BP139" t="s">
        <v>74</v>
      </c>
      <c r="BQ139" t="s">
        <v>74</v>
      </c>
      <c r="BR139" t="s">
        <v>105</v>
      </c>
      <c r="BS139" t="s">
        <v>2582</v>
      </c>
      <c r="BT139" t="str">
        <f>HYPERLINK("https%3A%2F%2Fwww.webofscience.com%2Fwos%2Fwoscc%2Ffull-record%2FWOS:000952729400001","View Full Record in Web of Science")</f>
        <v>View Full Record in Web of Science</v>
      </c>
    </row>
    <row r="140" spans="1:72" x14ac:dyDescent="0.15">
      <c r="A140" t="s">
        <v>72</v>
      </c>
      <c r="B140" t="s">
        <v>2583</v>
      </c>
      <c r="C140" t="s">
        <v>74</v>
      </c>
      <c r="D140" t="s">
        <v>74</v>
      </c>
      <c r="E140" t="s">
        <v>74</v>
      </c>
      <c r="F140" t="s">
        <v>2584</v>
      </c>
      <c r="G140" t="s">
        <v>74</v>
      </c>
      <c r="H140" t="s">
        <v>74</v>
      </c>
      <c r="I140" t="s">
        <v>2585</v>
      </c>
      <c r="J140" t="s">
        <v>736</v>
      </c>
      <c r="K140" t="s">
        <v>74</v>
      </c>
      <c r="L140" t="s">
        <v>74</v>
      </c>
      <c r="M140" t="s">
        <v>78</v>
      </c>
      <c r="N140" t="s">
        <v>1697</v>
      </c>
      <c r="O140" t="s">
        <v>74</v>
      </c>
      <c r="P140" t="s">
        <v>74</v>
      </c>
      <c r="Q140" t="s">
        <v>74</v>
      </c>
      <c r="R140" t="s">
        <v>74</v>
      </c>
      <c r="S140" t="s">
        <v>74</v>
      </c>
      <c r="T140" t="s">
        <v>2586</v>
      </c>
      <c r="U140" t="s">
        <v>74</v>
      </c>
      <c r="V140" t="s">
        <v>2587</v>
      </c>
      <c r="W140" t="s">
        <v>2588</v>
      </c>
      <c r="X140" t="s">
        <v>2589</v>
      </c>
      <c r="Y140" t="s">
        <v>2590</v>
      </c>
      <c r="Z140" t="s">
        <v>2591</v>
      </c>
      <c r="AA140" t="s">
        <v>2592</v>
      </c>
      <c r="AB140" t="s">
        <v>2593</v>
      </c>
      <c r="AC140" t="s">
        <v>2594</v>
      </c>
      <c r="AD140" t="s">
        <v>2595</v>
      </c>
      <c r="AE140" t="s">
        <v>2596</v>
      </c>
      <c r="AF140" t="s">
        <v>74</v>
      </c>
      <c r="AG140">
        <v>12</v>
      </c>
      <c r="AH140">
        <v>1</v>
      </c>
      <c r="AI140">
        <v>1</v>
      </c>
      <c r="AJ140">
        <v>3</v>
      </c>
      <c r="AK140">
        <v>21</v>
      </c>
      <c r="AL140" t="s">
        <v>92</v>
      </c>
      <c r="AM140" t="s">
        <v>93</v>
      </c>
      <c r="AN140" t="s">
        <v>94</v>
      </c>
      <c r="AO140" t="s">
        <v>74</v>
      </c>
      <c r="AP140" t="s">
        <v>748</v>
      </c>
      <c r="AQ140" t="s">
        <v>74</v>
      </c>
      <c r="AR140" t="s">
        <v>749</v>
      </c>
      <c r="AS140" t="s">
        <v>750</v>
      </c>
      <c r="AT140" t="s">
        <v>99</v>
      </c>
      <c r="AU140">
        <v>2023</v>
      </c>
      <c r="AV140">
        <v>12</v>
      </c>
      <c r="AW140">
        <v>1</v>
      </c>
      <c r="AX140" t="s">
        <v>74</v>
      </c>
      <c r="AY140" t="s">
        <v>74</v>
      </c>
      <c r="AZ140" t="s">
        <v>74</v>
      </c>
      <c r="BA140" t="s">
        <v>74</v>
      </c>
      <c r="BB140" t="s">
        <v>74</v>
      </c>
      <c r="BC140" t="s">
        <v>74</v>
      </c>
      <c r="BD140" t="s">
        <v>2597</v>
      </c>
      <c r="BE140" t="s">
        <v>2598</v>
      </c>
      <c r="BF140" t="str">
        <f>HYPERLINK("http://dx.doi.org/10.1080/22221751.2022.2143283","http://dx.doi.org/10.1080/22221751.2022.2143283")</f>
        <v>http://dx.doi.org/10.1080/22221751.2022.2143283</v>
      </c>
      <c r="BG140" t="s">
        <v>74</v>
      </c>
      <c r="BH140" t="s">
        <v>74</v>
      </c>
      <c r="BI140">
        <v>4</v>
      </c>
      <c r="BJ140" t="s">
        <v>752</v>
      </c>
      <c r="BK140" t="s">
        <v>102</v>
      </c>
      <c r="BL140" t="s">
        <v>752</v>
      </c>
      <c r="BM140" t="s">
        <v>2599</v>
      </c>
      <c r="BN140">
        <v>36377297</v>
      </c>
      <c r="BO140" t="s">
        <v>104</v>
      </c>
      <c r="BP140" t="s">
        <v>74</v>
      </c>
      <c r="BQ140" t="s">
        <v>74</v>
      </c>
      <c r="BR140" t="s">
        <v>105</v>
      </c>
      <c r="BS140" t="s">
        <v>2600</v>
      </c>
      <c r="BT140" t="str">
        <f>HYPERLINK("https%3A%2F%2Fwww.webofscience.com%2Fwos%2Fwoscc%2Ffull-record%2FWOS:000898987000001","View Full Record in Web of Science")</f>
        <v>View Full Record in Web of Science</v>
      </c>
    </row>
    <row r="141" spans="1:72" x14ac:dyDescent="0.15">
      <c r="A141" t="s">
        <v>72</v>
      </c>
      <c r="B141" t="s">
        <v>2601</v>
      </c>
      <c r="C141" t="s">
        <v>74</v>
      </c>
      <c r="D141" t="s">
        <v>74</v>
      </c>
      <c r="E141" t="s">
        <v>74</v>
      </c>
      <c r="F141" t="s">
        <v>2602</v>
      </c>
      <c r="G141" t="s">
        <v>74</v>
      </c>
      <c r="H141" t="s">
        <v>74</v>
      </c>
      <c r="I141" t="s">
        <v>2603</v>
      </c>
      <c r="J141" t="s">
        <v>2604</v>
      </c>
      <c r="K141" t="s">
        <v>74</v>
      </c>
      <c r="L141" t="s">
        <v>74</v>
      </c>
      <c r="M141" t="s">
        <v>78</v>
      </c>
      <c r="N141" t="s">
        <v>79</v>
      </c>
      <c r="O141" t="s">
        <v>74</v>
      </c>
      <c r="P141" t="s">
        <v>74</v>
      </c>
      <c r="Q141" t="s">
        <v>74</v>
      </c>
      <c r="R141" t="s">
        <v>74</v>
      </c>
      <c r="S141" t="s">
        <v>74</v>
      </c>
      <c r="T141" t="s">
        <v>2605</v>
      </c>
      <c r="U141" t="s">
        <v>2606</v>
      </c>
      <c r="V141" t="s">
        <v>2607</v>
      </c>
      <c r="W141" t="s">
        <v>2608</v>
      </c>
      <c r="X141" t="s">
        <v>2609</v>
      </c>
      <c r="Y141" t="s">
        <v>2610</v>
      </c>
      <c r="Z141" t="s">
        <v>2611</v>
      </c>
      <c r="AA141" t="s">
        <v>74</v>
      </c>
      <c r="AB141" t="s">
        <v>74</v>
      </c>
      <c r="AC141" t="s">
        <v>2612</v>
      </c>
      <c r="AD141" t="s">
        <v>2613</v>
      </c>
      <c r="AE141" t="s">
        <v>2614</v>
      </c>
      <c r="AF141" t="s">
        <v>74</v>
      </c>
      <c r="AG141">
        <v>44</v>
      </c>
      <c r="AH141">
        <v>1</v>
      </c>
      <c r="AI141">
        <v>1</v>
      </c>
      <c r="AJ141">
        <v>41</v>
      </c>
      <c r="AK141">
        <v>41</v>
      </c>
      <c r="AL141" t="s">
        <v>92</v>
      </c>
      <c r="AM141" t="s">
        <v>93</v>
      </c>
      <c r="AN141" t="s">
        <v>94</v>
      </c>
      <c r="AO141" t="s">
        <v>2615</v>
      </c>
      <c r="AP141" t="s">
        <v>2616</v>
      </c>
      <c r="AQ141" t="s">
        <v>74</v>
      </c>
      <c r="AR141" t="s">
        <v>2617</v>
      </c>
      <c r="AS141" t="s">
        <v>2618</v>
      </c>
      <c r="AT141" t="s">
        <v>99</v>
      </c>
      <c r="AU141">
        <v>2023</v>
      </c>
      <c r="AV141">
        <v>35</v>
      </c>
      <c r="AW141">
        <v>1</v>
      </c>
      <c r="AX141" t="s">
        <v>74</v>
      </c>
      <c r="AY141" t="s">
        <v>74</v>
      </c>
      <c r="AZ141" t="s">
        <v>74</v>
      </c>
      <c r="BA141" t="s">
        <v>74</v>
      </c>
      <c r="BB141" t="s">
        <v>74</v>
      </c>
      <c r="BC141" t="s">
        <v>74</v>
      </c>
      <c r="BD141">
        <v>2199951</v>
      </c>
      <c r="BE141" t="s">
        <v>2619</v>
      </c>
      <c r="BF141" t="str">
        <f>HYPERLINK("http://dx.doi.org/10.1080/09540091.2023.2199951","http://dx.doi.org/10.1080/09540091.2023.2199951")</f>
        <v>http://dx.doi.org/10.1080/09540091.2023.2199951</v>
      </c>
      <c r="BG141" t="s">
        <v>74</v>
      </c>
      <c r="BH141" t="s">
        <v>74</v>
      </c>
      <c r="BI141">
        <v>28</v>
      </c>
      <c r="BJ141" t="s">
        <v>2620</v>
      </c>
      <c r="BK141" t="s">
        <v>102</v>
      </c>
      <c r="BL141" t="s">
        <v>2621</v>
      </c>
      <c r="BM141" t="s">
        <v>2622</v>
      </c>
      <c r="BN141" t="s">
        <v>74</v>
      </c>
      <c r="BO141" t="s">
        <v>126</v>
      </c>
      <c r="BP141" t="s">
        <v>74</v>
      </c>
      <c r="BQ141" t="s">
        <v>74</v>
      </c>
      <c r="BR141" t="s">
        <v>105</v>
      </c>
      <c r="BS141" t="s">
        <v>2623</v>
      </c>
      <c r="BT141" t="str">
        <f>HYPERLINK("https%3A%2F%2Fwww.webofscience.com%2Fwos%2Fwoscc%2Ffull-record%2FWOS:000975359800001","View Full Record in Web of Science")</f>
        <v>View Full Record in Web of Science</v>
      </c>
    </row>
    <row r="142" spans="1:72" x14ac:dyDescent="0.15">
      <c r="A142" t="s">
        <v>72</v>
      </c>
      <c r="B142" t="s">
        <v>2624</v>
      </c>
      <c r="C142" t="s">
        <v>74</v>
      </c>
      <c r="D142" t="s">
        <v>74</v>
      </c>
      <c r="E142" t="s">
        <v>74</v>
      </c>
      <c r="F142" t="s">
        <v>2625</v>
      </c>
      <c r="G142" t="s">
        <v>74</v>
      </c>
      <c r="H142" t="s">
        <v>74</v>
      </c>
      <c r="I142" t="s">
        <v>2626</v>
      </c>
      <c r="J142" t="s">
        <v>2627</v>
      </c>
      <c r="K142" t="s">
        <v>74</v>
      </c>
      <c r="L142" t="s">
        <v>74</v>
      </c>
      <c r="M142" t="s">
        <v>78</v>
      </c>
      <c r="N142" t="s">
        <v>79</v>
      </c>
      <c r="O142" t="s">
        <v>74</v>
      </c>
      <c r="P142" t="s">
        <v>74</v>
      </c>
      <c r="Q142" t="s">
        <v>74</v>
      </c>
      <c r="R142" t="s">
        <v>74</v>
      </c>
      <c r="S142" t="s">
        <v>74</v>
      </c>
      <c r="T142" t="s">
        <v>2628</v>
      </c>
      <c r="U142" t="s">
        <v>2629</v>
      </c>
      <c r="V142" t="s">
        <v>2630</v>
      </c>
      <c r="W142" t="s">
        <v>2631</v>
      </c>
      <c r="X142" t="s">
        <v>2632</v>
      </c>
      <c r="Y142" t="s">
        <v>2633</v>
      </c>
      <c r="Z142" t="s">
        <v>2634</v>
      </c>
      <c r="AA142" t="s">
        <v>2635</v>
      </c>
      <c r="AB142" t="s">
        <v>2636</v>
      </c>
      <c r="AC142" t="s">
        <v>2637</v>
      </c>
      <c r="AD142" t="s">
        <v>2638</v>
      </c>
      <c r="AE142" t="s">
        <v>2639</v>
      </c>
      <c r="AF142" t="s">
        <v>74</v>
      </c>
      <c r="AG142">
        <v>28</v>
      </c>
      <c r="AH142">
        <v>0</v>
      </c>
      <c r="AI142">
        <v>0</v>
      </c>
      <c r="AJ142">
        <v>6</v>
      </c>
      <c r="AK142">
        <v>16</v>
      </c>
      <c r="AL142" t="s">
        <v>184</v>
      </c>
      <c r="AM142" t="s">
        <v>185</v>
      </c>
      <c r="AN142" t="s">
        <v>186</v>
      </c>
      <c r="AO142" t="s">
        <v>2640</v>
      </c>
      <c r="AP142" t="s">
        <v>2641</v>
      </c>
      <c r="AQ142" t="s">
        <v>74</v>
      </c>
      <c r="AR142" t="s">
        <v>2627</v>
      </c>
      <c r="AS142" t="s">
        <v>2642</v>
      </c>
      <c r="AT142" t="s">
        <v>99</v>
      </c>
      <c r="AU142">
        <v>2023</v>
      </c>
      <c r="AV142">
        <v>12</v>
      </c>
      <c r="AW142">
        <v>1</v>
      </c>
      <c r="AX142" t="s">
        <v>74</v>
      </c>
      <c r="AY142" t="s">
        <v>74</v>
      </c>
      <c r="AZ142" t="s">
        <v>74</v>
      </c>
      <c r="BA142" t="s">
        <v>74</v>
      </c>
      <c r="BB142" t="s">
        <v>74</v>
      </c>
      <c r="BC142" t="s">
        <v>74</v>
      </c>
      <c r="BD142">
        <v>2173966</v>
      </c>
      <c r="BE142" t="s">
        <v>2643</v>
      </c>
      <c r="BF142" t="str">
        <f>HYPERLINK("http://dx.doi.org/10.1080/21623945.2023.2173966","http://dx.doi.org/10.1080/21623945.2023.2173966")</f>
        <v>http://dx.doi.org/10.1080/21623945.2023.2173966</v>
      </c>
      <c r="BG142" t="s">
        <v>74</v>
      </c>
      <c r="BH142" t="s">
        <v>74</v>
      </c>
      <c r="BI142">
        <v>11</v>
      </c>
      <c r="BJ142" t="s">
        <v>2644</v>
      </c>
      <c r="BK142" t="s">
        <v>102</v>
      </c>
      <c r="BL142" t="s">
        <v>2644</v>
      </c>
      <c r="BM142" t="s">
        <v>2645</v>
      </c>
      <c r="BN142">
        <v>36722834</v>
      </c>
      <c r="BO142" t="s">
        <v>104</v>
      </c>
      <c r="BP142" t="s">
        <v>74</v>
      </c>
      <c r="BQ142" t="s">
        <v>74</v>
      </c>
      <c r="BR142" t="s">
        <v>105</v>
      </c>
      <c r="BS142" t="s">
        <v>2646</v>
      </c>
      <c r="BT142" t="str">
        <f>HYPERLINK("https%3A%2F%2Fwww.webofscience.com%2Fwos%2Fwoscc%2Ffull-record%2FWOS:000931927700001","View Full Record in Web of Science")</f>
        <v>View Full Record in Web of Science</v>
      </c>
    </row>
    <row r="143" spans="1:72" x14ac:dyDescent="0.15">
      <c r="A143" t="s">
        <v>72</v>
      </c>
      <c r="B143" t="s">
        <v>2647</v>
      </c>
      <c r="C143" t="s">
        <v>74</v>
      </c>
      <c r="D143" t="s">
        <v>74</v>
      </c>
      <c r="E143" t="s">
        <v>74</v>
      </c>
      <c r="F143" t="s">
        <v>2648</v>
      </c>
      <c r="G143" t="s">
        <v>74</v>
      </c>
      <c r="H143" t="s">
        <v>74</v>
      </c>
      <c r="I143" t="s">
        <v>2649</v>
      </c>
      <c r="J143" t="s">
        <v>1409</v>
      </c>
      <c r="K143" t="s">
        <v>74</v>
      </c>
      <c r="L143" t="s">
        <v>74</v>
      </c>
      <c r="M143" t="s">
        <v>78</v>
      </c>
      <c r="N143" t="s">
        <v>2650</v>
      </c>
      <c r="O143" t="s">
        <v>74</v>
      </c>
      <c r="P143" t="s">
        <v>74</v>
      </c>
      <c r="Q143" t="s">
        <v>74</v>
      </c>
      <c r="R143" t="s">
        <v>74</v>
      </c>
      <c r="S143" t="s">
        <v>74</v>
      </c>
      <c r="T143" t="s">
        <v>2651</v>
      </c>
      <c r="U143" t="s">
        <v>74</v>
      </c>
      <c r="V143" t="s">
        <v>74</v>
      </c>
      <c r="W143" t="s">
        <v>2652</v>
      </c>
      <c r="X143" t="s">
        <v>2653</v>
      </c>
      <c r="Y143" t="s">
        <v>2654</v>
      </c>
      <c r="Z143" t="s">
        <v>2655</v>
      </c>
      <c r="AA143" t="s">
        <v>74</v>
      </c>
      <c r="AB143" t="s">
        <v>74</v>
      </c>
      <c r="AC143" t="s">
        <v>2656</v>
      </c>
      <c r="AD143" t="s">
        <v>2656</v>
      </c>
      <c r="AE143" t="s">
        <v>2657</v>
      </c>
      <c r="AF143" t="s">
        <v>74</v>
      </c>
      <c r="AG143">
        <v>10</v>
      </c>
      <c r="AH143">
        <v>0</v>
      </c>
      <c r="AI143">
        <v>0</v>
      </c>
      <c r="AJ143">
        <v>4</v>
      </c>
      <c r="AK143">
        <v>4</v>
      </c>
      <c r="AL143" t="s">
        <v>92</v>
      </c>
      <c r="AM143" t="s">
        <v>93</v>
      </c>
      <c r="AN143" t="s">
        <v>94</v>
      </c>
      <c r="AO143" t="s">
        <v>1420</v>
      </c>
      <c r="AP143" t="s">
        <v>1421</v>
      </c>
      <c r="AQ143" t="s">
        <v>74</v>
      </c>
      <c r="AR143" t="s">
        <v>1422</v>
      </c>
      <c r="AS143" t="s">
        <v>1423</v>
      </c>
      <c r="AT143" t="s">
        <v>99</v>
      </c>
      <c r="AU143">
        <v>2023</v>
      </c>
      <c r="AV143">
        <v>22</v>
      </c>
      <c r="AW143">
        <v>1</v>
      </c>
      <c r="AX143" t="s">
        <v>74</v>
      </c>
      <c r="AY143" t="s">
        <v>74</v>
      </c>
      <c r="AZ143" t="s">
        <v>74</v>
      </c>
      <c r="BA143" t="s">
        <v>74</v>
      </c>
      <c r="BB143">
        <v>267</v>
      </c>
      <c r="BC143">
        <v>269</v>
      </c>
      <c r="BD143" t="s">
        <v>74</v>
      </c>
      <c r="BE143" t="s">
        <v>2658</v>
      </c>
      <c r="BF143" t="str">
        <f>HYPERLINK("http://dx.doi.org/10.1080/14760584.2023.2184803","http://dx.doi.org/10.1080/14760584.2023.2184803")</f>
        <v>http://dx.doi.org/10.1080/14760584.2023.2184803</v>
      </c>
      <c r="BG143" t="s">
        <v>74</v>
      </c>
      <c r="BH143" t="s">
        <v>74</v>
      </c>
      <c r="BI143">
        <v>3</v>
      </c>
      <c r="BJ143" t="s">
        <v>1425</v>
      </c>
      <c r="BK143" t="s">
        <v>102</v>
      </c>
      <c r="BL143" t="s">
        <v>1425</v>
      </c>
      <c r="BM143" t="s">
        <v>2659</v>
      </c>
      <c r="BN143">
        <v>36825464</v>
      </c>
      <c r="BO143" t="s">
        <v>126</v>
      </c>
      <c r="BP143" t="s">
        <v>74</v>
      </c>
      <c r="BQ143" t="s">
        <v>74</v>
      </c>
      <c r="BR143" t="s">
        <v>105</v>
      </c>
      <c r="BS143" t="s">
        <v>2660</v>
      </c>
      <c r="BT143" t="str">
        <f>HYPERLINK("https%3A%2F%2Fwww.webofscience.com%2Fwos%2Fwoscc%2Ffull-record%2FWOS:000943264600001","View Full Record in Web of Science")</f>
        <v>View Full Record in Web of Science</v>
      </c>
    </row>
    <row r="144" spans="1:72" x14ac:dyDescent="0.15">
      <c r="A144" t="s">
        <v>72</v>
      </c>
      <c r="B144" t="s">
        <v>2661</v>
      </c>
      <c r="C144" t="s">
        <v>74</v>
      </c>
      <c r="D144" t="s">
        <v>74</v>
      </c>
      <c r="E144" t="s">
        <v>74</v>
      </c>
      <c r="F144" t="s">
        <v>2662</v>
      </c>
      <c r="G144" t="s">
        <v>74</v>
      </c>
      <c r="H144" t="s">
        <v>74</v>
      </c>
      <c r="I144" t="s">
        <v>2663</v>
      </c>
      <c r="J144" t="s">
        <v>2664</v>
      </c>
      <c r="K144" t="s">
        <v>74</v>
      </c>
      <c r="L144" t="s">
        <v>74</v>
      </c>
      <c r="M144" t="s">
        <v>78</v>
      </c>
      <c r="N144" t="s">
        <v>79</v>
      </c>
      <c r="O144" t="s">
        <v>74</v>
      </c>
      <c r="P144" t="s">
        <v>74</v>
      </c>
      <c r="Q144" t="s">
        <v>74</v>
      </c>
      <c r="R144" t="s">
        <v>74</v>
      </c>
      <c r="S144" t="s">
        <v>74</v>
      </c>
      <c r="T144" t="s">
        <v>2665</v>
      </c>
      <c r="U144" t="s">
        <v>2666</v>
      </c>
      <c r="V144" t="s">
        <v>2667</v>
      </c>
      <c r="W144" t="s">
        <v>2668</v>
      </c>
      <c r="X144" t="s">
        <v>2669</v>
      </c>
      <c r="Y144" t="s">
        <v>2670</v>
      </c>
      <c r="Z144" t="s">
        <v>2671</v>
      </c>
      <c r="AA144" t="s">
        <v>74</v>
      </c>
      <c r="AB144" t="s">
        <v>74</v>
      </c>
      <c r="AC144" t="s">
        <v>2672</v>
      </c>
      <c r="AD144" t="s">
        <v>2672</v>
      </c>
      <c r="AE144" t="s">
        <v>2673</v>
      </c>
      <c r="AF144" t="s">
        <v>74</v>
      </c>
      <c r="AG144">
        <v>75</v>
      </c>
      <c r="AH144">
        <v>0</v>
      </c>
      <c r="AI144">
        <v>0</v>
      </c>
      <c r="AJ144">
        <v>0</v>
      </c>
      <c r="AK144">
        <v>0</v>
      </c>
      <c r="AL144" t="s">
        <v>287</v>
      </c>
      <c r="AM144" t="s">
        <v>288</v>
      </c>
      <c r="AN144" t="s">
        <v>289</v>
      </c>
      <c r="AO144" t="s">
        <v>2674</v>
      </c>
      <c r="AP144" t="s">
        <v>74</v>
      </c>
      <c r="AQ144" t="s">
        <v>74</v>
      </c>
      <c r="AR144" t="s">
        <v>2675</v>
      </c>
      <c r="AS144" t="s">
        <v>2676</v>
      </c>
      <c r="AT144" t="s">
        <v>99</v>
      </c>
      <c r="AU144">
        <v>2023</v>
      </c>
      <c r="AV144">
        <v>9</v>
      </c>
      <c r="AW144">
        <v>1</v>
      </c>
      <c r="AX144" t="s">
        <v>74</v>
      </c>
      <c r="AY144" t="s">
        <v>74</v>
      </c>
      <c r="AZ144" t="s">
        <v>74</v>
      </c>
      <c r="BA144" t="s">
        <v>74</v>
      </c>
      <c r="BB144" t="s">
        <v>74</v>
      </c>
      <c r="BC144" t="s">
        <v>74</v>
      </c>
      <c r="BD144">
        <v>2249951</v>
      </c>
      <c r="BE144" t="s">
        <v>2677</v>
      </c>
      <c r="BF144" t="str">
        <f>HYPERLINK("http://dx.doi.org/10.1080/23311932.2023.2249951","http://dx.doi.org/10.1080/23311932.2023.2249951")</f>
        <v>http://dx.doi.org/10.1080/23311932.2023.2249951</v>
      </c>
      <c r="BG144" t="s">
        <v>74</v>
      </c>
      <c r="BH144" t="s">
        <v>74</v>
      </c>
      <c r="BI144">
        <v>15</v>
      </c>
      <c r="BJ144" t="s">
        <v>2678</v>
      </c>
      <c r="BK144" t="s">
        <v>102</v>
      </c>
      <c r="BL144" t="s">
        <v>2517</v>
      </c>
      <c r="BM144" t="s">
        <v>2679</v>
      </c>
      <c r="BN144" t="s">
        <v>74</v>
      </c>
      <c r="BO144" t="s">
        <v>126</v>
      </c>
      <c r="BP144" t="s">
        <v>74</v>
      </c>
      <c r="BQ144" t="s">
        <v>74</v>
      </c>
      <c r="BR144" t="s">
        <v>105</v>
      </c>
      <c r="BS144" t="s">
        <v>2680</v>
      </c>
      <c r="BT144" t="str">
        <f>HYPERLINK("https%3A%2F%2Fwww.webofscience.com%2Fwos%2Fwoscc%2Ffull-record%2FWOS:001058243000001","View Full Record in Web of Science")</f>
        <v>View Full Record in Web of Science</v>
      </c>
    </row>
    <row r="145" spans="1:72" x14ac:dyDescent="0.15">
      <c r="A145" t="s">
        <v>72</v>
      </c>
      <c r="B145" t="s">
        <v>2681</v>
      </c>
      <c r="C145" t="s">
        <v>74</v>
      </c>
      <c r="D145" t="s">
        <v>74</v>
      </c>
      <c r="E145" t="s">
        <v>74</v>
      </c>
      <c r="F145" t="s">
        <v>2682</v>
      </c>
      <c r="G145" t="s">
        <v>74</v>
      </c>
      <c r="H145" t="s">
        <v>74</v>
      </c>
      <c r="I145" t="s">
        <v>2683</v>
      </c>
      <c r="J145" t="s">
        <v>1443</v>
      </c>
      <c r="K145" t="s">
        <v>74</v>
      </c>
      <c r="L145" t="s">
        <v>74</v>
      </c>
      <c r="M145" t="s">
        <v>78</v>
      </c>
      <c r="N145" t="s">
        <v>79</v>
      </c>
      <c r="O145" t="s">
        <v>74</v>
      </c>
      <c r="P145" t="s">
        <v>74</v>
      </c>
      <c r="Q145" t="s">
        <v>74</v>
      </c>
      <c r="R145" t="s">
        <v>74</v>
      </c>
      <c r="S145" t="s">
        <v>74</v>
      </c>
      <c r="T145" t="s">
        <v>2684</v>
      </c>
      <c r="U145" t="s">
        <v>2685</v>
      </c>
      <c r="V145" t="s">
        <v>2686</v>
      </c>
      <c r="W145" t="s">
        <v>2687</v>
      </c>
      <c r="X145" t="s">
        <v>2688</v>
      </c>
      <c r="Y145" t="s">
        <v>2689</v>
      </c>
      <c r="Z145" t="s">
        <v>2690</v>
      </c>
      <c r="AA145" t="s">
        <v>2691</v>
      </c>
      <c r="AB145" t="s">
        <v>2692</v>
      </c>
      <c r="AC145" t="s">
        <v>74</v>
      </c>
      <c r="AD145" t="s">
        <v>74</v>
      </c>
      <c r="AE145" t="s">
        <v>74</v>
      </c>
      <c r="AF145" t="s">
        <v>74</v>
      </c>
      <c r="AG145">
        <v>40</v>
      </c>
      <c r="AH145">
        <v>1</v>
      </c>
      <c r="AI145">
        <v>1</v>
      </c>
      <c r="AJ145">
        <v>9</v>
      </c>
      <c r="AK145">
        <v>17</v>
      </c>
      <c r="AL145" t="s">
        <v>92</v>
      </c>
      <c r="AM145" t="s">
        <v>93</v>
      </c>
      <c r="AN145" t="s">
        <v>94</v>
      </c>
      <c r="AO145" t="s">
        <v>1447</v>
      </c>
      <c r="AP145" t="s">
        <v>1448</v>
      </c>
      <c r="AQ145" t="s">
        <v>74</v>
      </c>
      <c r="AR145" t="s">
        <v>1449</v>
      </c>
      <c r="AS145" t="s">
        <v>1450</v>
      </c>
      <c r="AT145" t="s">
        <v>99</v>
      </c>
      <c r="AU145">
        <v>2023</v>
      </c>
      <c r="AV145">
        <v>38</v>
      </c>
      <c r="AW145">
        <v>1</v>
      </c>
      <c r="AX145" t="s">
        <v>74</v>
      </c>
      <c r="AY145" t="s">
        <v>74</v>
      </c>
      <c r="AZ145" t="s">
        <v>74</v>
      </c>
      <c r="BA145" t="s">
        <v>74</v>
      </c>
      <c r="BB145" t="s">
        <v>74</v>
      </c>
      <c r="BC145" t="s">
        <v>74</v>
      </c>
      <c r="BD145">
        <v>2153841</v>
      </c>
      <c r="BE145" t="s">
        <v>2693</v>
      </c>
      <c r="BF145" t="str">
        <f>HYPERLINK("http://dx.doi.org/10.1080/14756366.2022.2153841","http://dx.doi.org/10.1080/14756366.2022.2153841")</f>
        <v>http://dx.doi.org/10.1080/14756366.2022.2153841</v>
      </c>
      <c r="BG145" t="s">
        <v>74</v>
      </c>
      <c r="BH145" t="s">
        <v>74</v>
      </c>
      <c r="BI145">
        <v>12</v>
      </c>
      <c r="BJ145" t="s">
        <v>1452</v>
      </c>
      <c r="BK145" t="s">
        <v>102</v>
      </c>
      <c r="BL145" t="s">
        <v>1453</v>
      </c>
      <c r="BM145" t="s">
        <v>2694</v>
      </c>
      <c r="BN145">
        <v>36637025</v>
      </c>
      <c r="BO145" t="s">
        <v>104</v>
      </c>
      <c r="BP145" t="s">
        <v>74</v>
      </c>
      <c r="BQ145" t="s">
        <v>74</v>
      </c>
      <c r="BR145" t="s">
        <v>105</v>
      </c>
      <c r="BS145" t="s">
        <v>2695</v>
      </c>
      <c r="BT145" t="str">
        <f>HYPERLINK("https%3A%2F%2Fwww.webofscience.com%2Fwos%2Fwoscc%2Ffull-record%2FWOS:000912399600001","View Full Record in Web of Science")</f>
        <v>View Full Record in Web of Science</v>
      </c>
    </row>
    <row r="146" spans="1:72" x14ac:dyDescent="0.15">
      <c r="A146" t="s">
        <v>72</v>
      </c>
      <c r="B146" t="s">
        <v>2696</v>
      </c>
      <c r="C146" t="s">
        <v>74</v>
      </c>
      <c r="D146" t="s">
        <v>74</v>
      </c>
      <c r="E146" t="s">
        <v>74</v>
      </c>
      <c r="F146" t="s">
        <v>2697</v>
      </c>
      <c r="G146" t="s">
        <v>74</v>
      </c>
      <c r="H146" t="s">
        <v>74</v>
      </c>
      <c r="I146" t="s">
        <v>2698</v>
      </c>
      <c r="J146" t="s">
        <v>1493</v>
      </c>
      <c r="K146" t="s">
        <v>74</v>
      </c>
      <c r="L146" t="s">
        <v>74</v>
      </c>
      <c r="M146" t="s">
        <v>78</v>
      </c>
      <c r="N146" t="s">
        <v>79</v>
      </c>
      <c r="O146" t="s">
        <v>74</v>
      </c>
      <c r="P146" t="s">
        <v>74</v>
      </c>
      <c r="Q146" t="s">
        <v>74</v>
      </c>
      <c r="R146" t="s">
        <v>74</v>
      </c>
      <c r="S146" t="s">
        <v>74</v>
      </c>
      <c r="T146" t="s">
        <v>2699</v>
      </c>
      <c r="U146" t="s">
        <v>2700</v>
      </c>
      <c r="V146" t="s">
        <v>2701</v>
      </c>
      <c r="W146" t="s">
        <v>2702</v>
      </c>
      <c r="X146" t="s">
        <v>74</v>
      </c>
      <c r="Y146" t="s">
        <v>2703</v>
      </c>
      <c r="Z146" t="s">
        <v>2704</v>
      </c>
      <c r="AA146" t="s">
        <v>74</v>
      </c>
      <c r="AB146" t="s">
        <v>2705</v>
      </c>
      <c r="AC146" t="s">
        <v>2706</v>
      </c>
      <c r="AD146" t="s">
        <v>2706</v>
      </c>
      <c r="AE146" t="s">
        <v>2707</v>
      </c>
      <c r="AF146" t="s">
        <v>74</v>
      </c>
      <c r="AG146">
        <v>51</v>
      </c>
      <c r="AH146">
        <v>0</v>
      </c>
      <c r="AI146">
        <v>0</v>
      </c>
      <c r="AJ146">
        <v>0</v>
      </c>
      <c r="AK146">
        <v>0</v>
      </c>
      <c r="AL146" t="s">
        <v>92</v>
      </c>
      <c r="AM146" t="s">
        <v>93</v>
      </c>
      <c r="AN146" t="s">
        <v>94</v>
      </c>
      <c r="AO146" t="s">
        <v>74</v>
      </c>
      <c r="AP146" t="s">
        <v>1503</v>
      </c>
      <c r="AQ146" t="s">
        <v>74</v>
      </c>
      <c r="AR146" t="s">
        <v>1504</v>
      </c>
      <c r="AS146" t="s">
        <v>1505</v>
      </c>
      <c r="AT146" t="s">
        <v>99</v>
      </c>
      <c r="AU146">
        <v>2023</v>
      </c>
      <c r="AV146">
        <v>31</v>
      </c>
      <c r="AW146">
        <v>1</v>
      </c>
      <c r="AX146" t="s">
        <v>74</v>
      </c>
      <c r="AY146" t="s">
        <v>74</v>
      </c>
      <c r="AZ146" t="s">
        <v>74</v>
      </c>
      <c r="BA146" t="s">
        <v>74</v>
      </c>
      <c r="BB146" t="s">
        <v>74</v>
      </c>
      <c r="BC146" t="s">
        <v>74</v>
      </c>
      <c r="BD146" t="s">
        <v>74</v>
      </c>
      <c r="BE146" t="s">
        <v>2708</v>
      </c>
      <c r="BF146" t="str">
        <f>HYPERLINK("http://dx.doi.org/10.1080/26410397.2023.2184291","http://dx.doi.org/10.1080/26410397.2023.2184291")</f>
        <v>http://dx.doi.org/10.1080/26410397.2023.2184291</v>
      </c>
      <c r="BG146" t="s">
        <v>74</v>
      </c>
      <c r="BH146" t="s">
        <v>74</v>
      </c>
      <c r="BI146">
        <v>16</v>
      </c>
      <c r="BJ146" t="s">
        <v>163</v>
      </c>
      <c r="BK146" t="s">
        <v>272</v>
      </c>
      <c r="BL146" t="s">
        <v>163</v>
      </c>
      <c r="BM146" t="s">
        <v>2709</v>
      </c>
      <c r="BN146">
        <v>36988125</v>
      </c>
      <c r="BO146" t="s">
        <v>165</v>
      </c>
      <c r="BP146" t="s">
        <v>74</v>
      </c>
      <c r="BQ146" t="s">
        <v>74</v>
      </c>
      <c r="BR146" t="s">
        <v>105</v>
      </c>
      <c r="BS146" t="s">
        <v>2710</v>
      </c>
      <c r="BT146" t="str">
        <f>HYPERLINK("https%3A%2F%2Fwww.webofscience.com%2Fwos%2Fwoscc%2Ffull-record%2FWOS:000967884300001","View Full Record in Web of Science")</f>
        <v>View Full Record in Web of Science</v>
      </c>
    </row>
    <row r="147" spans="1:72" x14ac:dyDescent="0.15">
      <c r="A147" t="s">
        <v>72</v>
      </c>
      <c r="B147" t="s">
        <v>2711</v>
      </c>
      <c r="C147" t="s">
        <v>74</v>
      </c>
      <c r="D147" t="s">
        <v>74</v>
      </c>
      <c r="E147" t="s">
        <v>74</v>
      </c>
      <c r="F147" t="s">
        <v>2712</v>
      </c>
      <c r="G147" t="s">
        <v>74</v>
      </c>
      <c r="H147" t="s">
        <v>74</v>
      </c>
      <c r="I147" t="s">
        <v>2713</v>
      </c>
      <c r="J147" t="s">
        <v>2714</v>
      </c>
      <c r="K147" t="s">
        <v>74</v>
      </c>
      <c r="L147" t="s">
        <v>74</v>
      </c>
      <c r="M147" t="s">
        <v>78</v>
      </c>
      <c r="N147" t="s">
        <v>171</v>
      </c>
      <c r="O147" t="s">
        <v>74</v>
      </c>
      <c r="P147" t="s">
        <v>74</v>
      </c>
      <c r="Q147" t="s">
        <v>74</v>
      </c>
      <c r="R147" t="s">
        <v>74</v>
      </c>
      <c r="S147" t="s">
        <v>74</v>
      </c>
      <c r="T147" t="s">
        <v>2715</v>
      </c>
      <c r="U147" t="s">
        <v>2716</v>
      </c>
      <c r="V147" t="s">
        <v>2717</v>
      </c>
      <c r="W147" t="s">
        <v>2718</v>
      </c>
      <c r="X147" t="s">
        <v>2719</v>
      </c>
      <c r="Y147" t="s">
        <v>2720</v>
      </c>
      <c r="Z147" t="s">
        <v>2721</v>
      </c>
      <c r="AA147" t="s">
        <v>2722</v>
      </c>
      <c r="AB147" t="s">
        <v>2723</v>
      </c>
      <c r="AC147" t="s">
        <v>2724</v>
      </c>
      <c r="AD147" t="s">
        <v>2724</v>
      </c>
      <c r="AE147" t="s">
        <v>2725</v>
      </c>
      <c r="AF147" t="s">
        <v>74</v>
      </c>
      <c r="AG147">
        <v>85</v>
      </c>
      <c r="AH147">
        <v>0</v>
      </c>
      <c r="AI147">
        <v>0</v>
      </c>
      <c r="AJ147">
        <v>24</v>
      </c>
      <c r="AK147">
        <v>25</v>
      </c>
      <c r="AL147" t="s">
        <v>184</v>
      </c>
      <c r="AM147" t="s">
        <v>185</v>
      </c>
      <c r="AN147" t="s">
        <v>186</v>
      </c>
      <c r="AO147" t="s">
        <v>2726</v>
      </c>
      <c r="AP147" t="s">
        <v>2727</v>
      </c>
      <c r="AQ147" t="s">
        <v>74</v>
      </c>
      <c r="AR147" t="s">
        <v>2728</v>
      </c>
      <c r="AS147" t="s">
        <v>2729</v>
      </c>
      <c r="AT147" t="s">
        <v>99</v>
      </c>
      <c r="AU147">
        <v>2023</v>
      </c>
      <c r="AV147">
        <v>20</v>
      </c>
      <c r="AW147">
        <v>1</v>
      </c>
      <c r="AX147" t="s">
        <v>74</v>
      </c>
      <c r="AY147" t="s">
        <v>74</v>
      </c>
      <c r="AZ147" t="s">
        <v>74</v>
      </c>
      <c r="BA147" t="s">
        <v>74</v>
      </c>
      <c r="BB147">
        <v>109</v>
      </c>
      <c r="BC147">
        <v>119</v>
      </c>
      <c r="BD147" t="s">
        <v>74</v>
      </c>
      <c r="BE147" t="s">
        <v>2730</v>
      </c>
      <c r="BF147" t="str">
        <f>HYPERLINK("http://dx.doi.org/10.1080/15476286.2023.2195731","http://dx.doi.org/10.1080/15476286.2023.2195731")</f>
        <v>http://dx.doi.org/10.1080/15476286.2023.2195731</v>
      </c>
      <c r="BG147" t="s">
        <v>74</v>
      </c>
      <c r="BH147" t="s">
        <v>74</v>
      </c>
      <c r="BI147">
        <v>11</v>
      </c>
      <c r="BJ147" t="s">
        <v>925</v>
      </c>
      <c r="BK147" t="s">
        <v>102</v>
      </c>
      <c r="BL147" t="s">
        <v>925</v>
      </c>
      <c r="BM147" t="s">
        <v>2731</v>
      </c>
      <c r="BN147">
        <v>36988190</v>
      </c>
      <c r="BO147" t="s">
        <v>165</v>
      </c>
      <c r="BP147" t="s">
        <v>74</v>
      </c>
      <c r="BQ147" t="s">
        <v>74</v>
      </c>
      <c r="BR147" t="s">
        <v>105</v>
      </c>
      <c r="BS147" t="s">
        <v>2732</v>
      </c>
      <c r="BT147" t="str">
        <f>HYPERLINK("https%3A%2F%2Fwww.webofscience.com%2Fwos%2Fwoscc%2Ffull-record%2FWOS:000960608900001","View Full Record in Web of Science")</f>
        <v>View Full Record in Web of Science</v>
      </c>
    </row>
    <row r="148" spans="1:72" x14ac:dyDescent="0.15">
      <c r="A148" t="s">
        <v>72</v>
      </c>
      <c r="B148" t="s">
        <v>2733</v>
      </c>
      <c r="C148" t="s">
        <v>74</v>
      </c>
      <c r="D148" t="s">
        <v>74</v>
      </c>
      <c r="E148" t="s">
        <v>74</v>
      </c>
      <c r="F148" t="s">
        <v>2734</v>
      </c>
      <c r="G148" t="s">
        <v>74</v>
      </c>
      <c r="H148" t="s">
        <v>74</v>
      </c>
      <c r="I148" t="s">
        <v>2735</v>
      </c>
      <c r="J148" t="s">
        <v>170</v>
      </c>
      <c r="K148" t="s">
        <v>74</v>
      </c>
      <c r="L148" t="s">
        <v>74</v>
      </c>
      <c r="M148" t="s">
        <v>78</v>
      </c>
      <c r="N148" t="s">
        <v>79</v>
      </c>
      <c r="O148" t="s">
        <v>74</v>
      </c>
      <c r="P148" t="s">
        <v>74</v>
      </c>
      <c r="Q148" t="s">
        <v>74</v>
      </c>
      <c r="R148" t="s">
        <v>74</v>
      </c>
      <c r="S148" t="s">
        <v>74</v>
      </c>
      <c r="T148" t="s">
        <v>2736</v>
      </c>
      <c r="U148" t="s">
        <v>2737</v>
      </c>
      <c r="V148" t="s">
        <v>2738</v>
      </c>
      <c r="W148" t="s">
        <v>2739</v>
      </c>
      <c r="X148" t="s">
        <v>2740</v>
      </c>
      <c r="Y148" t="s">
        <v>2741</v>
      </c>
      <c r="Z148" t="s">
        <v>2742</v>
      </c>
      <c r="AA148" t="s">
        <v>2743</v>
      </c>
      <c r="AB148" t="s">
        <v>2744</v>
      </c>
      <c r="AC148" t="s">
        <v>2745</v>
      </c>
      <c r="AD148" t="s">
        <v>2745</v>
      </c>
      <c r="AE148" t="s">
        <v>2745</v>
      </c>
      <c r="AF148" t="s">
        <v>74</v>
      </c>
      <c r="AG148">
        <v>168</v>
      </c>
      <c r="AH148">
        <v>0</v>
      </c>
      <c r="AI148">
        <v>0</v>
      </c>
      <c r="AJ148">
        <v>4</v>
      </c>
      <c r="AK148">
        <v>4</v>
      </c>
      <c r="AL148" t="s">
        <v>184</v>
      </c>
      <c r="AM148" t="s">
        <v>185</v>
      </c>
      <c r="AN148" t="s">
        <v>186</v>
      </c>
      <c r="AO148" t="s">
        <v>187</v>
      </c>
      <c r="AP148" t="s">
        <v>188</v>
      </c>
      <c r="AQ148" t="s">
        <v>74</v>
      </c>
      <c r="AR148" t="s">
        <v>189</v>
      </c>
      <c r="AS148" t="s">
        <v>190</v>
      </c>
      <c r="AT148" t="s">
        <v>99</v>
      </c>
      <c r="AU148">
        <v>2023</v>
      </c>
      <c r="AV148">
        <v>26</v>
      </c>
      <c r="AW148">
        <v>1</v>
      </c>
      <c r="AX148" t="s">
        <v>74</v>
      </c>
      <c r="AY148" t="s">
        <v>74</v>
      </c>
      <c r="AZ148" t="s">
        <v>74</v>
      </c>
      <c r="BA148" t="s">
        <v>74</v>
      </c>
      <c r="BB148">
        <v>2509</v>
      </c>
      <c r="BC148">
        <v>2531</v>
      </c>
      <c r="BD148" t="s">
        <v>74</v>
      </c>
      <c r="BE148" t="s">
        <v>2746</v>
      </c>
      <c r="BF148" t="str">
        <f>HYPERLINK("http://dx.doi.org/10.1080/10942912.2023.2249262","http://dx.doi.org/10.1080/10942912.2023.2249262")</f>
        <v>http://dx.doi.org/10.1080/10942912.2023.2249262</v>
      </c>
      <c r="BG148" t="s">
        <v>74</v>
      </c>
      <c r="BH148" t="s">
        <v>74</v>
      </c>
      <c r="BI148">
        <v>23</v>
      </c>
      <c r="BJ148" t="s">
        <v>192</v>
      </c>
      <c r="BK148" t="s">
        <v>102</v>
      </c>
      <c r="BL148" t="s">
        <v>192</v>
      </c>
      <c r="BM148" t="s">
        <v>2747</v>
      </c>
      <c r="BN148" t="s">
        <v>74</v>
      </c>
      <c r="BO148" t="s">
        <v>126</v>
      </c>
      <c r="BP148" t="s">
        <v>74</v>
      </c>
      <c r="BQ148" t="s">
        <v>74</v>
      </c>
      <c r="BR148" t="s">
        <v>105</v>
      </c>
      <c r="BS148" t="s">
        <v>2748</v>
      </c>
      <c r="BT148" t="str">
        <f>HYPERLINK("https%3A%2F%2Fwww.webofscience.com%2Fwos%2Fwoscc%2Ffull-record%2FWOS:001054746400001","View Full Record in Web of Science")</f>
        <v>View Full Record in Web of Science</v>
      </c>
    </row>
    <row r="149" spans="1:72" x14ac:dyDescent="0.15">
      <c r="A149" t="s">
        <v>72</v>
      </c>
      <c r="B149" t="s">
        <v>2749</v>
      </c>
      <c r="C149" t="s">
        <v>74</v>
      </c>
      <c r="D149" t="s">
        <v>74</v>
      </c>
      <c r="E149" t="s">
        <v>74</v>
      </c>
      <c r="F149" t="s">
        <v>2750</v>
      </c>
      <c r="G149" t="s">
        <v>74</v>
      </c>
      <c r="H149" t="s">
        <v>74</v>
      </c>
      <c r="I149" t="s">
        <v>2751</v>
      </c>
      <c r="J149" t="s">
        <v>1078</v>
      </c>
      <c r="K149" t="s">
        <v>74</v>
      </c>
      <c r="L149" t="s">
        <v>74</v>
      </c>
      <c r="M149" t="s">
        <v>78</v>
      </c>
      <c r="N149" t="s">
        <v>79</v>
      </c>
      <c r="O149" t="s">
        <v>74</v>
      </c>
      <c r="P149" t="s">
        <v>74</v>
      </c>
      <c r="Q149" t="s">
        <v>74</v>
      </c>
      <c r="R149" t="s">
        <v>74</v>
      </c>
      <c r="S149" t="s">
        <v>74</v>
      </c>
      <c r="T149" t="s">
        <v>2752</v>
      </c>
      <c r="U149" t="s">
        <v>2753</v>
      </c>
      <c r="V149" t="s">
        <v>2754</v>
      </c>
      <c r="W149" t="s">
        <v>2755</v>
      </c>
      <c r="X149" t="s">
        <v>74</v>
      </c>
      <c r="Y149" t="s">
        <v>2756</v>
      </c>
      <c r="Z149" t="s">
        <v>2757</v>
      </c>
      <c r="AA149" t="s">
        <v>74</v>
      </c>
      <c r="AB149" t="s">
        <v>74</v>
      </c>
      <c r="AC149" t="s">
        <v>74</v>
      </c>
      <c r="AD149" t="s">
        <v>74</v>
      </c>
      <c r="AE149" t="s">
        <v>74</v>
      </c>
      <c r="AF149" t="s">
        <v>74</v>
      </c>
      <c r="AG149">
        <v>28</v>
      </c>
      <c r="AH149">
        <v>0</v>
      </c>
      <c r="AI149">
        <v>0</v>
      </c>
      <c r="AJ149">
        <v>1</v>
      </c>
      <c r="AK149">
        <v>1</v>
      </c>
      <c r="AL149" t="s">
        <v>287</v>
      </c>
      <c r="AM149" t="s">
        <v>288</v>
      </c>
      <c r="AN149" t="s">
        <v>289</v>
      </c>
      <c r="AO149" t="s">
        <v>1090</v>
      </c>
      <c r="AP149" t="s">
        <v>74</v>
      </c>
      <c r="AQ149" t="s">
        <v>74</v>
      </c>
      <c r="AR149" t="s">
        <v>1091</v>
      </c>
      <c r="AS149" t="s">
        <v>1092</v>
      </c>
      <c r="AT149" t="s">
        <v>99</v>
      </c>
      <c r="AU149">
        <v>2023</v>
      </c>
      <c r="AV149">
        <v>10</v>
      </c>
      <c r="AW149">
        <v>1</v>
      </c>
      <c r="AX149" t="s">
        <v>74</v>
      </c>
      <c r="AY149" t="s">
        <v>74</v>
      </c>
      <c r="AZ149" t="s">
        <v>74</v>
      </c>
      <c r="BA149" t="s">
        <v>74</v>
      </c>
      <c r="BB149" t="s">
        <v>74</v>
      </c>
      <c r="BC149" t="s">
        <v>74</v>
      </c>
      <c r="BD149">
        <v>2191375</v>
      </c>
      <c r="BE149" t="s">
        <v>2758</v>
      </c>
      <c r="BF149" t="str">
        <f>HYPERLINK("http://dx.doi.org/10.1080/23311916.2023.2191375","http://dx.doi.org/10.1080/23311916.2023.2191375")</f>
        <v>http://dx.doi.org/10.1080/23311916.2023.2191375</v>
      </c>
      <c r="BG149" t="s">
        <v>74</v>
      </c>
      <c r="BH149" t="s">
        <v>74</v>
      </c>
      <c r="BI149">
        <v>10</v>
      </c>
      <c r="BJ149" t="s">
        <v>1094</v>
      </c>
      <c r="BK149" t="s">
        <v>211</v>
      </c>
      <c r="BL149" t="s">
        <v>1095</v>
      </c>
      <c r="BM149" t="s">
        <v>2759</v>
      </c>
      <c r="BN149" t="s">
        <v>74</v>
      </c>
      <c r="BO149" t="s">
        <v>126</v>
      </c>
      <c r="BP149" t="s">
        <v>74</v>
      </c>
      <c r="BQ149" t="s">
        <v>74</v>
      </c>
      <c r="BR149" t="s">
        <v>105</v>
      </c>
      <c r="BS149" t="s">
        <v>2760</v>
      </c>
      <c r="BT149" t="str">
        <f>HYPERLINK("https%3A%2F%2Fwww.webofscience.com%2Fwos%2Fwoscc%2Ffull-record%2FWOS:000979154300001","View Full Record in Web of Science")</f>
        <v>View Full Record in Web of Science</v>
      </c>
    </row>
    <row r="150" spans="1:72" x14ac:dyDescent="0.15">
      <c r="A150" t="s">
        <v>72</v>
      </c>
      <c r="B150" t="s">
        <v>2761</v>
      </c>
      <c r="C150" t="s">
        <v>74</v>
      </c>
      <c r="D150" t="s">
        <v>74</v>
      </c>
      <c r="E150" t="s">
        <v>74</v>
      </c>
      <c r="F150" t="s">
        <v>2762</v>
      </c>
      <c r="G150" t="s">
        <v>74</v>
      </c>
      <c r="H150" t="s">
        <v>74</v>
      </c>
      <c r="I150" t="s">
        <v>2763</v>
      </c>
      <c r="J150" t="s">
        <v>1055</v>
      </c>
      <c r="K150" t="s">
        <v>74</v>
      </c>
      <c r="L150" t="s">
        <v>74</v>
      </c>
      <c r="M150" t="s">
        <v>78</v>
      </c>
      <c r="N150" t="s">
        <v>79</v>
      </c>
      <c r="O150" t="s">
        <v>74</v>
      </c>
      <c r="P150" t="s">
        <v>74</v>
      </c>
      <c r="Q150" t="s">
        <v>74</v>
      </c>
      <c r="R150" t="s">
        <v>74</v>
      </c>
      <c r="S150" t="s">
        <v>74</v>
      </c>
      <c r="T150" t="s">
        <v>2764</v>
      </c>
      <c r="U150" t="s">
        <v>2765</v>
      </c>
      <c r="V150" t="s">
        <v>2766</v>
      </c>
      <c r="W150" t="s">
        <v>2767</v>
      </c>
      <c r="X150" t="s">
        <v>2768</v>
      </c>
      <c r="Y150" t="s">
        <v>2769</v>
      </c>
      <c r="Z150" t="s">
        <v>2770</v>
      </c>
      <c r="AA150" t="s">
        <v>2771</v>
      </c>
      <c r="AB150" t="s">
        <v>2772</v>
      </c>
      <c r="AC150" t="s">
        <v>2773</v>
      </c>
      <c r="AD150" t="s">
        <v>2774</v>
      </c>
      <c r="AE150" t="s">
        <v>2775</v>
      </c>
      <c r="AF150" t="s">
        <v>74</v>
      </c>
      <c r="AG150">
        <v>36</v>
      </c>
      <c r="AH150">
        <v>0</v>
      </c>
      <c r="AI150">
        <v>0</v>
      </c>
      <c r="AJ150">
        <v>8</v>
      </c>
      <c r="AK150">
        <v>8</v>
      </c>
      <c r="AL150" t="s">
        <v>92</v>
      </c>
      <c r="AM150" t="s">
        <v>93</v>
      </c>
      <c r="AN150" t="s">
        <v>94</v>
      </c>
      <c r="AO150" t="s">
        <v>1066</v>
      </c>
      <c r="AP150" t="s">
        <v>1067</v>
      </c>
      <c r="AQ150" t="s">
        <v>74</v>
      </c>
      <c r="AR150" t="s">
        <v>1068</v>
      </c>
      <c r="AS150" t="s">
        <v>1069</v>
      </c>
      <c r="AT150" t="s">
        <v>99</v>
      </c>
      <c r="AU150">
        <v>2023</v>
      </c>
      <c r="AV150">
        <v>22</v>
      </c>
      <c r="AW150">
        <v>1</v>
      </c>
      <c r="AX150" t="s">
        <v>74</v>
      </c>
      <c r="AY150" t="s">
        <v>74</v>
      </c>
      <c r="AZ150" t="s">
        <v>74</v>
      </c>
      <c r="BA150" t="s">
        <v>74</v>
      </c>
      <c r="BB150">
        <v>560</v>
      </c>
      <c r="BC150">
        <v>567</v>
      </c>
      <c r="BD150" t="s">
        <v>74</v>
      </c>
      <c r="BE150" t="s">
        <v>2776</v>
      </c>
      <c r="BF150" t="str">
        <f>HYPERLINK("http://dx.doi.org/10.1080/1828051X.2023.2214168","http://dx.doi.org/10.1080/1828051X.2023.2214168")</f>
        <v>http://dx.doi.org/10.1080/1828051X.2023.2214168</v>
      </c>
      <c r="BG150" t="s">
        <v>74</v>
      </c>
      <c r="BH150" t="s">
        <v>74</v>
      </c>
      <c r="BI150">
        <v>8</v>
      </c>
      <c r="BJ150" t="s">
        <v>1071</v>
      </c>
      <c r="BK150" t="s">
        <v>102</v>
      </c>
      <c r="BL150" t="s">
        <v>1072</v>
      </c>
      <c r="BM150" t="s">
        <v>2777</v>
      </c>
      <c r="BN150" t="s">
        <v>74</v>
      </c>
      <c r="BO150" t="s">
        <v>126</v>
      </c>
      <c r="BP150" t="s">
        <v>74</v>
      </c>
      <c r="BQ150" t="s">
        <v>74</v>
      </c>
      <c r="BR150" t="s">
        <v>105</v>
      </c>
      <c r="BS150" t="s">
        <v>2778</v>
      </c>
      <c r="BT150" t="str">
        <f>HYPERLINK("https%3A%2F%2Fwww.webofscience.com%2Fwos%2Fwoscc%2Ffull-record%2FWOS:001000626900001","View Full Record in Web of Science")</f>
        <v>View Full Record in Web of Science</v>
      </c>
    </row>
    <row r="151" spans="1:72" x14ac:dyDescent="0.15">
      <c r="A151" t="s">
        <v>72</v>
      </c>
      <c r="B151" t="s">
        <v>2779</v>
      </c>
      <c r="C151" t="s">
        <v>74</v>
      </c>
      <c r="D151" t="s">
        <v>74</v>
      </c>
      <c r="E151" t="s">
        <v>74</v>
      </c>
      <c r="F151" t="s">
        <v>2780</v>
      </c>
      <c r="G151" t="s">
        <v>74</v>
      </c>
      <c r="H151" t="s">
        <v>74</v>
      </c>
      <c r="I151" t="s">
        <v>2781</v>
      </c>
      <c r="J151" t="s">
        <v>2782</v>
      </c>
      <c r="K151" t="s">
        <v>74</v>
      </c>
      <c r="L151" t="s">
        <v>74</v>
      </c>
      <c r="M151" t="s">
        <v>78</v>
      </c>
      <c r="N151" t="s">
        <v>79</v>
      </c>
      <c r="O151" t="s">
        <v>74</v>
      </c>
      <c r="P151" t="s">
        <v>74</v>
      </c>
      <c r="Q151" t="s">
        <v>74</v>
      </c>
      <c r="R151" t="s">
        <v>74</v>
      </c>
      <c r="S151" t="s">
        <v>74</v>
      </c>
      <c r="T151" t="s">
        <v>2783</v>
      </c>
      <c r="U151" t="s">
        <v>2784</v>
      </c>
      <c r="V151" t="s">
        <v>2785</v>
      </c>
      <c r="W151" t="s">
        <v>2786</v>
      </c>
      <c r="X151" t="s">
        <v>2787</v>
      </c>
      <c r="Y151" t="s">
        <v>2788</v>
      </c>
      <c r="Z151" t="s">
        <v>2789</v>
      </c>
      <c r="AA151" t="s">
        <v>2790</v>
      </c>
      <c r="AB151" t="s">
        <v>2791</v>
      </c>
      <c r="AC151" t="s">
        <v>74</v>
      </c>
      <c r="AD151" t="s">
        <v>74</v>
      </c>
      <c r="AE151" t="s">
        <v>74</v>
      </c>
      <c r="AF151" t="s">
        <v>74</v>
      </c>
      <c r="AG151">
        <v>73</v>
      </c>
      <c r="AH151">
        <v>0</v>
      </c>
      <c r="AI151">
        <v>0</v>
      </c>
      <c r="AJ151">
        <v>1</v>
      </c>
      <c r="AK151">
        <v>4</v>
      </c>
      <c r="AL151" t="s">
        <v>92</v>
      </c>
      <c r="AM151" t="s">
        <v>93</v>
      </c>
      <c r="AN151" t="s">
        <v>94</v>
      </c>
      <c r="AO151" t="s">
        <v>2792</v>
      </c>
      <c r="AP151" t="s">
        <v>74</v>
      </c>
      <c r="AQ151" t="s">
        <v>74</v>
      </c>
      <c r="AR151" t="s">
        <v>2793</v>
      </c>
      <c r="AS151" t="s">
        <v>2794</v>
      </c>
      <c r="AT151" t="s">
        <v>99</v>
      </c>
      <c r="AU151">
        <v>2023</v>
      </c>
      <c r="AV151">
        <v>7</v>
      </c>
      <c r="AW151">
        <v>1</v>
      </c>
      <c r="AX151" t="s">
        <v>74</v>
      </c>
      <c r="AY151" t="s">
        <v>74</v>
      </c>
      <c r="AZ151" t="s">
        <v>74</v>
      </c>
      <c r="BA151" t="s">
        <v>74</v>
      </c>
      <c r="BB151" t="s">
        <v>74</v>
      </c>
      <c r="BC151" t="s">
        <v>74</v>
      </c>
      <c r="BD151">
        <v>2145940</v>
      </c>
      <c r="BE151" t="s">
        <v>2795</v>
      </c>
      <c r="BF151" t="str">
        <f>HYPERLINK("http://dx.doi.org/10.1080/24740527.2022.2145940","http://dx.doi.org/10.1080/24740527.2022.2145940")</f>
        <v>http://dx.doi.org/10.1080/24740527.2022.2145940</v>
      </c>
      <c r="BG151" t="s">
        <v>74</v>
      </c>
      <c r="BH151" t="s">
        <v>74</v>
      </c>
      <c r="BI151">
        <v>27</v>
      </c>
      <c r="BJ151" t="s">
        <v>2796</v>
      </c>
      <c r="BK151" t="s">
        <v>211</v>
      </c>
      <c r="BL151" t="s">
        <v>2797</v>
      </c>
      <c r="BM151" t="s">
        <v>2798</v>
      </c>
      <c r="BN151">
        <v>36874231</v>
      </c>
      <c r="BO151" t="s">
        <v>104</v>
      </c>
      <c r="BP151" t="s">
        <v>74</v>
      </c>
      <c r="BQ151" t="s">
        <v>74</v>
      </c>
      <c r="BR151" t="s">
        <v>105</v>
      </c>
      <c r="BS151" t="s">
        <v>2799</v>
      </c>
      <c r="BT151" t="str">
        <f>HYPERLINK("https%3A%2F%2Fwww.webofscience.com%2Fwos%2Fwoscc%2Ffull-record%2FWOS:000936832900001","View Full Record in Web of Science")</f>
        <v>View Full Record in Web of Science</v>
      </c>
    </row>
    <row r="152" spans="1:72" x14ac:dyDescent="0.15">
      <c r="A152" t="s">
        <v>72</v>
      </c>
      <c r="B152" t="s">
        <v>2800</v>
      </c>
      <c r="C152" t="s">
        <v>74</v>
      </c>
      <c r="D152" t="s">
        <v>74</v>
      </c>
      <c r="E152" t="s">
        <v>74</v>
      </c>
      <c r="F152" t="s">
        <v>2801</v>
      </c>
      <c r="G152" t="s">
        <v>74</v>
      </c>
      <c r="H152" t="s">
        <v>74</v>
      </c>
      <c r="I152" t="s">
        <v>2802</v>
      </c>
      <c r="J152" t="s">
        <v>2803</v>
      </c>
      <c r="K152" t="s">
        <v>74</v>
      </c>
      <c r="L152" t="s">
        <v>74</v>
      </c>
      <c r="M152" t="s">
        <v>78</v>
      </c>
      <c r="N152" t="s">
        <v>79</v>
      </c>
      <c r="O152" t="s">
        <v>74</v>
      </c>
      <c r="P152" t="s">
        <v>74</v>
      </c>
      <c r="Q152" t="s">
        <v>74</v>
      </c>
      <c r="R152" t="s">
        <v>74</v>
      </c>
      <c r="S152" t="s">
        <v>74</v>
      </c>
      <c r="T152" t="s">
        <v>2804</v>
      </c>
      <c r="U152" t="s">
        <v>2805</v>
      </c>
      <c r="V152" t="s">
        <v>2806</v>
      </c>
      <c r="W152" t="s">
        <v>2807</v>
      </c>
      <c r="X152" t="s">
        <v>2808</v>
      </c>
      <c r="Y152" t="s">
        <v>2809</v>
      </c>
      <c r="Z152" t="s">
        <v>2810</v>
      </c>
      <c r="AA152" t="s">
        <v>2811</v>
      </c>
      <c r="AB152" t="s">
        <v>74</v>
      </c>
      <c r="AC152" t="s">
        <v>2812</v>
      </c>
      <c r="AD152" t="s">
        <v>2813</v>
      </c>
      <c r="AE152" t="s">
        <v>2814</v>
      </c>
      <c r="AF152" t="s">
        <v>74</v>
      </c>
      <c r="AG152">
        <v>46</v>
      </c>
      <c r="AH152">
        <v>0</v>
      </c>
      <c r="AI152">
        <v>0</v>
      </c>
      <c r="AJ152">
        <v>5</v>
      </c>
      <c r="AK152">
        <v>5</v>
      </c>
      <c r="AL152" t="s">
        <v>92</v>
      </c>
      <c r="AM152" t="s">
        <v>93</v>
      </c>
      <c r="AN152" t="s">
        <v>94</v>
      </c>
      <c r="AO152" t="s">
        <v>2815</v>
      </c>
      <c r="AP152" t="s">
        <v>2816</v>
      </c>
      <c r="AQ152" t="s">
        <v>74</v>
      </c>
      <c r="AR152" t="s">
        <v>2817</v>
      </c>
      <c r="AS152" t="s">
        <v>2818</v>
      </c>
      <c r="AT152" t="s">
        <v>99</v>
      </c>
      <c r="AU152">
        <v>2023</v>
      </c>
      <c r="AV152">
        <v>28</v>
      </c>
      <c r="AW152">
        <v>1</v>
      </c>
      <c r="AX152" t="s">
        <v>74</v>
      </c>
      <c r="AY152" t="s">
        <v>74</v>
      </c>
      <c r="AZ152" t="s">
        <v>74</v>
      </c>
      <c r="BA152" t="s">
        <v>74</v>
      </c>
      <c r="BB152" t="s">
        <v>74</v>
      </c>
      <c r="BC152" t="s">
        <v>74</v>
      </c>
      <c r="BD152">
        <v>2224607</v>
      </c>
      <c r="BE152" t="s">
        <v>2819</v>
      </c>
      <c r="BF152" t="str">
        <f>HYPERLINK("http://dx.doi.org/10.1080/13510002.2023.2224607","http://dx.doi.org/10.1080/13510002.2023.2224607")</f>
        <v>http://dx.doi.org/10.1080/13510002.2023.2224607</v>
      </c>
      <c r="BG152" t="s">
        <v>74</v>
      </c>
      <c r="BH152" t="s">
        <v>74</v>
      </c>
      <c r="BI152">
        <v>14</v>
      </c>
      <c r="BJ152" t="s">
        <v>925</v>
      </c>
      <c r="BK152" t="s">
        <v>102</v>
      </c>
      <c r="BL152" t="s">
        <v>925</v>
      </c>
      <c r="BM152" t="s">
        <v>2820</v>
      </c>
      <c r="BN152">
        <v>37338021</v>
      </c>
      <c r="BO152" t="s">
        <v>165</v>
      </c>
      <c r="BP152" t="s">
        <v>74</v>
      </c>
      <c r="BQ152" t="s">
        <v>74</v>
      </c>
      <c r="BR152" t="s">
        <v>105</v>
      </c>
      <c r="BS152" t="s">
        <v>2821</v>
      </c>
      <c r="BT152" t="str">
        <f>HYPERLINK("https%3A%2F%2Fwww.webofscience.com%2Fwos%2Fwoscc%2Ffull-record%2FWOS:001010201800001","View Full Record in Web of Science")</f>
        <v>View Full Record in Web of Science</v>
      </c>
    </row>
    <row r="153" spans="1:72" x14ac:dyDescent="0.15">
      <c r="A153" t="s">
        <v>72</v>
      </c>
      <c r="B153" t="s">
        <v>2822</v>
      </c>
      <c r="C153" t="s">
        <v>74</v>
      </c>
      <c r="D153" t="s">
        <v>74</v>
      </c>
      <c r="E153" t="s">
        <v>74</v>
      </c>
      <c r="F153" t="s">
        <v>2823</v>
      </c>
      <c r="G153" t="s">
        <v>74</v>
      </c>
      <c r="H153" t="s">
        <v>74</v>
      </c>
      <c r="I153" t="s">
        <v>2824</v>
      </c>
      <c r="J153" t="s">
        <v>2825</v>
      </c>
      <c r="K153" t="s">
        <v>74</v>
      </c>
      <c r="L153" t="s">
        <v>74</v>
      </c>
      <c r="M153" t="s">
        <v>78</v>
      </c>
      <c r="N153" t="s">
        <v>79</v>
      </c>
      <c r="O153" t="s">
        <v>74</v>
      </c>
      <c r="P153" t="s">
        <v>74</v>
      </c>
      <c r="Q153" t="s">
        <v>74</v>
      </c>
      <c r="R153" t="s">
        <v>74</v>
      </c>
      <c r="S153" t="s">
        <v>74</v>
      </c>
      <c r="T153" t="s">
        <v>2826</v>
      </c>
      <c r="U153" t="s">
        <v>2827</v>
      </c>
      <c r="V153" t="s">
        <v>2828</v>
      </c>
      <c r="W153" t="s">
        <v>2829</v>
      </c>
      <c r="X153" t="s">
        <v>2830</v>
      </c>
      <c r="Y153" t="s">
        <v>2831</v>
      </c>
      <c r="Z153" t="s">
        <v>2832</v>
      </c>
      <c r="AA153" t="s">
        <v>2833</v>
      </c>
      <c r="AB153" t="s">
        <v>2834</v>
      </c>
      <c r="AC153" t="s">
        <v>74</v>
      </c>
      <c r="AD153" t="s">
        <v>74</v>
      </c>
      <c r="AE153" t="s">
        <v>74</v>
      </c>
      <c r="AF153" t="s">
        <v>74</v>
      </c>
      <c r="AG153">
        <v>26</v>
      </c>
      <c r="AH153">
        <v>0</v>
      </c>
      <c r="AI153">
        <v>0</v>
      </c>
      <c r="AJ153">
        <v>3</v>
      </c>
      <c r="AK153">
        <v>3</v>
      </c>
      <c r="AL153" t="s">
        <v>92</v>
      </c>
      <c r="AM153" t="s">
        <v>93</v>
      </c>
      <c r="AN153" t="s">
        <v>94</v>
      </c>
      <c r="AO153" t="s">
        <v>2835</v>
      </c>
      <c r="AP153" t="s">
        <v>2836</v>
      </c>
      <c r="AQ153" t="s">
        <v>74</v>
      </c>
      <c r="AR153" t="s">
        <v>2837</v>
      </c>
      <c r="AS153" t="s">
        <v>2838</v>
      </c>
      <c r="AT153" t="s">
        <v>99</v>
      </c>
      <c r="AU153">
        <v>2023</v>
      </c>
      <c r="AV153">
        <v>56</v>
      </c>
      <c r="AW153">
        <v>1</v>
      </c>
      <c r="AX153" t="s">
        <v>74</v>
      </c>
      <c r="AY153" t="s">
        <v>74</v>
      </c>
      <c r="AZ153" t="s">
        <v>74</v>
      </c>
      <c r="BA153" t="s">
        <v>74</v>
      </c>
      <c r="BB153" t="s">
        <v>74</v>
      </c>
      <c r="BC153" t="s">
        <v>74</v>
      </c>
      <c r="BD153">
        <v>2201309</v>
      </c>
      <c r="BE153" t="s">
        <v>2839</v>
      </c>
      <c r="BF153" t="str">
        <f>HYPERLINK("http://dx.doi.org/10.1080/00219592.2023.2201309","http://dx.doi.org/10.1080/00219592.2023.2201309")</f>
        <v>http://dx.doi.org/10.1080/00219592.2023.2201309</v>
      </c>
      <c r="BG153" t="s">
        <v>74</v>
      </c>
      <c r="BH153" t="s">
        <v>74</v>
      </c>
      <c r="BI153">
        <v>6</v>
      </c>
      <c r="BJ153" t="s">
        <v>2840</v>
      </c>
      <c r="BK153" t="s">
        <v>102</v>
      </c>
      <c r="BL153" t="s">
        <v>1095</v>
      </c>
      <c r="BM153" t="s">
        <v>2841</v>
      </c>
      <c r="BN153" t="s">
        <v>74</v>
      </c>
      <c r="BO153" t="s">
        <v>126</v>
      </c>
      <c r="BP153" t="s">
        <v>74</v>
      </c>
      <c r="BQ153" t="s">
        <v>74</v>
      </c>
      <c r="BR153" t="s">
        <v>105</v>
      </c>
      <c r="BS153" t="s">
        <v>2842</v>
      </c>
      <c r="BT153" t="str">
        <f>HYPERLINK("https%3A%2F%2Fwww.webofscience.com%2Fwos%2Fwoscc%2Ffull-record%2FWOS:000984900600001","View Full Record in Web of Science")</f>
        <v>View Full Record in Web of Science</v>
      </c>
    </row>
    <row r="154" spans="1:72" x14ac:dyDescent="0.15">
      <c r="A154" t="s">
        <v>72</v>
      </c>
      <c r="B154" t="s">
        <v>2843</v>
      </c>
      <c r="C154" t="s">
        <v>74</v>
      </c>
      <c r="D154" t="s">
        <v>74</v>
      </c>
      <c r="E154" t="s">
        <v>74</v>
      </c>
      <c r="F154" t="s">
        <v>2844</v>
      </c>
      <c r="G154" t="s">
        <v>74</v>
      </c>
      <c r="H154" t="s">
        <v>74</v>
      </c>
      <c r="I154" t="s">
        <v>2845</v>
      </c>
      <c r="J154" t="s">
        <v>151</v>
      </c>
      <c r="K154" t="s">
        <v>74</v>
      </c>
      <c r="L154" t="s">
        <v>74</v>
      </c>
      <c r="M154" t="s">
        <v>78</v>
      </c>
      <c r="N154" t="s">
        <v>79</v>
      </c>
      <c r="O154" t="s">
        <v>74</v>
      </c>
      <c r="P154" t="s">
        <v>74</v>
      </c>
      <c r="Q154" t="s">
        <v>74</v>
      </c>
      <c r="R154" t="s">
        <v>74</v>
      </c>
      <c r="S154" t="s">
        <v>74</v>
      </c>
      <c r="T154" t="s">
        <v>2846</v>
      </c>
      <c r="U154" t="s">
        <v>2847</v>
      </c>
      <c r="V154" t="s">
        <v>2848</v>
      </c>
      <c r="W154" t="s">
        <v>2849</v>
      </c>
      <c r="X154" t="s">
        <v>2850</v>
      </c>
      <c r="Y154" t="s">
        <v>2851</v>
      </c>
      <c r="Z154" t="s">
        <v>2852</v>
      </c>
      <c r="AA154" t="s">
        <v>74</v>
      </c>
      <c r="AB154" t="s">
        <v>2853</v>
      </c>
      <c r="AC154" t="s">
        <v>2854</v>
      </c>
      <c r="AD154" t="s">
        <v>2854</v>
      </c>
      <c r="AE154" t="s">
        <v>2855</v>
      </c>
      <c r="AF154" t="s">
        <v>74</v>
      </c>
      <c r="AG154">
        <v>40</v>
      </c>
      <c r="AH154">
        <v>0</v>
      </c>
      <c r="AI154">
        <v>0</v>
      </c>
      <c r="AJ154">
        <v>1</v>
      </c>
      <c r="AK154">
        <v>5</v>
      </c>
      <c r="AL154" t="s">
        <v>92</v>
      </c>
      <c r="AM154" t="s">
        <v>93</v>
      </c>
      <c r="AN154" t="s">
        <v>94</v>
      </c>
      <c r="AO154" t="s">
        <v>74</v>
      </c>
      <c r="AP154" t="s">
        <v>160</v>
      </c>
      <c r="AQ154" t="s">
        <v>74</v>
      </c>
      <c r="AR154" t="s">
        <v>151</v>
      </c>
      <c r="AS154" t="s">
        <v>161</v>
      </c>
      <c r="AT154" t="s">
        <v>99</v>
      </c>
      <c r="AU154">
        <v>2023</v>
      </c>
      <c r="AV154">
        <v>16</v>
      </c>
      <c r="AW154">
        <v>1</v>
      </c>
      <c r="AX154" t="s">
        <v>74</v>
      </c>
      <c r="AY154" t="s">
        <v>74</v>
      </c>
      <c r="AZ154" t="s">
        <v>74</v>
      </c>
      <c r="BA154" t="s">
        <v>74</v>
      </c>
      <c r="BB154" t="s">
        <v>74</v>
      </c>
      <c r="BC154" t="s">
        <v>74</v>
      </c>
      <c r="BD154">
        <v>2162227</v>
      </c>
      <c r="BE154" t="s">
        <v>2856</v>
      </c>
      <c r="BF154" t="str">
        <f>HYPERLINK("http://dx.doi.org/10.1080/16549716.2022.2162227","http://dx.doi.org/10.1080/16549716.2022.2162227")</f>
        <v>http://dx.doi.org/10.1080/16549716.2022.2162227</v>
      </c>
      <c r="BG154" t="s">
        <v>74</v>
      </c>
      <c r="BH154" t="s">
        <v>74</v>
      </c>
      <c r="BI154">
        <v>8</v>
      </c>
      <c r="BJ154" t="s">
        <v>163</v>
      </c>
      <c r="BK154" t="s">
        <v>123</v>
      </c>
      <c r="BL154" t="s">
        <v>163</v>
      </c>
      <c r="BM154" t="s">
        <v>2857</v>
      </c>
      <c r="BN154">
        <v>36661274</v>
      </c>
      <c r="BO154" t="s">
        <v>165</v>
      </c>
      <c r="BP154" t="s">
        <v>74</v>
      </c>
      <c r="BQ154" t="s">
        <v>74</v>
      </c>
      <c r="BR154" t="s">
        <v>105</v>
      </c>
      <c r="BS154" t="s">
        <v>2858</v>
      </c>
      <c r="BT154" t="str">
        <f>HYPERLINK("https%3A%2F%2Fwww.webofscience.com%2Fwos%2Fwoscc%2Ffull-record%2FWOS:000918163000001","View Full Record in Web of Science")</f>
        <v>View Full Record in Web of Science</v>
      </c>
    </row>
    <row r="155" spans="1:72" x14ac:dyDescent="0.15">
      <c r="A155" t="s">
        <v>72</v>
      </c>
      <c r="B155" t="s">
        <v>2859</v>
      </c>
      <c r="C155" t="s">
        <v>74</v>
      </c>
      <c r="D155" t="s">
        <v>74</v>
      </c>
      <c r="E155" t="s">
        <v>74</v>
      </c>
      <c r="F155" t="s">
        <v>2860</v>
      </c>
      <c r="G155" t="s">
        <v>74</v>
      </c>
      <c r="H155" t="s">
        <v>74</v>
      </c>
      <c r="I155" t="s">
        <v>2861</v>
      </c>
      <c r="J155" t="s">
        <v>783</v>
      </c>
      <c r="K155" t="s">
        <v>74</v>
      </c>
      <c r="L155" t="s">
        <v>74</v>
      </c>
      <c r="M155" t="s">
        <v>78</v>
      </c>
      <c r="N155" t="s">
        <v>79</v>
      </c>
      <c r="O155" t="s">
        <v>74</v>
      </c>
      <c r="P155" t="s">
        <v>74</v>
      </c>
      <c r="Q155" t="s">
        <v>74</v>
      </c>
      <c r="R155" t="s">
        <v>74</v>
      </c>
      <c r="S155" t="s">
        <v>74</v>
      </c>
      <c r="T155" t="s">
        <v>2862</v>
      </c>
      <c r="U155" t="s">
        <v>2863</v>
      </c>
      <c r="V155" t="s">
        <v>2864</v>
      </c>
      <c r="W155" t="s">
        <v>2865</v>
      </c>
      <c r="X155" t="s">
        <v>2866</v>
      </c>
      <c r="Y155" t="s">
        <v>2867</v>
      </c>
      <c r="Z155" t="s">
        <v>2868</v>
      </c>
      <c r="AA155" t="s">
        <v>2869</v>
      </c>
      <c r="AB155" t="s">
        <v>2870</v>
      </c>
      <c r="AC155" t="s">
        <v>74</v>
      </c>
      <c r="AD155" t="s">
        <v>74</v>
      </c>
      <c r="AE155" t="s">
        <v>74</v>
      </c>
      <c r="AF155" t="s">
        <v>74</v>
      </c>
      <c r="AG155">
        <v>42</v>
      </c>
      <c r="AH155">
        <v>0</v>
      </c>
      <c r="AI155">
        <v>0</v>
      </c>
      <c r="AJ155">
        <v>19</v>
      </c>
      <c r="AK155">
        <v>19</v>
      </c>
      <c r="AL155" t="s">
        <v>92</v>
      </c>
      <c r="AM155" t="s">
        <v>93</v>
      </c>
      <c r="AN155" t="s">
        <v>94</v>
      </c>
      <c r="AO155" t="s">
        <v>796</v>
      </c>
      <c r="AP155" t="s">
        <v>797</v>
      </c>
      <c r="AQ155" t="s">
        <v>74</v>
      </c>
      <c r="AR155" t="s">
        <v>798</v>
      </c>
      <c r="AS155" t="s">
        <v>799</v>
      </c>
      <c r="AT155" t="s">
        <v>99</v>
      </c>
      <c r="AU155">
        <v>2023</v>
      </c>
      <c r="AV155">
        <v>51</v>
      </c>
      <c r="AW155">
        <v>1</v>
      </c>
      <c r="AX155" t="s">
        <v>74</v>
      </c>
      <c r="AY155" t="s">
        <v>74</v>
      </c>
      <c r="AZ155" t="s">
        <v>74</v>
      </c>
      <c r="BA155" t="s">
        <v>74</v>
      </c>
      <c r="BB155">
        <v>297</v>
      </c>
      <c r="BC155">
        <v>308</v>
      </c>
      <c r="BD155" t="s">
        <v>74</v>
      </c>
      <c r="BE155" t="s">
        <v>2871</v>
      </c>
      <c r="BF155" t="str">
        <f>HYPERLINK("http://dx.doi.org/10.1080/21691401.2023.2215531","http://dx.doi.org/10.1080/21691401.2023.2215531")</f>
        <v>http://dx.doi.org/10.1080/21691401.2023.2215531</v>
      </c>
      <c r="BG155" t="s">
        <v>74</v>
      </c>
      <c r="BH155" t="s">
        <v>74</v>
      </c>
      <c r="BI155">
        <v>12</v>
      </c>
      <c r="BJ155" t="s">
        <v>801</v>
      </c>
      <c r="BK155" t="s">
        <v>102</v>
      </c>
      <c r="BL155" t="s">
        <v>802</v>
      </c>
      <c r="BM155" t="s">
        <v>2872</v>
      </c>
      <c r="BN155">
        <v>37224186</v>
      </c>
      <c r="BO155" t="s">
        <v>126</v>
      </c>
      <c r="BP155" t="s">
        <v>74</v>
      </c>
      <c r="BQ155" t="s">
        <v>74</v>
      </c>
      <c r="BR155" t="s">
        <v>105</v>
      </c>
      <c r="BS155" t="s">
        <v>2873</v>
      </c>
      <c r="BT155" t="str">
        <f>HYPERLINK("https%3A%2F%2Fwww.webofscience.com%2Fwos%2Fwoscc%2Ffull-record%2FWOS:000992576300001","View Full Record in Web of Science")</f>
        <v>View Full Record in Web of Science</v>
      </c>
    </row>
    <row r="156" spans="1:72" x14ac:dyDescent="0.15">
      <c r="A156" t="s">
        <v>72</v>
      </c>
      <c r="B156" t="s">
        <v>2874</v>
      </c>
      <c r="C156" t="s">
        <v>74</v>
      </c>
      <c r="D156" t="s">
        <v>74</v>
      </c>
      <c r="E156" t="s">
        <v>74</v>
      </c>
      <c r="F156" t="s">
        <v>2875</v>
      </c>
      <c r="G156" t="s">
        <v>74</v>
      </c>
      <c r="H156" t="s">
        <v>74</v>
      </c>
      <c r="I156" t="s">
        <v>2876</v>
      </c>
      <c r="J156" t="s">
        <v>2877</v>
      </c>
      <c r="K156" t="s">
        <v>74</v>
      </c>
      <c r="L156" t="s">
        <v>74</v>
      </c>
      <c r="M156" t="s">
        <v>78</v>
      </c>
      <c r="N156" t="s">
        <v>79</v>
      </c>
      <c r="O156" t="s">
        <v>74</v>
      </c>
      <c r="P156" t="s">
        <v>74</v>
      </c>
      <c r="Q156" t="s">
        <v>74</v>
      </c>
      <c r="R156" t="s">
        <v>74</v>
      </c>
      <c r="S156" t="s">
        <v>74</v>
      </c>
      <c r="T156" t="s">
        <v>2878</v>
      </c>
      <c r="U156" t="s">
        <v>2879</v>
      </c>
      <c r="V156" t="s">
        <v>2880</v>
      </c>
      <c r="W156" t="s">
        <v>2881</v>
      </c>
      <c r="X156" t="s">
        <v>2882</v>
      </c>
      <c r="Y156" t="s">
        <v>2883</v>
      </c>
      <c r="Z156" t="s">
        <v>2884</v>
      </c>
      <c r="AA156" t="s">
        <v>2885</v>
      </c>
      <c r="AB156" t="s">
        <v>2886</v>
      </c>
      <c r="AC156" t="s">
        <v>74</v>
      </c>
      <c r="AD156" t="s">
        <v>74</v>
      </c>
      <c r="AE156" t="s">
        <v>74</v>
      </c>
      <c r="AF156" t="s">
        <v>74</v>
      </c>
      <c r="AG156">
        <v>66</v>
      </c>
      <c r="AH156">
        <v>0</v>
      </c>
      <c r="AI156">
        <v>0</v>
      </c>
      <c r="AJ156">
        <v>7</v>
      </c>
      <c r="AK156">
        <v>7</v>
      </c>
      <c r="AL156" t="s">
        <v>92</v>
      </c>
      <c r="AM156" t="s">
        <v>93</v>
      </c>
      <c r="AN156" t="s">
        <v>94</v>
      </c>
      <c r="AO156" t="s">
        <v>74</v>
      </c>
      <c r="AP156" t="s">
        <v>2887</v>
      </c>
      <c r="AQ156" t="s">
        <v>74</v>
      </c>
      <c r="AR156" t="s">
        <v>2888</v>
      </c>
      <c r="AS156" t="s">
        <v>2889</v>
      </c>
      <c r="AT156" t="s">
        <v>99</v>
      </c>
      <c r="AU156">
        <v>2023</v>
      </c>
      <c r="AV156">
        <v>11</v>
      </c>
      <c r="AW156">
        <v>1</v>
      </c>
      <c r="AX156" t="s">
        <v>74</v>
      </c>
      <c r="AY156" t="s">
        <v>74</v>
      </c>
      <c r="AZ156" t="s">
        <v>74</v>
      </c>
      <c r="BA156" t="s">
        <v>74</v>
      </c>
      <c r="BB156" t="s">
        <v>74</v>
      </c>
      <c r="BC156" t="s">
        <v>74</v>
      </c>
      <c r="BD156">
        <v>2220768</v>
      </c>
      <c r="BE156" t="s">
        <v>2890</v>
      </c>
      <c r="BF156" t="str">
        <f>HYPERLINK("http://dx.doi.org/10.1080/21693277.2023.2220768","http://dx.doi.org/10.1080/21693277.2023.2220768")</f>
        <v>http://dx.doi.org/10.1080/21693277.2023.2220768</v>
      </c>
      <c r="BG156" t="s">
        <v>74</v>
      </c>
      <c r="BH156" t="s">
        <v>74</v>
      </c>
      <c r="BI156">
        <v>28</v>
      </c>
      <c r="BJ156" t="s">
        <v>2891</v>
      </c>
      <c r="BK156" t="s">
        <v>211</v>
      </c>
      <c r="BL156" t="s">
        <v>1095</v>
      </c>
      <c r="BM156" t="s">
        <v>2892</v>
      </c>
      <c r="BN156" t="s">
        <v>74</v>
      </c>
      <c r="BO156" t="s">
        <v>165</v>
      </c>
      <c r="BP156" t="s">
        <v>74</v>
      </c>
      <c r="BQ156" t="s">
        <v>74</v>
      </c>
      <c r="BR156" t="s">
        <v>105</v>
      </c>
      <c r="BS156" t="s">
        <v>2893</v>
      </c>
      <c r="BT156" t="str">
        <f>HYPERLINK("https%3A%2F%2Fwww.webofscience.com%2Fwos%2Fwoscc%2Ffull-record%2FWOS:001003489300001","View Full Record in Web of Science")</f>
        <v>View Full Record in Web of Science</v>
      </c>
    </row>
    <row r="157" spans="1:72" x14ac:dyDescent="0.15">
      <c r="A157" t="s">
        <v>72</v>
      </c>
      <c r="B157" t="s">
        <v>2894</v>
      </c>
      <c r="C157" t="s">
        <v>74</v>
      </c>
      <c r="D157" t="s">
        <v>74</v>
      </c>
      <c r="E157" t="s">
        <v>74</v>
      </c>
      <c r="F157" t="s">
        <v>2895</v>
      </c>
      <c r="G157" t="s">
        <v>74</v>
      </c>
      <c r="H157" t="s">
        <v>74</v>
      </c>
      <c r="I157" t="s">
        <v>2896</v>
      </c>
      <c r="J157" t="s">
        <v>871</v>
      </c>
      <c r="K157" t="s">
        <v>74</v>
      </c>
      <c r="L157" t="s">
        <v>74</v>
      </c>
      <c r="M157" t="s">
        <v>78</v>
      </c>
      <c r="N157" t="s">
        <v>79</v>
      </c>
      <c r="O157" t="s">
        <v>74</v>
      </c>
      <c r="P157" t="s">
        <v>74</v>
      </c>
      <c r="Q157" t="s">
        <v>74</v>
      </c>
      <c r="R157" t="s">
        <v>74</v>
      </c>
      <c r="S157" t="s">
        <v>74</v>
      </c>
      <c r="T157" t="s">
        <v>2897</v>
      </c>
      <c r="U157" t="s">
        <v>2898</v>
      </c>
      <c r="V157" t="s">
        <v>2899</v>
      </c>
      <c r="W157" t="s">
        <v>2900</v>
      </c>
      <c r="X157" t="s">
        <v>2901</v>
      </c>
      <c r="Y157" t="s">
        <v>2902</v>
      </c>
      <c r="Z157" t="s">
        <v>2903</v>
      </c>
      <c r="AA157" t="s">
        <v>74</v>
      </c>
      <c r="AB157" t="s">
        <v>2904</v>
      </c>
      <c r="AC157" t="s">
        <v>74</v>
      </c>
      <c r="AD157" t="s">
        <v>74</v>
      </c>
      <c r="AE157" t="s">
        <v>74</v>
      </c>
      <c r="AF157" t="s">
        <v>74</v>
      </c>
      <c r="AG157">
        <v>23</v>
      </c>
      <c r="AH157">
        <v>0</v>
      </c>
      <c r="AI157">
        <v>0</v>
      </c>
      <c r="AJ157">
        <v>1</v>
      </c>
      <c r="AK157">
        <v>1</v>
      </c>
      <c r="AL157" t="s">
        <v>92</v>
      </c>
      <c r="AM157" t="s">
        <v>93</v>
      </c>
      <c r="AN157" t="s">
        <v>94</v>
      </c>
      <c r="AO157" t="s">
        <v>880</v>
      </c>
      <c r="AP157" t="s">
        <v>881</v>
      </c>
      <c r="AQ157" t="s">
        <v>74</v>
      </c>
      <c r="AR157" t="s">
        <v>882</v>
      </c>
      <c r="AS157" t="s">
        <v>883</v>
      </c>
      <c r="AT157" t="s">
        <v>99</v>
      </c>
      <c r="AU157">
        <v>2023</v>
      </c>
      <c r="AV157">
        <v>36</v>
      </c>
      <c r="AW157">
        <v>1</v>
      </c>
      <c r="AX157" t="s">
        <v>74</v>
      </c>
      <c r="AY157" t="s">
        <v>74</v>
      </c>
      <c r="AZ157" t="s">
        <v>74</v>
      </c>
      <c r="BA157" t="s">
        <v>74</v>
      </c>
      <c r="BB157" t="s">
        <v>74</v>
      </c>
      <c r="BC157" t="s">
        <v>74</v>
      </c>
      <c r="BD157">
        <v>2193664</v>
      </c>
      <c r="BE157" t="s">
        <v>2905</v>
      </c>
      <c r="BF157" t="str">
        <f>HYPERLINK("http://dx.doi.org/10.1080/14767058.2023.2193664","http://dx.doi.org/10.1080/14767058.2023.2193664")</f>
        <v>http://dx.doi.org/10.1080/14767058.2023.2193664</v>
      </c>
      <c r="BG157" t="s">
        <v>74</v>
      </c>
      <c r="BH157" t="s">
        <v>74</v>
      </c>
      <c r="BI157">
        <v>7</v>
      </c>
      <c r="BJ157" t="s">
        <v>885</v>
      </c>
      <c r="BK157" t="s">
        <v>102</v>
      </c>
      <c r="BL157" t="s">
        <v>885</v>
      </c>
      <c r="BM157" t="s">
        <v>2906</v>
      </c>
      <c r="BN157">
        <v>37040928</v>
      </c>
      <c r="BO157" t="s">
        <v>887</v>
      </c>
      <c r="BP157" t="s">
        <v>74</v>
      </c>
      <c r="BQ157" t="s">
        <v>74</v>
      </c>
      <c r="BR157" t="s">
        <v>105</v>
      </c>
      <c r="BS157" t="s">
        <v>2907</v>
      </c>
      <c r="BT157" t="str">
        <f>HYPERLINK("https%3A%2F%2Fwww.webofscience.com%2Fwos%2Fwoscc%2Ffull-record%2FWOS:000969307200001","View Full Record in Web of Science")</f>
        <v>View Full Record in Web of Science</v>
      </c>
    </row>
    <row r="158" spans="1:72" x14ac:dyDescent="0.15">
      <c r="A158" t="s">
        <v>72</v>
      </c>
      <c r="B158" t="s">
        <v>2908</v>
      </c>
      <c r="C158" t="s">
        <v>74</v>
      </c>
      <c r="D158" t="s">
        <v>74</v>
      </c>
      <c r="E158" t="s">
        <v>74</v>
      </c>
      <c r="F158" t="s">
        <v>2909</v>
      </c>
      <c r="G158" t="s">
        <v>74</v>
      </c>
      <c r="H158" t="s">
        <v>74</v>
      </c>
      <c r="I158" t="s">
        <v>2910</v>
      </c>
      <c r="J158" t="s">
        <v>2664</v>
      </c>
      <c r="K158" t="s">
        <v>74</v>
      </c>
      <c r="L158" t="s">
        <v>74</v>
      </c>
      <c r="M158" t="s">
        <v>78</v>
      </c>
      <c r="N158" t="s">
        <v>79</v>
      </c>
      <c r="O158" t="s">
        <v>74</v>
      </c>
      <c r="P158" t="s">
        <v>74</v>
      </c>
      <c r="Q158" t="s">
        <v>74</v>
      </c>
      <c r="R158" t="s">
        <v>74</v>
      </c>
      <c r="S158" t="s">
        <v>74</v>
      </c>
      <c r="T158" t="s">
        <v>2911</v>
      </c>
      <c r="U158" t="s">
        <v>2912</v>
      </c>
      <c r="V158" t="s">
        <v>2913</v>
      </c>
      <c r="W158" t="s">
        <v>2914</v>
      </c>
      <c r="X158" t="s">
        <v>2915</v>
      </c>
      <c r="Y158" t="s">
        <v>2916</v>
      </c>
      <c r="Z158" t="s">
        <v>2917</v>
      </c>
      <c r="AA158" t="s">
        <v>2918</v>
      </c>
      <c r="AB158" t="s">
        <v>2919</v>
      </c>
      <c r="AC158" t="s">
        <v>74</v>
      </c>
      <c r="AD158" t="s">
        <v>74</v>
      </c>
      <c r="AE158" t="s">
        <v>74</v>
      </c>
      <c r="AF158" t="s">
        <v>74</v>
      </c>
      <c r="AG158">
        <v>58</v>
      </c>
      <c r="AH158">
        <v>1</v>
      </c>
      <c r="AI158">
        <v>1</v>
      </c>
      <c r="AJ158">
        <v>2</v>
      </c>
      <c r="AK158">
        <v>2</v>
      </c>
      <c r="AL158" t="s">
        <v>287</v>
      </c>
      <c r="AM158" t="s">
        <v>288</v>
      </c>
      <c r="AN158" t="s">
        <v>289</v>
      </c>
      <c r="AO158" t="s">
        <v>2674</v>
      </c>
      <c r="AP158" t="s">
        <v>74</v>
      </c>
      <c r="AQ158" t="s">
        <v>74</v>
      </c>
      <c r="AR158" t="s">
        <v>2675</v>
      </c>
      <c r="AS158" t="s">
        <v>2676</v>
      </c>
      <c r="AT158" t="s">
        <v>99</v>
      </c>
      <c r="AU158">
        <v>2023</v>
      </c>
      <c r="AV158">
        <v>9</v>
      </c>
      <c r="AW158">
        <v>1</v>
      </c>
      <c r="AX158" t="s">
        <v>74</v>
      </c>
      <c r="AY158" t="s">
        <v>74</v>
      </c>
      <c r="AZ158" t="s">
        <v>74</v>
      </c>
      <c r="BA158" t="s">
        <v>74</v>
      </c>
      <c r="BB158" t="s">
        <v>74</v>
      </c>
      <c r="BC158" t="s">
        <v>74</v>
      </c>
      <c r="BD158">
        <v>2211845</v>
      </c>
      <c r="BE158" t="s">
        <v>2920</v>
      </c>
      <c r="BF158" t="str">
        <f>HYPERLINK("http://dx.doi.org/10.1080/23311932.2023.2211845","http://dx.doi.org/10.1080/23311932.2023.2211845")</f>
        <v>http://dx.doi.org/10.1080/23311932.2023.2211845</v>
      </c>
      <c r="BG158" t="s">
        <v>74</v>
      </c>
      <c r="BH158" t="s">
        <v>74</v>
      </c>
      <c r="BI158">
        <v>13</v>
      </c>
      <c r="BJ158" t="s">
        <v>2678</v>
      </c>
      <c r="BK158" t="s">
        <v>102</v>
      </c>
      <c r="BL158" t="s">
        <v>2517</v>
      </c>
      <c r="BM158" t="s">
        <v>2921</v>
      </c>
      <c r="BN158" t="s">
        <v>74</v>
      </c>
      <c r="BO158" t="s">
        <v>126</v>
      </c>
      <c r="BP158" t="s">
        <v>74</v>
      </c>
      <c r="BQ158" t="s">
        <v>74</v>
      </c>
      <c r="BR158" t="s">
        <v>105</v>
      </c>
      <c r="BS158" t="s">
        <v>2922</v>
      </c>
      <c r="BT158" t="str">
        <f>HYPERLINK("https%3A%2F%2Fwww.webofscience.com%2Fwos%2Fwoscc%2Ffull-record%2FWOS:000985728400001","View Full Record in Web of Science")</f>
        <v>View Full Record in Web of Science</v>
      </c>
    </row>
    <row r="159" spans="1:72" x14ac:dyDescent="0.15">
      <c r="A159" t="s">
        <v>72</v>
      </c>
      <c r="B159" t="s">
        <v>2923</v>
      </c>
      <c r="C159" t="s">
        <v>74</v>
      </c>
      <c r="D159" t="s">
        <v>74</v>
      </c>
      <c r="E159" t="s">
        <v>74</v>
      </c>
      <c r="F159" t="s">
        <v>2924</v>
      </c>
      <c r="G159" t="s">
        <v>74</v>
      </c>
      <c r="H159" t="s">
        <v>74</v>
      </c>
      <c r="I159" t="s">
        <v>2925</v>
      </c>
      <c r="J159" t="s">
        <v>278</v>
      </c>
      <c r="K159" t="s">
        <v>74</v>
      </c>
      <c r="L159" t="s">
        <v>74</v>
      </c>
      <c r="M159" t="s">
        <v>78</v>
      </c>
      <c r="N159" t="s">
        <v>79</v>
      </c>
      <c r="O159" t="s">
        <v>74</v>
      </c>
      <c r="P159" t="s">
        <v>74</v>
      </c>
      <c r="Q159" t="s">
        <v>74</v>
      </c>
      <c r="R159" t="s">
        <v>74</v>
      </c>
      <c r="S159" t="s">
        <v>74</v>
      </c>
      <c r="T159" t="s">
        <v>2926</v>
      </c>
      <c r="U159" t="s">
        <v>2927</v>
      </c>
      <c r="V159" t="s">
        <v>2928</v>
      </c>
      <c r="W159" t="s">
        <v>2929</v>
      </c>
      <c r="X159" t="s">
        <v>74</v>
      </c>
      <c r="Y159" t="s">
        <v>2930</v>
      </c>
      <c r="Z159" t="s">
        <v>2931</v>
      </c>
      <c r="AA159" t="s">
        <v>2932</v>
      </c>
      <c r="AB159" t="s">
        <v>74</v>
      </c>
      <c r="AC159" t="s">
        <v>74</v>
      </c>
      <c r="AD159" t="s">
        <v>74</v>
      </c>
      <c r="AE159" t="s">
        <v>74</v>
      </c>
      <c r="AF159" t="s">
        <v>74</v>
      </c>
      <c r="AG159">
        <v>52</v>
      </c>
      <c r="AH159">
        <v>0</v>
      </c>
      <c r="AI159">
        <v>0</v>
      </c>
      <c r="AJ159">
        <v>10</v>
      </c>
      <c r="AK159">
        <v>16</v>
      </c>
      <c r="AL159" t="s">
        <v>287</v>
      </c>
      <c r="AM159" t="s">
        <v>288</v>
      </c>
      <c r="AN159" t="s">
        <v>289</v>
      </c>
      <c r="AO159" t="s">
        <v>290</v>
      </c>
      <c r="AP159" t="s">
        <v>74</v>
      </c>
      <c r="AQ159" t="s">
        <v>74</v>
      </c>
      <c r="AR159" t="s">
        <v>291</v>
      </c>
      <c r="AS159" t="s">
        <v>292</v>
      </c>
      <c r="AT159" t="s">
        <v>99</v>
      </c>
      <c r="AU159">
        <v>2023</v>
      </c>
      <c r="AV159">
        <v>10</v>
      </c>
      <c r="AW159">
        <v>1</v>
      </c>
      <c r="AX159" t="s">
        <v>74</v>
      </c>
      <c r="AY159" t="s">
        <v>74</v>
      </c>
      <c r="AZ159" t="s">
        <v>74</v>
      </c>
      <c r="BA159" t="s">
        <v>74</v>
      </c>
      <c r="BB159" t="s">
        <v>74</v>
      </c>
      <c r="BC159" t="s">
        <v>74</v>
      </c>
      <c r="BD159">
        <v>2158604</v>
      </c>
      <c r="BE159" t="s">
        <v>2933</v>
      </c>
      <c r="BF159" t="str">
        <f>HYPERLINK("http://dx.doi.org/10.1080/23311975.2022.2158604","http://dx.doi.org/10.1080/23311975.2022.2158604")</f>
        <v>http://dx.doi.org/10.1080/23311975.2022.2158604</v>
      </c>
      <c r="BG159" t="s">
        <v>74</v>
      </c>
      <c r="BH159" t="s">
        <v>74</v>
      </c>
      <c r="BI159">
        <v>15</v>
      </c>
      <c r="BJ159" t="s">
        <v>294</v>
      </c>
      <c r="BK159" t="s">
        <v>211</v>
      </c>
      <c r="BL159" t="s">
        <v>295</v>
      </c>
      <c r="BM159" t="s">
        <v>2934</v>
      </c>
      <c r="BN159" t="s">
        <v>74</v>
      </c>
      <c r="BO159" t="s">
        <v>126</v>
      </c>
      <c r="BP159" t="s">
        <v>74</v>
      </c>
      <c r="BQ159" t="s">
        <v>74</v>
      </c>
      <c r="BR159" t="s">
        <v>105</v>
      </c>
      <c r="BS159" t="s">
        <v>2935</v>
      </c>
      <c r="BT159" t="str">
        <f>HYPERLINK("https%3A%2F%2Fwww.webofscience.com%2Fwos%2Fwoscc%2Ffull-record%2FWOS:000916662000001","View Full Record in Web of Science")</f>
        <v>View Full Record in Web of Science</v>
      </c>
    </row>
    <row r="160" spans="1:72" x14ac:dyDescent="0.15">
      <c r="A160" t="s">
        <v>72</v>
      </c>
      <c r="B160" t="s">
        <v>2936</v>
      </c>
      <c r="C160" t="s">
        <v>74</v>
      </c>
      <c r="D160" t="s">
        <v>74</v>
      </c>
      <c r="E160" t="s">
        <v>74</v>
      </c>
      <c r="F160" t="s">
        <v>2937</v>
      </c>
      <c r="G160" t="s">
        <v>74</v>
      </c>
      <c r="H160" t="s">
        <v>74</v>
      </c>
      <c r="I160" t="s">
        <v>2938</v>
      </c>
      <c r="J160" t="s">
        <v>2939</v>
      </c>
      <c r="K160" t="s">
        <v>74</v>
      </c>
      <c r="L160" t="s">
        <v>74</v>
      </c>
      <c r="M160" t="s">
        <v>78</v>
      </c>
      <c r="N160" t="s">
        <v>79</v>
      </c>
      <c r="O160" t="s">
        <v>74</v>
      </c>
      <c r="P160" t="s">
        <v>74</v>
      </c>
      <c r="Q160" t="s">
        <v>74</v>
      </c>
      <c r="R160" t="s">
        <v>74</v>
      </c>
      <c r="S160" t="s">
        <v>74</v>
      </c>
      <c r="T160" t="s">
        <v>2940</v>
      </c>
      <c r="U160" t="s">
        <v>2941</v>
      </c>
      <c r="V160" t="s">
        <v>2942</v>
      </c>
      <c r="W160" t="s">
        <v>2943</v>
      </c>
      <c r="X160" t="s">
        <v>2944</v>
      </c>
      <c r="Y160" t="s">
        <v>2945</v>
      </c>
      <c r="Z160" t="s">
        <v>2946</v>
      </c>
      <c r="AA160" t="s">
        <v>2947</v>
      </c>
      <c r="AB160" t="s">
        <v>2948</v>
      </c>
      <c r="AC160" t="s">
        <v>2949</v>
      </c>
      <c r="AD160" t="s">
        <v>2949</v>
      </c>
      <c r="AE160" t="s">
        <v>2950</v>
      </c>
      <c r="AF160" t="s">
        <v>74</v>
      </c>
      <c r="AG160">
        <v>24</v>
      </c>
      <c r="AH160">
        <v>0</v>
      </c>
      <c r="AI160">
        <v>0</v>
      </c>
      <c r="AJ160">
        <v>2</v>
      </c>
      <c r="AK160">
        <v>2</v>
      </c>
      <c r="AL160" t="s">
        <v>92</v>
      </c>
      <c r="AM160" t="s">
        <v>93</v>
      </c>
      <c r="AN160" t="s">
        <v>94</v>
      </c>
      <c r="AO160" t="s">
        <v>2951</v>
      </c>
      <c r="AP160" t="s">
        <v>2952</v>
      </c>
      <c r="AQ160" t="s">
        <v>74</v>
      </c>
      <c r="AR160" t="s">
        <v>2953</v>
      </c>
      <c r="AS160" t="s">
        <v>2954</v>
      </c>
      <c r="AT160" t="s">
        <v>99</v>
      </c>
      <c r="AU160">
        <v>2023</v>
      </c>
      <c r="AV160">
        <v>57</v>
      </c>
      <c r="AW160">
        <v>1</v>
      </c>
      <c r="AX160" t="s">
        <v>74</v>
      </c>
      <c r="AY160" t="s">
        <v>74</v>
      </c>
      <c r="AZ160" t="s">
        <v>74</v>
      </c>
      <c r="BA160" t="s">
        <v>74</v>
      </c>
      <c r="BB160" t="s">
        <v>74</v>
      </c>
      <c r="BC160" t="s">
        <v>74</v>
      </c>
      <c r="BD160">
        <v>2215490</v>
      </c>
      <c r="BE160" t="s">
        <v>2955</v>
      </c>
      <c r="BF160" t="str">
        <f>HYPERLINK("http://dx.doi.org/10.1080/14017431.2023.2215490","http://dx.doi.org/10.1080/14017431.2023.2215490")</f>
        <v>http://dx.doi.org/10.1080/14017431.2023.2215490</v>
      </c>
      <c r="BG160" t="s">
        <v>74</v>
      </c>
      <c r="BH160" t="s">
        <v>74</v>
      </c>
      <c r="BI160">
        <v>7</v>
      </c>
      <c r="BJ160" t="s">
        <v>2956</v>
      </c>
      <c r="BK160" t="s">
        <v>102</v>
      </c>
      <c r="BL160" t="s">
        <v>1736</v>
      </c>
      <c r="BM160" t="s">
        <v>2957</v>
      </c>
      <c r="BN160">
        <v>37264780</v>
      </c>
      <c r="BO160" t="s">
        <v>887</v>
      </c>
      <c r="BP160" t="s">
        <v>74</v>
      </c>
      <c r="BQ160" t="s">
        <v>74</v>
      </c>
      <c r="BR160" t="s">
        <v>105</v>
      </c>
      <c r="BS160" t="s">
        <v>2958</v>
      </c>
      <c r="BT160" t="str">
        <f>HYPERLINK("https%3A%2F%2Fwww.webofscience.com%2Fwos%2Fwoscc%2Ffull-record%2FWOS:000999734700001","View Full Record in Web of Science")</f>
        <v>View Full Record in Web of Science</v>
      </c>
    </row>
    <row r="161" spans="1:72" x14ac:dyDescent="0.15">
      <c r="A161" t="s">
        <v>72</v>
      </c>
      <c r="B161" t="s">
        <v>2959</v>
      </c>
      <c r="C161" t="s">
        <v>74</v>
      </c>
      <c r="D161" t="s">
        <v>74</v>
      </c>
      <c r="E161" t="s">
        <v>74</v>
      </c>
      <c r="F161" t="s">
        <v>2960</v>
      </c>
      <c r="G161" t="s">
        <v>74</v>
      </c>
      <c r="H161" t="s">
        <v>74</v>
      </c>
      <c r="I161" t="s">
        <v>2961</v>
      </c>
      <c r="J161" t="s">
        <v>1179</v>
      </c>
      <c r="K161" t="s">
        <v>74</v>
      </c>
      <c r="L161" t="s">
        <v>74</v>
      </c>
      <c r="M161" t="s">
        <v>78</v>
      </c>
      <c r="N161" t="s">
        <v>79</v>
      </c>
      <c r="O161" t="s">
        <v>74</v>
      </c>
      <c r="P161" t="s">
        <v>74</v>
      </c>
      <c r="Q161" t="s">
        <v>74</v>
      </c>
      <c r="R161" t="s">
        <v>74</v>
      </c>
      <c r="S161" t="s">
        <v>74</v>
      </c>
      <c r="T161" t="s">
        <v>2962</v>
      </c>
      <c r="U161" t="s">
        <v>2963</v>
      </c>
      <c r="V161" t="s">
        <v>2964</v>
      </c>
      <c r="W161" t="s">
        <v>2965</v>
      </c>
      <c r="X161" t="s">
        <v>2966</v>
      </c>
      <c r="Y161" t="s">
        <v>2967</v>
      </c>
      <c r="Z161" t="s">
        <v>2968</v>
      </c>
      <c r="AA161" t="s">
        <v>74</v>
      </c>
      <c r="AB161" t="s">
        <v>74</v>
      </c>
      <c r="AC161" t="s">
        <v>2969</v>
      </c>
      <c r="AD161" t="s">
        <v>2970</v>
      </c>
      <c r="AE161" t="s">
        <v>2971</v>
      </c>
      <c r="AF161" t="s">
        <v>74</v>
      </c>
      <c r="AG161">
        <v>87</v>
      </c>
      <c r="AH161">
        <v>0</v>
      </c>
      <c r="AI161">
        <v>0</v>
      </c>
      <c r="AJ161">
        <v>1</v>
      </c>
      <c r="AK161">
        <v>1</v>
      </c>
      <c r="AL161" t="s">
        <v>1188</v>
      </c>
      <c r="AM161" t="s">
        <v>93</v>
      </c>
      <c r="AN161" t="s">
        <v>1189</v>
      </c>
      <c r="AO161" t="s">
        <v>1190</v>
      </c>
      <c r="AP161" t="s">
        <v>74</v>
      </c>
      <c r="AQ161" t="s">
        <v>74</v>
      </c>
      <c r="AR161" t="s">
        <v>1191</v>
      </c>
      <c r="AS161" t="s">
        <v>1192</v>
      </c>
      <c r="AT161" t="s">
        <v>99</v>
      </c>
      <c r="AU161">
        <v>2023</v>
      </c>
      <c r="AV161">
        <v>10</v>
      </c>
      <c r="AW161">
        <v>1</v>
      </c>
      <c r="AX161" t="s">
        <v>74</v>
      </c>
      <c r="AY161" t="s">
        <v>74</v>
      </c>
      <c r="AZ161" t="s">
        <v>74</v>
      </c>
      <c r="BA161" t="s">
        <v>74</v>
      </c>
      <c r="BB161">
        <v>703</v>
      </c>
      <c r="BC161">
        <v>722</v>
      </c>
      <c r="BD161" t="s">
        <v>74</v>
      </c>
      <c r="BE161" t="s">
        <v>2972</v>
      </c>
      <c r="BF161" t="str">
        <f>HYPERLINK("http://dx.doi.org/10.1080/21681376.2023.2231508","http://dx.doi.org/10.1080/21681376.2023.2231508")</f>
        <v>http://dx.doi.org/10.1080/21681376.2023.2231508</v>
      </c>
      <c r="BG161" t="s">
        <v>74</v>
      </c>
      <c r="BH161" t="s">
        <v>74</v>
      </c>
      <c r="BI161">
        <v>20</v>
      </c>
      <c r="BJ161" t="s">
        <v>1194</v>
      </c>
      <c r="BK161" t="s">
        <v>211</v>
      </c>
      <c r="BL161" t="s">
        <v>1194</v>
      </c>
      <c r="BM161" t="s">
        <v>2973</v>
      </c>
      <c r="BN161" t="s">
        <v>74</v>
      </c>
      <c r="BO161" t="s">
        <v>126</v>
      </c>
      <c r="BP161" t="s">
        <v>74</v>
      </c>
      <c r="BQ161" t="s">
        <v>74</v>
      </c>
      <c r="BR161" t="s">
        <v>105</v>
      </c>
      <c r="BS161" t="s">
        <v>2974</v>
      </c>
      <c r="BT161" t="str">
        <f>HYPERLINK("https%3A%2F%2Fwww.webofscience.com%2Fwos%2Fwoscc%2Ffull-record%2FWOS:001043138700001","View Full Record in Web of Science")</f>
        <v>View Full Record in Web of Science</v>
      </c>
    </row>
    <row r="162" spans="1:72" x14ac:dyDescent="0.15">
      <c r="A162" t="s">
        <v>72</v>
      </c>
      <c r="B162" t="s">
        <v>2975</v>
      </c>
      <c r="C162" t="s">
        <v>74</v>
      </c>
      <c r="D162" t="s">
        <v>74</v>
      </c>
      <c r="E162" t="s">
        <v>74</v>
      </c>
      <c r="F162" t="s">
        <v>2976</v>
      </c>
      <c r="G162" t="s">
        <v>74</v>
      </c>
      <c r="H162" t="s">
        <v>74</v>
      </c>
      <c r="I162" t="s">
        <v>2977</v>
      </c>
      <c r="J162" t="s">
        <v>2978</v>
      </c>
      <c r="K162" t="s">
        <v>74</v>
      </c>
      <c r="L162" t="s">
        <v>74</v>
      </c>
      <c r="M162" t="s">
        <v>78</v>
      </c>
      <c r="N162" t="s">
        <v>79</v>
      </c>
      <c r="O162" t="s">
        <v>74</v>
      </c>
      <c r="P162" t="s">
        <v>74</v>
      </c>
      <c r="Q162" t="s">
        <v>74</v>
      </c>
      <c r="R162" t="s">
        <v>74</v>
      </c>
      <c r="S162" t="s">
        <v>74</v>
      </c>
      <c r="T162" t="s">
        <v>2979</v>
      </c>
      <c r="U162" t="s">
        <v>2980</v>
      </c>
      <c r="V162" t="s">
        <v>2981</v>
      </c>
      <c r="W162" t="s">
        <v>2982</v>
      </c>
      <c r="X162" t="s">
        <v>2983</v>
      </c>
      <c r="Y162" t="s">
        <v>2984</v>
      </c>
      <c r="Z162" t="s">
        <v>2985</v>
      </c>
      <c r="AA162" t="s">
        <v>74</v>
      </c>
      <c r="AB162" t="s">
        <v>2986</v>
      </c>
      <c r="AC162" t="s">
        <v>2987</v>
      </c>
      <c r="AD162" t="s">
        <v>2987</v>
      </c>
      <c r="AE162" t="s">
        <v>2988</v>
      </c>
      <c r="AF162" t="s">
        <v>74</v>
      </c>
      <c r="AG162">
        <v>46</v>
      </c>
      <c r="AH162">
        <v>0</v>
      </c>
      <c r="AI162">
        <v>0</v>
      </c>
      <c r="AJ162">
        <v>2</v>
      </c>
      <c r="AK162">
        <v>13</v>
      </c>
      <c r="AL162" t="s">
        <v>92</v>
      </c>
      <c r="AM162" t="s">
        <v>93</v>
      </c>
      <c r="AN162" t="s">
        <v>94</v>
      </c>
      <c r="AO162" t="s">
        <v>2989</v>
      </c>
      <c r="AP162" t="s">
        <v>2990</v>
      </c>
      <c r="AQ162" t="s">
        <v>74</v>
      </c>
      <c r="AR162" t="s">
        <v>2991</v>
      </c>
      <c r="AS162" t="s">
        <v>2992</v>
      </c>
      <c r="AT162" t="s">
        <v>99</v>
      </c>
      <c r="AU162">
        <v>2023</v>
      </c>
      <c r="AV162">
        <v>26</v>
      </c>
      <c r="AW162">
        <v>1</v>
      </c>
      <c r="AX162" t="s">
        <v>74</v>
      </c>
      <c r="AY162" t="s">
        <v>74</v>
      </c>
      <c r="AZ162" t="s">
        <v>74</v>
      </c>
      <c r="BA162" t="s">
        <v>74</v>
      </c>
      <c r="BB162">
        <v>1</v>
      </c>
      <c r="BC162">
        <v>10</v>
      </c>
      <c r="BD162" t="s">
        <v>74</v>
      </c>
      <c r="BE162" t="s">
        <v>2993</v>
      </c>
      <c r="BF162" t="str">
        <f>HYPERLINK("http://dx.doi.org/10.1080/13696998.2022.2133321","http://dx.doi.org/10.1080/13696998.2022.2133321")</f>
        <v>http://dx.doi.org/10.1080/13696998.2022.2133321</v>
      </c>
      <c r="BG162" t="s">
        <v>74</v>
      </c>
      <c r="BH162" t="s">
        <v>74</v>
      </c>
      <c r="BI162">
        <v>10</v>
      </c>
      <c r="BJ162" t="s">
        <v>2994</v>
      </c>
      <c r="BK162" t="s">
        <v>102</v>
      </c>
      <c r="BL162" t="s">
        <v>2995</v>
      </c>
      <c r="BM162" t="s">
        <v>2996</v>
      </c>
      <c r="BN162">
        <v>36205512</v>
      </c>
      <c r="BO162" t="s">
        <v>126</v>
      </c>
      <c r="BP162" t="s">
        <v>74</v>
      </c>
      <c r="BQ162" t="s">
        <v>74</v>
      </c>
      <c r="BR162" t="s">
        <v>105</v>
      </c>
      <c r="BS162" t="s">
        <v>2997</v>
      </c>
      <c r="BT162" t="str">
        <f>HYPERLINK("https%3A%2F%2Fwww.webofscience.com%2Fwos%2Fwoscc%2Ffull-record%2FWOS:000896746300001","View Full Record in Web of Science")</f>
        <v>View Full Record in Web of Science</v>
      </c>
    </row>
    <row r="163" spans="1:72" x14ac:dyDescent="0.15">
      <c r="A163" t="s">
        <v>72</v>
      </c>
      <c r="B163" t="s">
        <v>2998</v>
      </c>
      <c r="C163" t="s">
        <v>74</v>
      </c>
      <c r="D163" t="s">
        <v>74</v>
      </c>
      <c r="E163" t="s">
        <v>74</v>
      </c>
      <c r="F163" t="s">
        <v>2999</v>
      </c>
      <c r="G163" t="s">
        <v>74</v>
      </c>
      <c r="H163" t="s">
        <v>74</v>
      </c>
      <c r="I163" t="s">
        <v>3000</v>
      </c>
      <c r="J163" t="s">
        <v>1055</v>
      </c>
      <c r="K163" t="s">
        <v>74</v>
      </c>
      <c r="L163" t="s">
        <v>74</v>
      </c>
      <c r="M163" t="s">
        <v>78</v>
      </c>
      <c r="N163" t="s">
        <v>79</v>
      </c>
      <c r="O163" t="s">
        <v>74</v>
      </c>
      <c r="P163" t="s">
        <v>74</v>
      </c>
      <c r="Q163" t="s">
        <v>74</v>
      </c>
      <c r="R163" t="s">
        <v>74</v>
      </c>
      <c r="S163" t="s">
        <v>74</v>
      </c>
      <c r="T163" t="s">
        <v>3001</v>
      </c>
      <c r="U163" t="s">
        <v>3002</v>
      </c>
      <c r="V163" t="s">
        <v>3003</v>
      </c>
      <c r="W163" t="s">
        <v>3004</v>
      </c>
      <c r="X163" t="s">
        <v>3005</v>
      </c>
      <c r="Y163" t="s">
        <v>3006</v>
      </c>
      <c r="Z163" t="s">
        <v>3007</v>
      </c>
      <c r="AA163" t="s">
        <v>3008</v>
      </c>
      <c r="AB163" t="s">
        <v>3009</v>
      </c>
      <c r="AC163" t="s">
        <v>3010</v>
      </c>
      <c r="AD163" t="s">
        <v>3010</v>
      </c>
      <c r="AE163" t="s">
        <v>3011</v>
      </c>
      <c r="AF163" t="s">
        <v>74</v>
      </c>
      <c r="AG163">
        <v>45</v>
      </c>
      <c r="AH163">
        <v>2</v>
      </c>
      <c r="AI163">
        <v>2</v>
      </c>
      <c r="AJ163">
        <v>7</v>
      </c>
      <c r="AK163">
        <v>12</v>
      </c>
      <c r="AL163" t="s">
        <v>92</v>
      </c>
      <c r="AM163" t="s">
        <v>93</v>
      </c>
      <c r="AN163" t="s">
        <v>94</v>
      </c>
      <c r="AO163" t="s">
        <v>1066</v>
      </c>
      <c r="AP163" t="s">
        <v>1067</v>
      </c>
      <c r="AQ163" t="s">
        <v>74</v>
      </c>
      <c r="AR163" t="s">
        <v>1068</v>
      </c>
      <c r="AS163" t="s">
        <v>1069</v>
      </c>
      <c r="AT163" t="s">
        <v>99</v>
      </c>
      <c r="AU163">
        <v>2023</v>
      </c>
      <c r="AV163">
        <v>22</v>
      </c>
      <c r="AW163">
        <v>1</v>
      </c>
      <c r="AX163" t="s">
        <v>74</v>
      </c>
      <c r="AY163" t="s">
        <v>74</v>
      </c>
      <c r="AZ163" t="s">
        <v>74</v>
      </c>
      <c r="BA163" t="s">
        <v>74</v>
      </c>
      <c r="BB163">
        <v>230</v>
      </c>
      <c r="BC163">
        <v>238</v>
      </c>
      <c r="BD163" t="s">
        <v>74</v>
      </c>
      <c r="BE163" t="s">
        <v>3012</v>
      </c>
      <c r="BF163" t="str">
        <f>HYPERLINK("http://dx.doi.org/10.1080/1828051X.2023.2180440","http://dx.doi.org/10.1080/1828051X.2023.2180440")</f>
        <v>http://dx.doi.org/10.1080/1828051X.2023.2180440</v>
      </c>
      <c r="BG163" t="s">
        <v>74</v>
      </c>
      <c r="BH163" t="s">
        <v>74</v>
      </c>
      <c r="BI163">
        <v>9</v>
      </c>
      <c r="BJ163" t="s">
        <v>1071</v>
      </c>
      <c r="BK163" t="s">
        <v>102</v>
      </c>
      <c r="BL163" t="s">
        <v>1072</v>
      </c>
      <c r="BM163" t="s">
        <v>3013</v>
      </c>
      <c r="BN163" t="s">
        <v>74</v>
      </c>
      <c r="BO163" t="s">
        <v>126</v>
      </c>
      <c r="BP163" t="s">
        <v>74</v>
      </c>
      <c r="BQ163" t="s">
        <v>74</v>
      </c>
      <c r="BR163" t="s">
        <v>105</v>
      </c>
      <c r="BS163" t="s">
        <v>3014</v>
      </c>
      <c r="BT163" t="str">
        <f>HYPERLINK("https%3A%2F%2Fwww.webofscience.com%2Fwos%2Fwoscc%2Ffull-record%2FWOS:000941828500001","View Full Record in Web of Science")</f>
        <v>View Full Record in Web of Science</v>
      </c>
    </row>
    <row r="164" spans="1:72" x14ac:dyDescent="0.15">
      <c r="A164" t="s">
        <v>72</v>
      </c>
      <c r="B164" t="s">
        <v>3015</v>
      </c>
      <c r="C164" t="s">
        <v>74</v>
      </c>
      <c r="D164" t="s">
        <v>74</v>
      </c>
      <c r="E164" t="s">
        <v>74</v>
      </c>
      <c r="F164" t="s">
        <v>3016</v>
      </c>
      <c r="G164" t="s">
        <v>74</v>
      </c>
      <c r="H164" t="s">
        <v>74</v>
      </c>
      <c r="I164" t="s">
        <v>3017</v>
      </c>
      <c r="J164" t="s">
        <v>3018</v>
      </c>
      <c r="K164" t="s">
        <v>74</v>
      </c>
      <c r="L164" t="s">
        <v>74</v>
      </c>
      <c r="M164" t="s">
        <v>78</v>
      </c>
      <c r="N164" t="s">
        <v>79</v>
      </c>
      <c r="O164" t="s">
        <v>74</v>
      </c>
      <c r="P164" t="s">
        <v>74</v>
      </c>
      <c r="Q164" t="s">
        <v>74</v>
      </c>
      <c r="R164" t="s">
        <v>74</v>
      </c>
      <c r="S164" t="s">
        <v>74</v>
      </c>
      <c r="T164" t="s">
        <v>3019</v>
      </c>
      <c r="U164" t="s">
        <v>3020</v>
      </c>
      <c r="V164" t="s">
        <v>3021</v>
      </c>
      <c r="W164" t="s">
        <v>3022</v>
      </c>
      <c r="X164" t="s">
        <v>3023</v>
      </c>
      <c r="Y164" t="s">
        <v>3024</v>
      </c>
      <c r="Z164" t="s">
        <v>3025</v>
      </c>
      <c r="AA164" t="s">
        <v>74</v>
      </c>
      <c r="AB164" t="s">
        <v>74</v>
      </c>
      <c r="AC164" t="s">
        <v>74</v>
      </c>
      <c r="AD164" t="s">
        <v>74</v>
      </c>
      <c r="AE164" t="s">
        <v>74</v>
      </c>
      <c r="AF164" t="s">
        <v>74</v>
      </c>
      <c r="AG164">
        <v>44</v>
      </c>
      <c r="AH164">
        <v>0</v>
      </c>
      <c r="AI164">
        <v>0</v>
      </c>
      <c r="AJ164">
        <v>5</v>
      </c>
      <c r="AK164">
        <v>5</v>
      </c>
      <c r="AL164" t="s">
        <v>92</v>
      </c>
      <c r="AM164" t="s">
        <v>93</v>
      </c>
      <c r="AN164" t="s">
        <v>94</v>
      </c>
      <c r="AO164" t="s">
        <v>3026</v>
      </c>
      <c r="AP164" t="s">
        <v>3027</v>
      </c>
      <c r="AQ164" t="s">
        <v>74</v>
      </c>
      <c r="AR164" t="s">
        <v>3028</v>
      </c>
      <c r="AS164" t="s">
        <v>3029</v>
      </c>
      <c r="AT164" t="s">
        <v>99</v>
      </c>
      <c r="AU164">
        <v>2023</v>
      </c>
      <c r="AV164">
        <v>103</v>
      </c>
      <c r="AW164">
        <v>1</v>
      </c>
      <c r="AX164" t="s">
        <v>74</v>
      </c>
      <c r="AY164" t="s">
        <v>74</v>
      </c>
      <c r="AZ164" t="s">
        <v>74</v>
      </c>
      <c r="BA164" t="s">
        <v>74</v>
      </c>
      <c r="BB164" t="s">
        <v>74</v>
      </c>
      <c r="BC164" t="s">
        <v>74</v>
      </c>
      <c r="BD164">
        <v>2186190</v>
      </c>
      <c r="BE164" t="s">
        <v>3030</v>
      </c>
      <c r="BF164" t="str">
        <f>HYPERLINK("http://dx.doi.org/10.1080/09500839.2023.2186190","http://dx.doi.org/10.1080/09500839.2023.2186190")</f>
        <v>http://dx.doi.org/10.1080/09500839.2023.2186190</v>
      </c>
      <c r="BG164" t="s">
        <v>74</v>
      </c>
      <c r="BH164" t="s">
        <v>74</v>
      </c>
      <c r="BI164">
        <v>11</v>
      </c>
      <c r="BJ164" t="s">
        <v>3031</v>
      </c>
      <c r="BK164" t="s">
        <v>102</v>
      </c>
      <c r="BL164" t="s">
        <v>3032</v>
      </c>
      <c r="BM164" t="s">
        <v>3033</v>
      </c>
      <c r="BN164" t="s">
        <v>74</v>
      </c>
      <c r="BO164" t="s">
        <v>887</v>
      </c>
      <c r="BP164" t="s">
        <v>74</v>
      </c>
      <c r="BQ164" t="s">
        <v>74</v>
      </c>
      <c r="BR164" t="s">
        <v>105</v>
      </c>
      <c r="BS164" t="s">
        <v>3034</v>
      </c>
      <c r="BT164" t="str">
        <f>HYPERLINK("https%3A%2F%2Fwww.webofscience.com%2Fwos%2Fwoscc%2Ffull-record%2FWOS:000953178100001","View Full Record in Web of Science")</f>
        <v>View Full Record in Web of Science</v>
      </c>
    </row>
    <row r="165" spans="1:72" x14ac:dyDescent="0.15">
      <c r="A165" t="s">
        <v>72</v>
      </c>
      <c r="B165" t="s">
        <v>3035</v>
      </c>
      <c r="C165" t="s">
        <v>74</v>
      </c>
      <c r="D165" t="s">
        <v>74</v>
      </c>
      <c r="E165" t="s">
        <v>74</v>
      </c>
      <c r="F165" t="s">
        <v>3036</v>
      </c>
      <c r="G165" t="s">
        <v>74</v>
      </c>
      <c r="H165" t="s">
        <v>74</v>
      </c>
      <c r="I165" t="s">
        <v>3037</v>
      </c>
      <c r="J165" t="s">
        <v>783</v>
      </c>
      <c r="K165" t="s">
        <v>74</v>
      </c>
      <c r="L165" t="s">
        <v>74</v>
      </c>
      <c r="M165" t="s">
        <v>78</v>
      </c>
      <c r="N165" t="s">
        <v>79</v>
      </c>
      <c r="O165" t="s">
        <v>74</v>
      </c>
      <c r="P165" t="s">
        <v>74</v>
      </c>
      <c r="Q165" t="s">
        <v>74</v>
      </c>
      <c r="R165" t="s">
        <v>74</v>
      </c>
      <c r="S165" t="s">
        <v>74</v>
      </c>
      <c r="T165" t="s">
        <v>3038</v>
      </c>
      <c r="U165" t="s">
        <v>3039</v>
      </c>
      <c r="V165" t="s">
        <v>3040</v>
      </c>
      <c r="W165" t="s">
        <v>3041</v>
      </c>
      <c r="X165" t="s">
        <v>3042</v>
      </c>
      <c r="Y165" t="s">
        <v>3043</v>
      </c>
      <c r="Z165" t="s">
        <v>3044</v>
      </c>
      <c r="AA165" t="s">
        <v>74</v>
      </c>
      <c r="AB165" t="s">
        <v>3045</v>
      </c>
      <c r="AC165" t="s">
        <v>3046</v>
      </c>
      <c r="AD165" t="s">
        <v>3046</v>
      </c>
      <c r="AE165" t="s">
        <v>3047</v>
      </c>
      <c r="AF165" t="s">
        <v>74</v>
      </c>
      <c r="AG165">
        <v>38</v>
      </c>
      <c r="AH165">
        <v>0</v>
      </c>
      <c r="AI165">
        <v>0</v>
      </c>
      <c r="AJ165">
        <v>11</v>
      </c>
      <c r="AK165">
        <v>27</v>
      </c>
      <c r="AL165" t="s">
        <v>92</v>
      </c>
      <c r="AM165" t="s">
        <v>93</v>
      </c>
      <c r="AN165" t="s">
        <v>94</v>
      </c>
      <c r="AO165" t="s">
        <v>796</v>
      </c>
      <c r="AP165" t="s">
        <v>797</v>
      </c>
      <c r="AQ165" t="s">
        <v>74</v>
      </c>
      <c r="AR165" t="s">
        <v>798</v>
      </c>
      <c r="AS165" t="s">
        <v>799</v>
      </c>
      <c r="AT165" t="s">
        <v>99</v>
      </c>
      <c r="AU165">
        <v>2023</v>
      </c>
      <c r="AV165">
        <v>51</v>
      </c>
      <c r="AW165">
        <v>1</v>
      </c>
      <c r="AX165" t="s">
        <v>74</v>
      </c>
      <c r="AY165" t="s">
        <v>74</v>
      </c>
      <c r="AZ165" t="s">
        <v>74</v>
      </c>
      <c r="BA165" t="s">
        <v>74</v>
      </c>
      <c r="BB165">
        <v>33</v>
      </c>
      <c r="BC165">
        <v>40</v>
      </c>
      <c r="BD165" t="s">
        <v>74</v>
      </c>
      <c r="BE165" t="s">
        <v>3048</v>
      </c>
      <c r="BF165" t="str">
        <f>HYPERLINK("http://dx.doi.org/10.1080/21691401.2022.2164584","http://dx.doi.org/10.1080/21691401.2022.2164584")</f>
        <v>http://dx.doi.org/10.1080/21691401.2022.2164584</v>
      </c>
      <c r="BG165" t="s">
        <v>74</v>
      </c>
      <c r="BH165" t="s">
        <v>74</v>
      </c>
      <c r="BI165">
        <v>8</v>
      </c>
      <c r="BJ165" t="s">
        <v>801</v>
      </c>
      <c r="BK165" t="s">
        <v>102</v>
      </c>
      <c r="BL165" t="s">
        <v>802</v>
      </c>
      <c r="BM165" t="s">
        <v>3049</v>
      </c>
      <c r="BN165">
        <v>36656591</v>
      </c>
      <c r="BO165" t="s">
        <v>126</v>
      </c>
      <c r="BP165" t="s">
        <v>74</v>
      </c>
      <c r="BQ165" t="s">
        <v>74</v>
      </c>
      <c r="BR165" t="s">
        <v>105</v>
      </c>
      <c r="BS165" t="s">
        <v>3050</v>
      </c>
      <c r="BT165" t="str">
        <f>HYPERLINK("https%3A%2F%2Fwww.webofscience.com%2Fwos%2Fwoscc%2Ffull-record%2FWOS:000915323300001","View Full Record in Web of Science")</f>
        <v>View Full Record in Web of Science</v>
      </c>
    </row>
    <row r="166" spans="1:72" x14ac:dyDescent="0.15">
      <c r="A166" t="s">
        <v>72</v>
      </c>
      <c r="B166" t="s">
        <v>3051</v>
      </c>
      <c r="C166" t="s">
        <v>74</v>
      </c>
      <c r="D166" t="s">
        <v>74</v>
      </c>
      <c r="E166" t="s">
        <v>74</v>
      </c>
      <c r="F166" t="s">
        <v>3052</v>
      </c>
      <c r="G166" t="s">
        <v>74</v>
      </c>
      <c r="H166" t="s">
        <v>74</v>
      </c>
      <c r="I166" t="s">
        <v>3053</v>
      </c>
      <c r="J166" t="s">
        <v>1613</v>
      </c>
      <c r="K166" t="s">
        <v>74</v>
      </c>
      <c r="L166" t="s">
        <v>74</v>
      </c>
      <c r="M166" t="s">
        <v>78</v>
      </c>
      <c r="N166" t="s">
        <v>171</v>
      </c>
      <c r="O166" t="s">
        <v>74</v>
      </c>
      <c r="P166" t="s">
        <v>74</v>
      </c>
      <c r="Q166" t="s">
        <v>74</v>
      </c>
      <c r="R166" t="s">
        <v>74</v>
      </c>
      <c r="S166" t="s">
        <v>74</v>
      </c>
      <c r="T166" t="s">
        <v>3054</v>
      </c>
      <c r="U166" t="s">
        <v>3055</v>
      </c>
      <c r="V166" t="s">
        <v>3056</v>
      </c>
      <c r="W166" t="s">
        <v>3057</v>
      </c>
      <c r="X166" t="s">
        <v>3058</v>
      </c>
      <c r="Y166" t="s">
        <v>3059</v>
      </c>
      <c r="Z166" t="s">
        <v>3060</v>
      </c>
      <c r="AA166" t="s">
        <v>3061</v>
      </c>
      <c r="AB166" t="s">
        <v>3062</v>
      </c>
      <c r="AC166" t="s">
        <v>3063</v>
      </c>
      <c r="AD166" t="s">
        <v>3064</v>
      </c>
      <c r="AE166" t="s">
        <v>3065</v>
      </c>
      <c r="AF166" t="s">
        <v>74</v>
      </c>
      <c r="AG166">
        <v>132</v>
      </c>
      <c r="AH166">
        <v>3</v>
      </c>
      <c r="AI166">
        <v>3</v>
      </c>
      <c r="AJ166">
        <v>28</v>
      </c>
      <c r="AK166">
        <v>50</v>
      </c>
      <c r="AL166" t="s">
        <v>184</v>
      </c>
      <c r="AM166" t="s">
        <v>185</v>
      </c>
      <c r="AN166" t="s">
        <v>186</v>
      </c>
      <c r="AO166" t="s">
        <v>1621</v>
      </c>
      <c r="AP166" t="s">
        <v>1622</v>
      </c>
      <c r="AQ166" t="s">
        <v>74</v>
      </c>
      <c r="AR166" t="s">
        <v>1613</v>
      </c>
      <c r="AS166" t="s">
        <v>1623</v>
      </c>
      <c r="AT166" t="s">
        <v>99</v>
      </c>
      <c r="AU166">
        <v>2023</v>
      </c>
      <c r="AV166">
        <v>15</v>
      </c>
      <c r="AW166">
        <v>1</v>
      </c>
      <c r="AX166" t="s">
        <v>74</v>
      </c>
      <c r="AY166" t="s">
        <v>74</v>
      </c>
      <c r="AZ166" t="s">
        <v>74</v>
      </c>
      <c r="BA166" t="s">
        <v>74</v>
      </c>
      <c r="BB166" t="s">
        <v>74</v>
      </c>
      <c r="BC166" t="s">
        <v>74</v>
      </c>
      <c r="BD166" t="s">
        <v>74</v>
      </c>
      <c r="BE166" t="s">
        <v>3066</v>
      </c>
      <c r="BF166" t="str">
        <f>HYPERLINK("http://dx.doi.org/10.1080/19490976.2023.2176118","http://dx.doi.org/10.1080/19490976.2023.2176118")</f>
        <v>http://dx.doi.org/10.1080/19490976.2023.2176118</v>
      </c>
      <c r="BG166" t="s">
        <v>74</v>
      </c>
      <c r="BH166" t="s">
        <v>74</v>
      </c>
      <c r="BI166">
        <v>28</v>
      </c>
      <c r="BJ166" t="s">
        <v>1625</v>
      </c>
      <c r="BK166" t="s">
        <v>102</v>
      </c>
      <c r="BL166" t="s">
        <v>1625</v>
      </c>
      <c r="BM166" t="s">
        <v>3067</v>
      </c>
      <c r="BN166">
        <v>36794838</v>
      </c>
      <c r="BO166" t="s">
        <v>104</v>
      </c>
      <c r="BP166" t="s">
        <v>74</v>
      </c>
      <c r="BQ166" t="s">
        <v>74</v>
      </c>
      <c r="BR166" t="s">
        <v>105</v>
      </c>
      <c r="BS166" t="s">
        <v>3068</v>
      </c>
      <c r="BT166" t="str">
        <f>HYPERLINK("https%3A%2F%2Fwww.webofscience.com%2Fwos%2Fwoscc%2Ffull-record%2FWOS:000936820500001","View Full Record in Web of Science")</f>
        <v>View Full Record in Web of Science</v>
      </c>
    </row>
    <row r="167" spans="1:72" x14ac:dyDescent="0.15">
      <c r="A167" t="s">
        <v>72</v>
      </c>
      <c r="B167" t="s">
        <v>3069</v>
      </c>
      <c r="C167" t="s">
        <v>74</v>
      </c>
      <c r="D167" t="s">
        <v>74</v>
      </c>
      <c r="E167" t="s">
        <v>74</v>
      </c>
      <c r="F167" t="s">
        <v>3070</v>
      </c>
      <c r="G167" t="s">
        <v>74</v>
      </c>
      <c r="H167" t="s">
        <v>74</v>
      </c>
      <c r="I167" t="s">
        <v>3071</v>
      </c>
      <c r="J167" t="s">
        <v>278</v>
      </c>
      <c r="K167" t="s">
        <v>74</v>
      </c>
      <c r="L167" t="s">
        <v>74</v>
      </c>
      <c r="M167" t="s">
        <v>78</v>
      </c>
      <c r="N167" t="s">
        <v>79</v>
      </c>
      <c r="O167" t="s">
        <v>74</v>
      </c>
      <c r="P167" t="s">
        <v>74</v>
      </c>
      <c r="Q167" t="s">
        <v>74</v>
      </c>
      <c r="R167" t="s">
        <v>74</v>
      </c>
      <c r="S167" t="s">
        <v>74</v>
      </c>
      <c r="T167" t="s">
        <v>3072</v>
      </c>
      <c r="U167" t="s">
        <v>3073</v>
      </c>
      <c r="V167" t="s">
        <v>3074</v>
      </c>
      <c r="W167" t="s">
        <v>3075</v>
      </c>
      <c r="X167" t="s">
        <v>3076</v>
      </c>
      <c r="Y167" t="s">
        <v>3077</v>
      </c>
      <c r="Z167" t="s">
        <v>3078</v>
      </c>
      <c r="AA167" t="s">
        <v>3079</v>
      </c>
      <c r="AB167" t="s">
        <v>3080</v>
      </c>
      <c r="AC167" t="s">
        <v>74</v>
      </c>
      <c r="AD167" t="s">
        <v>74</v>
      </c>
      <c r="AE167" t="s">
        <v>74</v>
      </c>
      <c r="AF167" t="s">
        <v>74</v>
      </c>
      <c r="AG167">
        <v>64</v>
      </c>
      <c r="AH167">
        <v>0</v>
      </c>
      <c r="AI167">
        <v>0</v>
      </c>
      <c r="AJ167">
        <v>3</v>
      </c>
      <c r="AK167">
        <v>3</v>
      </c>
      <c r="AL167" t="s">
        <v>287</v>
      </c>
      <c r="AM167" t="s">
        <v>288</v>
      </c>
      <c r="AN167" t="s">
        <v>289</v>
      </c>
      <c r="AO167" t="s">
        <v>290</v>
      </c>
      <c r="AP167" t="s">
        <v>74</v>
      </c>
      <c r="AQ167" t="s">
        <v>74</v>
      </c>
      <c r="AR167" t="s">
        <v>291</v>
      </c>
      <c r="AS167" t="s">
        <v>292</v>
      </c>
      <c r="AT167" t="s">
        <v>99</v>
      </c>
      <c r="AU167">
        <v>2023</v>
      </c>
      <c r="AV167">
        <v>10</v>
      </c>
      <c r="AW167">
        <v>1</v>
      </c>
      <c r="AX167" t="s">
        <v>74</v>
      </c>
      <c r="AY167" t="s">
        <v>74</v>
      </c>
      <c r="AZ167" t="s">
        <v>74</v>
      </c>
      <c r="BA167" t="s">
        <v>74</v>
      </c>
      <c r="BB167" t="s">
        <v>74</v>
      </c>
      <c r="BC167" t="s">
        <v>74</v>
      </c>
      <c r="BD167">
        <v>2196786</v>
      </c>
      <c r="BE167" t="s">
        <v>3081</v>
      </c>
      <c r="BF167" t="str">
        <f>HYPERLINK("http://dx.doi.org/10.1080/23311975.2023.2196786","http://dx.doi.org/10.1080/23311975.2023.2196786")</f>
        <v>http://dx.doi.org/10.1080/23311975.2023.2196786</v>
      </c>
      <c r="BG167" t="s">
        <v>74</v>
      </c>
      <c r="BH167" t="s">
        <v>74</v>
      </c>
      <c r="BI167">
        <v>16</v>
      </c>
      <c r="BJ167" t="s">
        <v>294</v>
      </c>
      <c r="BK167" t="s">
        <v>211</v>
      </c>
      <c r="BL167" t="s">
        <v>295</v>
      </c>
      <c r="BM167" t="s">
        <v>3082</v>
      </c>
      <c r="BN167" t="s">
        <v>74</v>
      </c>
      <c r="BO167" t="s">
        <v>126</v>
      </c>
      <c r="BP167" t="s">
        <v>74</v>
      </c>
      <c r="BQ167" t="s">
        <v>74</v>
      </c>
      <c r="BR167" t="s">
        <v>105</v>
      </c>
      <c r="BS167" t="s">
        <v>3083</v>
      </c>
      <c r="BT167" t="str">
        <f>HYPERLINK("https%3A%2F%2Fwww.webofscience.com%2Fwos%2Fwoscc%2Ffull-record%2FWOS:000961706300001","View Full Record in Web of Science")</f>
        <v>View Full Record in Web of Science</v>
      </c>
    </row>
    <row r="168" spans="1:72" x14ac:dyDescent="0.15">
      <c r="A168" t="s">
        <v>72</v>
      </c>
      <c r="B168" t="s">
        <v>3084</v>
      </c>
      <c r="C168" t="s">
        <v>74</v>
      </c>
      <c r="D168" t="s">
        <v>74</v>
      </c>
      <c r="E168" t="s">
        <v>74</v>
      </c>
      <c r="F168" t="s">
        <v>3085</v>
      </c>
      <c r="G168" t="s">
        <v>74</v>
      </c>
      <c r="H168" t="s">
        <v>74</v>
      </c>
      <c r="I168" t="s">
        <v>3086</v>
      </c>
      <c r="J168" t="s">
        <v>871</v>
      </c>
      <c r="K168" t="s">
        <v>74</v>
      </c>
      <c r="L168" t="s">
        <v>74</v>
      </c>
      <c r="M168" t="s">
        <v>78</v>
      </c>
      <c r="N168" t="s">
        <v>79</v>
      </c>
      <c r="O168" t="s">
        <v>74</v>
      </c>
      <c r="P168" t="s">
        <v>74</v>
      </c>
      <c r="Q168" t="s">
        <v>74</v>
      </c>
      <c r="R168" t="s">
        <v>74</v>
      </c>
      <c r="S168" t="s">
        <v>74</v>
      </c>
      <c r="T168" t="s">
        <v>3087</v>
      </c>
      <c r="U168" t="s">
        <v>3088</v>
      </c>
      <c r="V168" t="s">
        <v>3089</v>
      </c>
      <c r="W168" t="s">
        <v>3090</v>
      </c>
      <c r="X168" t="s">
        <v>3091</v>
      </c>
      <c r="Y168" t="s">
        <v>3092</v>
      </c>
      <c r="Z168" t="s">
        <v>3093</v>
      </c>
      <c r="AA168" t="s">
        <v>74</v>
      </c>
      <c r="AB168" t="s">
        <v>74</v>
      </c>
      <c r="AC168" t="s">
        <v>74</v>
      </c>
      <c r="AD168" t="s">
        <v>74</v>
      </c>
      <c r="AE168" t="s">
        <v>74</v>
      </c>
      <c r="AF168" t="s">
        <v>74</v>
      </c>
      <c r="AG168">
        <v>22</v>
      </c>
      <c r="AH168">
        <v>2</v>
      </c>
      <c r="AI168">
        <v>2</v>
      </c>
      <c r="AJ168">
        <v>1</v>
      </c>
      <c r="AK168">
        <v>5</v>
      </c>
      <c r="AL168" t="s">
        <v>92</v>
      </c>
      <c r="AM168" t="s">
        <v>93</v>
      </c>
      <c r="AN168" t="s">
        <v>94</v>
      </c>
      <c r="AO168" t="s">
        <v>880</v>
      </c>
      <c r="AP168" t="s">
        <v>881</v>
      </c>
      <c r="AQ168" t="s">
        <v>74</v>
      </c>
      <c r="AR168" t="s">
        <v>882</v>
      </c>
      <c r="AS168" t="s">
        <v>883</v>
      </c>
      <c r="AT168" t="s">
        <v>99</v>
      </c>
      <c r="AU168">
        <v>2023</v>
      </c>
      <c r="AV168">
        <v>36</v>
      </c>
      <c r="AW168">
        <v>1</v>
      </c>
      <c r="AX168" t="s">
        <v>74</v>
      </c>
      <c r="AY168" t="s">
        <v>74</v>
      </c>
      <c r="AZ168" t="s">
        <v>74</v>
      </c>
      <c r="BA168" t="s">
        <v>74</v>
      </c>
      <c r="BB168" t="s">
        <v>74</v>
      </c>
      <c r="BC168" t="s">
        <v>74</v>
      </c>
      <c r="BD168">
        <v>2167074</v>
      </c>
      <c r="BE168" t="s">
        <v>3094</v>
      </c>
      <c r="BF168" t="str">
        <f>HYPERLINK("http://dx.doi.org/10.1080/14767058.2023.2167074","http://dx.doi.org/10.1080/14767058.2023.2167074")</f>
        <v>http://dx.doi.org/10.1080/14767058.2023.2167074</v>
      </c>
      <c r="BG168" t="s">
        <v>74</v>
      </c>
      <c r="BH168" t="s">
        <v>74</v>
      </c>
      <c r="BI168">
        <v>6</v>
      </c>
      <c r="BJ168" t="s">
        <v>885</v>
      </c>
      <c r="BK168" t="s">
        <v>102</v>
      </c>
      <c r="BL168" t="s">
        <v>885</v>
      </c>
      <c r="BM168" t="s">
        <v>3095</v>
      </c>
      <c r="BN168">
        <v>36642443</v>
      </c>
      <c r="BO168" t="s">
        <v>3096</v>
      </c>
      <c r="BP168" t="s">
        <v>74</v>
      </c>
      <c r="BQ168" t="s">
        <v>74</v>
      </c>
      <c r="BR168" t="s">
        <v>105</v>
      </c>
      <c r="BS168" t="s">
        <v>3097</v>
      </c>
      <c r="BT168" t="str">
        <f>HYPERLINK("https%3A%2F%2Fwww.webofscience.com%2Fwos%2Fwoscc%2Ffull-record%2FWOS:000917853000001","View Full Record in Web of Science")</f>
        <v>View Full Record in Web of Science</v>
      </c>
    </row>
    <row r="169" spans="1:72" x14ac:dyDescent="0.15">
      <c r="A169" t="s">
        <v>72</v>
      </c>
      <c r="B169" t="s">
        <v>3098</v>
      </c>
      <c r="C169" t="s">
        <v>74</v>
      </c>
      <c r="D169" t="s">
        <v>74</v>
      </c>
      <c r="E169" t="s">
        <v>74</v>
      </c>
      <c r="F169" t="s">
        <v>3099</v>
      </c>
      <c r="G169" t="s">
        <v>74</v>
      </c>
      <c r="H169" t="s">
        <v>74</v>
      </c>
      <c r="I169" t="s">
        <v>3100</v>
      </c>
      <c r="J169" t="s">
        <v>2825</v>
      </c>
      <c r="K169" t="s">
        <v>74</v>
      </c>
      <c r="L169" t="s">
        <v>74</v>
      </c>
      <c r="M169" t="s">
        <v>78</v>
      </c>
      <c r="N169" t="s">
        <v>79</v>
      </c>
      <c r="O169" t="s">
        <v>74</v>
      </c>
      <c r="P169" t="s">
        <v>74</v>
      </c>
      <c r="Q169" t="s">
        <v>74</v>
      </c>
      <c r="R169" t="s">
        <v>74</v>
      </c>
      <c r="S169" t="s">
        <v>74</v>
      </c>
      <c r="T169" t="s">
        <v>3101</v>
      </c>
      <c r="U169" t="s">
        <v>3102</v>
      </c>
      <c r="V169" t="s">
        <v>3103</v>
      </c>
      <c r="W169" t="s">
        <v>3104</v>
      </c>
      <c r="X169" t="s">
        <v>3105</v>
      </c>
      <c r="Y169" t="s">
        <v>3106</v>
      </c>
      <c r="Z169" t="s">
        <v>3107</v>
      </c>
      <c r="AA169" t="s">
        <v>3108</v>
      </c>
      <c r="AB169" t="s">
        <v>3109</v>
      </c>
      <c r="AC169" t="s">
        <v>3110</v>
      </c>
      <c r="AD169" t="s">
        <v>3111</v>
      </c>
      <c r="AE169" t="s">
        <v>3112</v>
      </c>
      <c r="AF169" t="s">
        <v>74</v>
      </c>
      <c r="AG169">
        <v>30</v>
      </c>
      <c r="AH169">
        <v>0</v>
      </c>
      <c r="AI169">
        <v>0</v>
      </c>
      <c r="AJ169">
        <v>13</v>
      </c>
      <c r="AK169">
        <v>13</v>
      </c>
      <c r="AL169" t="s">
        <v>92</v>
      </c>
      <c r="AM169" t="s">
        <v>93</v>
      </c>
      <c r="AN169" t="s">
        <v>94</v>
      </c>
      <c r="AO169" t="s">
        <v>2835</v>
      </c>
      <c r="AP169" t="s">
        <v>2836</v>
      </c>
      <c r="AQ169" t="s">
        <v>74</v>
      </c>
      <c r="AR169" t="s">
        <v>2837</v>
      </c>
      <c r="AS169" t="s">
        <v>2838</v>
      </c>
      <c r="AT169" t="s">
        <v>99</v>
      </c>
      <c r="AU169">
        <v>2023</v>
      </c>
      <c r="AV169">
        <v>56</v>
      </c>
      <c r="AW169">
        <v>1</v>
      </c>
      <c r="AX169" t="s">
        <v>74</v>
      </c>
      <c r="AY169" t="s">
        <v>74</v>
      </c>
      <c r="AZ169" t="s">
        <v>74</v>
      </c>
      <c r="BA169" t="s">
        <v>74</v>
      </c>
      <c r="BB169" t="s">
        <v>74</v>
      </c>
      <c r="BC169" t="s">
        <v>74</v>
      </c>
      <c r="BD169">
        <v>2211125</v>
      </c>
      <c r="BE169" t="s">
        <v>3113</v>
      </c>
      <c r="BF169" t="str">
        <f>HYPERLINK("http://dx.doi.org/10.1080/00219592.2023.2211125","http://dx.doi.org/10.1080/00219592.2023.2211125")</f>
        <v>http://dx.doi.org/10.1080/00219592.2023.2211125</v>
      </c>
      <c r="BG169" t="s">
        <v>74</v>
      </c>
      <c r="BH169" t="s">
        <v>74</v>
      </c>
      <c r="BI169">
        <v>8</v>
      </c>
      <c r="BJ169" t="s">
        <v>2840</v>
      </c>
      <c r="BK169" t="s">
        <v>102</v>
      </c>
      <c r="BL169" t="s">
        <v>1095</v>
      </c>
      <c r="BM169" t="s">
        <v>3114</v>
      </c>
      <c r="BN169" t="s">
        <v>74</v>
      </c>
      <c r="BO169" t="s">
        <v>126</v>
      </c>
      <c r="BP169" t="s">
        <v>74</v>
      </c>
      <c r="BQ169" t="s">
        <v>74</v>
      </c>
      <c r="BR169" t="s">
        <v>105</v>
      </c>
      <c r="BS169" t="s">
        <v>3115</v>
      </c>
      <c r="BT169" t="str">
        <f>HYPERLINK("https%3A%2F%2Fwww.webofscience.com%2Fwos%2Fwoscc%2Ffull-record%2FWOS:000995226200001","View Full Record in Web of Science")</f>
        <v>View Full Record in Web of Science</v>
      </c>
    </row>
    <row r="170" spans="1:72" x14ac:dyDescent="0.15">
      <c r="A170" t="s">
        <v>72</v>
      </c>
      <c r="B170" t="s">
        <v>3116</v>
      </c>
      <c r="C170" t="s">
        <v>74</v>
      </c>
      <c r="D170" t="s">
        <v>74</v>
      </c>
      <c r="E170" t="s">
        <v>74</v>
      </c>
      <c r="F170" t="s">
        <v>3117</v>
      </c>
      <c r="G170" t="s">
        <v>74</v>
      </c>
      <c r="H170" t="s">
        <v>74</v>
      </c>
      <c r="I170" t="s">
        <v>3118</v>
      </c>
      <c r="J170" t="s">
        <v>217</v>
      </c>
      <c r="K170" t="s">
        <v>74</v>
      </c>
      <c r="L170" t="s">
        <v>74</v>
      </c>
      <c r="M170" t="s">
        <v>78</v>
      </c>
      <c r="N170" t="s">
        <v>79</v>
      </c>
      <c r="O170" t="s">
        <v>74</v>
      </c>
      <c r="P170" t="s">
        <v>74</v>
      </c>
      <c r="Q170" t="s">
        <v>74</v>
      </c>
      <c r="R170" t="s">
        <v>74</v>
      </c>
      <c r="S170" t="s">
        <v>74</v>
      </c>
      <c r="T170" t="s">
        <v>3119</v>
      </c>
      <c r="U170" t="s">
        <v>3120</v>
      </c>
      <c r="V170" t="s">
        <v>74</v>
      </c>
      <c r="W170" t="s">
        <v>3121</v>
      </c>
      <c r="X170" t="s">
        <v>3122</v>
      </c>
      <c r="Y170" t="s">
        <v>3123</v>
      </c>
      <c r="Z170" t="s">
        <v>3124</v>
      </c>
      <c r="AA170" t="s">
        <v>74</v>
      </c>
      <c r="AB170" t="s">
        <v>74</v>
      </c>
      <c r="AC170" t="s">
        <v>74</v>
      </c>
      <c r="AD170" t="s">
        <v>74</v>
      </c>
      <c r="AE170" t="s">
        <v>74</v>
      </c>
      <c r="AF170" t="s">
        <v>74</v>
      </c>
      <c r="AG170">
        <v>15</v>
      </c>
      <c r="AH170">
        <v>0</v>
      </c>
      <c r="AI170">
        <v>0</v>
      </c>
      <c r="AJ170">
        <v>0</v>
      </c>
      <c r="AK170">
        <v>0</v>
      </c>
      <c r="AL170" t="s">
        <v>92</v>
      </c>
      <c r="AM170" t="s">
        <v>93</v>
      </c>
      <c r="AN170" t="s">
        <v>94</v>
      </c>
      <c r="AO170" t="s">
        <v>226</v>
      </c>
      <c r="AP170" t="s">
        <v>227</v>
      </c>
      <c r="AQ170" t="s">
        <v>74</v>
      </c>
      <c r="AR170" t="s">
        <v>228</v>
      </c>
      <c r="AS170" t="s">
        <v>229</v>
      </c>
      <c r="AT170" t="s">
        <v>99</v>
      </c>
      <c r="AU170">
        <v>2023</v>
      </c>
      <c r="AV170">
        <v>82</v>
      </c>
      <c r="AW170">
        <v>1</v>
      </c>
      <c r="AX170" t="s">
        <v>74</v>
      </c>
      <c r="AY170" t="s">
        <v>74</v>
      </c>
      <c r="AZ170" t="s">
        <v>74</v>
      </c>
      <c r="BA170" t="s">
        <v>74</v>
      </c>
      <c r="BB170" t="s">
        <v>74</v>
      </c>
      <c r="BC170" t="s">
        <v>74</v>
      </c>
      <c r="BD170">
        <v>2238911</v>
      </c>
      <c r="BE170" t="s">
        <v>3125</v>
      </c>
      <c r="BF170" t="str">
        <f>HYPERLINK("http://dx.doi.org/10.1080/22423982.2023.2238911","http://dx.doi.org/10.1080/22423982.2023.2238911")</f>
        <v>http://dx.doi.org/10.1080/22423982.2023.2238911</v>
      </c>
      <c r="BG170" t="s">
        <v>74</v>
      </c>
      <c r="BH170" t="s">
        <v>74</v>
      </c>
      <c r="BI170">
        <v>2</v>
      </c>
      <c r="BJ170" t="s">
        <v>163</v>
      </c>
      <c r="BK170" t="s">
        <v>123</v>
      </c>
      <c r="BL170" t="s">
        <v>163</v>
      </c>
      <c r="BM170" t="s">
        <v>3126</v>
      </c>
      <c r="BN170">
        <v>37490555</v>
      </c>
      <c r="BO170" t="s">
        <v>104</v>
      </c>
      <c r="BP170" t="s">
        <v>74</v>
      </c>
      <c r="BQ170" t="s">
        <v>74</v>
      </c>
      <c r="BR170" t="s">
        <v>105</v>
      </c>
      <c r="BS170" t="s">
        <v>3127</v>
      </c>
      <c r="BT170" t="str">
        <f>HYPERLINK("https%3A%2F%2Fwww.webofscience.com%2Fwos%2Fwoscc%2Ffull-record%2FWOS:001035410500001","View Full Record in Web of Science")</f>
        <v>View Full Record in Web of Science</v>
      </c>
    </row>
    <row r="171" spans="1:72" x14ac:dyDescent="0.15">
      <c r="A171" t="s">
        <v>72</v>
      </c>
      <c r="B171" t="s">
        <v>3128</v>
      </c>
      <c r="C171" t="s">
        <v>74</v>
      </c>
      <c r="D171" t="s">
        <v>74</v>
      </c>
      <c r="E171" t="s">
        <v>74</v>
      </c>
      <c r="F171" t="s">
        <v>3129</v>
      </c>
      <c r="G171" t="s">
        <v>74</v>
      </c>
      <c r="H171" t="s">
        <v>74</v>
      </c>
      <c r="I171" t="s">
        <v>3130</v>
      </c>
      <c r="J171" t="s">
        <v>3131</v>
      </c>
      <c r="K171" t="s">
        <v>74</v>
      </c>
      <c r="L171" t="s">
        <v>74</v>
      </c>
      <c r="M171" t="s">
        <v>78</v>
      </c>
      <c r="N171" t="s">
        <v>79</v>
      </c>
      <c r="O171" t="s">
        <v>74</v>
      </c>
      <c r="P171" t="s">
        <v>74</v>
      </c>
      <c r="Q171" t="s">
        <v>74</v>
      </c>
      <c r="R171" t="s">
        <v>74</v>
      </c>
      <c r="S171" t="s">
        <v>74</v>
      </c>
      <c r="T171" t="s">
        <v>3132</v>
      </c>
      <c r="U171" t="s">
        <v>3133</v>
      </c>
      <c r="V171" t="s">
        <v>3134</v>
      </c>
      <c r="W171" t="s">
        <v>3135</v>
      </c>
      <c r="X171" t="s">
        <v>3136</v>
      </c>
      <c r="Y171" t="s">
        <v>3137</v>
      </c>
      <c r="Z171" t="s">
        <v>3138</v>
      </c>
      <c r="AA171" t="s">
        <v>74</v>
      </c>
      <c r="AB171" t="s">
        <v>3139</v>
      </c>
      <c r="AC171" t="s">
        <v>3140</v>
      </c>
      <c r="AD171" t="s">
        <v>3140</v>
      </c>
      <c r="AE171" t="s">
        <v>3141</v>
      </c>
      <c r="AF171" t="s">
        <v>74</v>
      </c>
      <c r="AG171">
        <v>72</v>
      </c>
      <c r="AH171">
        <v>0</v>
      </c>
      <c r="AI171">
        <v>0</v>
      </c>
      <c r="AJ171">
        <v>5</v>
      </c>
      <c r="AK171">
        <v>5</v>
      </c>
      <c r="AL171" t="s">
        <v>92</v>
      </c>
      <c r="AM171" t="s">
        <v>93</v>
      </c>
      <c r="AN171" t="s">
        <v>94</v>
      </c>
      <c r="AO171" t="s">
        <v>3142</v>
      </c>
      <c r="AP171" t="s">
        <v>3143</v>
      </c>
      <c r="AQ171" t="s">
        <v>74</v>
      </c>
      <c r="AR171" t="s">
        <v>3144</v>
      </c>
      <c r="AS171" t="s">
        <v>3145</v>
      </c>
      <c r="AT171" t="s">
        <v>99</v>
      </c>
      <c r="AU171">
        <v>2023</v>
      </c>
      <c r="AV171">
        <v>16</v>
      </c>
      <c r="AW171">
        <v>1</v>
      </c>
      <c r="AX171" t="s">
        <v>74</v>
      </c>
      <c r="AY171" t="s">
        <v>74</v>
      </c>
      <c r="AZ171" t="s">
        <v>74</v>
      </c>
      <c r="BA171" t="s">
        <v>74</v>
      </c>
      <c r="BB171">
        <v>117</v>
      </c>
      <c r="BC171">
        <v>128</v>
      </c>
      <c r="BD171" t="s">
        <v>74</v>
      </c>
      <c r="BE171" t="s">
        <v>3146</v>
      </c>
      <c r="BF171" t="str">
        <f>HYPERLINK("http://dx.doi.org/10.1080/19397038.2023.2214167","http://dx.doi.org/10.1080/19397038.2023.2214167")</f>
        <v>http://dx.doi.org/10.1080/19397038.2023.2214167</v>
      </c>
      <c r="BG171" t="s">
        <v>74</v>
      </c>
      <c r="BH171" t="s">
        <v>74</v>
      </c>
      <c r="BI171">
        <v>12</v>
      </c>
      <c r="BJ171" t="s">
        <v>3147</v>
      </c>
      <c r="BK171" t="s">
        <v>211</v>
      </c>
      <c r="BL171" t="s">
        <v>353</v>
      </c>
      <c r="BM171" t="s">
        <v>3148</v>
      </c>
      <c r="BN171" t="s">
        <v>74</v>
      </c>
      <c r="BO171" t="s">
        <v>126</v>
      </c>
      <c r="BP171" t="s">
        <v>74</v>
      </c>
      <c r="BQ171" t="s">
        <v>74</v>
      </c>
      <c r="BR171" t="s">
        <v>105</v>
      </c>
      <c r="BS171" t="s">
        <v>3149</v>
      </c>
      <c r="BT171" t="str">
        <f>HYPERLINK("https%3A%2F%2Fwww.webofscience.com%2Fwos%2Fwoscc%2Ffull-record%2FWOS:000993222300001","View Full Record in Web of Science")</f>
        <v>View Full Record in Web of Science</v>
      </c>
    </row>
    <row r="172" spans="1:72" x14ac:dyDescent="0.15">
      <c r="A172" t="s">
        <v>72</v>
      </c>
      <c r="B172" t="s">
        <v>3150</v>
      </c>
      <c r="C172" t="s">
        <v>74</v>
      </c>
      <c r="D172" t="s">
        <v>74</v>
      </c>
      <c r="E172" t="s">
        <v>74</v>
      </c>
      <c r="F172" t="s">
        <v>3151</v>
      </c>
      <c r="G172" t="s">
        <v>74</v>
      </c>
      <c r="H172" t="s">
        <v>74</v>
      </c>
      <c r="I172" t="s">
        <v>3152</v>
      </c>
      <c r="J172" t="s">
        <v>2503</v>
      </c>
      <c r="K172" t="s">
        <v>74</v>
      </c>
      <c r="L172" t="s">
        <v>74</v>
      </c>
      <c r="M172" t="s">
        <v>78</v>
      </c>
      <c r="N172" t="s">
        <v>79</v>
      </c>
      <c r="O172" t="s">
        <v>74</v>
      </c>
      <c r="P172" t="s">
        <v>74</v>
      </c>
      <c r="Q172" t="s">
        <v>74</v>
      </c>
      <c r="R172" t="s">
        <v>74</v>
      </c>
      <c r="S172" t="s">
        <v>74</v>
      </c>
      <c r="T172" t="s">
        <v>3153</v>
      </c>
      <c r="U172" t="s">
        <v>3154</v>
      </c>
      <c r="V172" t="s">
        <v>3155</v>
      </c>
      <c r="W172" t="s">
        <v>3156</v>
      </c>
      <c r="X172" t="s">
        <v>3157</v>
      </c>
      <c r="Y172" t="s">
        <v>3158</v>
      </c>
      <c r="Z172" t="s">
        <v>3159</v>
      </c>
      <c r="AA172" t="s">
        <v>3160</v>
      </c>
      <c r="AB172" t="s">
        <v>74</v>
      </c>
      <c r="AC172" t="s">
        <v>74</v>
      </c>
      <c r="AD172" t="s">
        <v>74</v>
      </c>
      <c r="AE172" t="s">
        <v>74</v>
      </c>
      <c r="AF172" t="s">
        <v>74</v>
      </c>
      <c r="AG172">
        <v>85</v>
      </c>
      <c r="AH172">
        <v>0</v>
      </c>
      <c r="AI172">
        <v>0</v>
      </c>
      <c r="AJ172">
        <v>1</v>
      </c>
      <c r="AK172">
        <v>1</v>
      </c>
      <c r="AL172" t="s">
        <v>92</v>
      </c>
      <c r="AM172" t="s">
        <v>93</v>
      </c>
      <c r="AN172" t="s">
        <v>94</v>
      </c>
      <c r="AO172" t="s">
        <v>2511</v>
      </c>
      <c r="AP172" t="s">
        <v>2512</v>
      </c>
      <c r="AQ172" t="s">
        <v>74</v>
      </c>
      <c r="AR172" t="s">
        <v>2513</v>
      </c>
      <c r="AS172" t="s">
        <v>2514</v>
      </c>
      <c r="AT172" t="s">
        <v>99</v>
      </c>
      <c r="AU172">
        <v>2023</v>
      </c>
      <c r="AV172">
        <v>51</v>
      </c>
      <c r="AW172">
        <v>1</v>
      </c>
      <c r="AX172" t="s">
        <v>74</v>
      </c>
      <c r="AY172" t="s">
        <v>74</v>
      </c>
      <c r="AZ172" t="s">
        <v>74</v>
      </c>
      <c r="BA172" t="s">
        <v>74</v>
      </c>
      <c r="BB172">
        <v>414</v>
      </c>
      <c r="BC172">
        <v>423</v>
      </c>
      <c r="BD172" t="s">
        <v>74</v>
      </c>
      <c r="BE172" t="s">
        <v>3161</v>
      </c>
      <c r="BF172" t="str">
        <f>HYPERLINK("http://dx.doi.org/10.1080/09712119.2023.2211652","http://dx.doi.org/10.1080/09712119.2023.2211652")</f>
        <v>http://dx.doi.org/10.1080/09712119.2023.2211652</v>
      </c>
      <c r="BG172" t="s">
        <v>74</v>
      </c>
      <c r="BH172" t="s">
        <v>74</v>
      </c>
      <c r="BI172">
        <v>10</v>
      </c>
      <c r="BJ172" t="s">
        <v>2516</v>
      </c>
      <c r="BK172" t="s">
        <v>102</v>
      </c>
      <c r="BL172" t="s">
        <v>2517</v>
      </c>
      <c r="BM172" t="s">
        <v>3162</v>
      </c>
      <c r="BN172" t="s">
        <v>74</v>
      </c>
      <c r="BO172" t="s">
        <v>126</v>
      </c>
      <c r="BP172" t="s">
        <v>74</v>
      </c>
      <c r="BQ172" t="s">
        <v>74</v>
      </c>
      <c r="BR172" t="s">
        <v>105</v>
      </c>
      <c r="BS172" t="s">
        <v>3163</v>
      </c>
      <c r="BT172" t="str">
        <f>HYPERLINK("https%3A%2F%2Fwww.webofscience.com%2Fwos%2Fwoscc%2Ffull-record%2FWOS:000993218600001","View Full Record in Web of Science")</f>
        <v>View Full Record in Web of Science</v>
      </c>
    </row>
    <row r="173" spans="1:72" x14ac:dyDescent="0.15">
      <c r="A173" t="s">
        <v>72</v>
      </c>
      <c r="B173" t="s">
        <v>3164</v>
      </c>
      <c r="C173" t="s">
        <v>74</v>
      </c>
      <c r="D173" t="s">
        <v>74</v>
      </c>
      <c r="E173" t="s">
        <v>74</v>
      </c>
      <c r="F173" t="s">
        <v>3165</v>
      </c>
      <c r="G173" t="s">
        <v>74</v>
      </c>
      <c r="H173" t="s">
        <v>74</v>
      </c>
      <c r="I173" t="s">
        <v>3166</v>
      </c>
      <c r="J173" t="s">
        <v>1078</v>
      </c>
      <c r="K173" t="s">
        <v>74</v>
      </c>
      <c r="L173" t="s">
        <v>74</v>
      </c>
      <c r="M173" t="s">
        <v>78</v>
      </c>
      <c r="N173" t="s">
        <v>171</v>
      </c>
      <c r="O173" t="s">
        <v>74</v>
      </c>
      <c r="P173" t="s">
        <v>74</v>
      </c>
      <c r="Q173" t="s">
        <v>74</v>
      </c>
      <c r="R173" t="s">
        <v>74</v>
      </c>
      <c r="S173" t="s">
        <v>74</v>
      </c>
      <c r="T173" t="s">
        <v>3167</v>
      </c>
      <c r="U173" t="s">
        <v>3168</v>
      </c>
      <c r="V173" t="s">
        <v>3169</v>
      </c>
      <c r="W173" t="s">
        <v>3170</v>
      </c>
      <c r="X173" t="s">
        <v>3171</v>
      </c>
      <c r="Y173" t="s">
        <v>3172</v>
      </c>
      <c r="Z173" t="s">
        <v>3173</v>
      </c>
      <c r="AA173" t="s">
        <v>3174</v>
      </c>
      <c r="AB173" t="s">
        <v>3175</v>
      </c>
      <c r="AC173" t="s">
        <v>3176</v>
      </c>
      <c r="AD173" t="s">
        <v>3176</v>
      </c>
      <c r="AE173" t="s">
        <v>3177</v>
      </c>
      <c r="AF173" t="s">
        <v>74</v>
      </c>
      <c r="AG173">
        <v>123</v>
      </c>
      <c r="AH173">
        <v>1</v>
      </c>
      <c r="AI173">
        <v>1</v>
      </c>
      <c r="AJ173">
        <v>7</v>
      </c>
      <c r="AK173">
        <v>8</v>
      </c>
      <c r="AL173" t="s">
        <v>287</v>
      </c>
      <c r="AM173" t="s">
        <v>288</v>
      </c>
      <c r="AN173" t="s">
        <v>289</v>
      </c>
      <c r="AO173" t="s">
        <v>1090</v>
      </c>
      <c r="AP173" t="s">
        <v>74</v>
      </c>
      <c r="AQ173" t="s">
        <v>74</v>
      </c>
      <c r="AR173" t="s">
        <v>1091</v>
      </c>
      <c r="AS173" t="s">
        <v>1092</v>
      </c>
      <c r="AT173" t="s">
        <v>99</v>
      </c>
      <c r="AU173">
        <v>2023</v>
      </c>
      <c r="AV173">
        <v>10</v>
      </c>
      <c r="AW173">
        <v>1</v>
      </c>
      <c r="AX173" t="s">
        <v>74</v>
      </c>
      <c r="AY173" t="s">
        <v>74</v>
      </c>
      <c r="AZ173" t="s">
        <v>74</v>
      </c>
      <c r="BA173" t="s">
        <v>74</v>
      </c>
      <c r="BB173" t="s">
        <v>74</v>
      </c>
      <c r="BC173" t="s">
        <v>74</v>
      </c>
      <c r="BD173">
        <v>2178125</v>
      </c>
      <c r="BE173" t="s">
        <v>3178</v>
      </c>
      <c r="BF173" t="str">
        <f>HYPERLINK("http://dx.doi.org/10.1080/23311916.2023.2178125","http://dx.doi.org/10.1080/23311916.2023.2178125")</f>
        <v>http://dx.doi.org/10.1080/23311916.2023.2178125</v>
      </c>
      <c r="BG173" t="s">
        <v>74</v>
      </c>
      <c r="BH173" t="s">
        <v>74</v>
      </c>
      <c r="BI173">
        <v>47</v>
      </c>
      <c r="BJ173" t="s">
        <v>1094</v>
      </c>
      <c r="BK173" t="s">
        <v>211</v>
      </c>
      <c r="BL173" t="s">
        <v>1095</v>
      </c>
      <c r="BM173" t="s">
        <v>3179</v>
      </c>
      <c r="BN173" t="s">
        <v>74</v>
      </c>
      <c r="BO173" t="s">
        <v>126</v>
      </c>
      <c r="BP173" t="s">
        <v>74</v>
      </c>
      <c r="BQ173" t="s">
        <v>74</v>
      </c>
      <c r="BR173" t="s">
        <v>105</v>
      </c>
      <c r="BS173" t="s">
        <v>3180</v>
      </c>
      <c r="BT173" t="str">
        <f>HYPERLINK("https%3A%2F%2Fwww.webofscience.com%2Fwos%2Fwoscc%2Ffull-record%2FWOS:000949424700001","View Full Record in Web of Science")</f>
        <v>View Full Record in Web of Science</v>
      </c>
    </row>
    <row r="174" spans="1:72" x14ac:dyDescent="0.15">
      <c r="A174" t="s">
        <v>72</v>
      </c>
      <c r="B174" t="s">
        <v>3181</v>
      </c>
      <c r="C174" t="s">
        <v>74</v>
      </c>
      <c r="D174" t="s">
        <v>74</v>
      </c>
      <c r="E174" t="s">
        <v>74</v>
      </c>
      <c r="F174" t="s">
        <v>3182</v>
      </c>
      <c r="G174" t="s">
        <v>74</v>
      </c>
      <c r="H174" t="s">
        <v>74</v>
      </c>
      <c r="I174" t="s">
        <v>3183</v>
      </c>
      <c r="J174" t="s">
        <v>110</v>
      </c>
      <c r="K174" t="s">
        <v>74</v>
      </c>
      <c r="L174" t="s">
        <v>74</v>
      </c>
      <c r="M174" t="s">
        <v>78</v>
      </c>
      <c r="N174" t="s">
        <v>79</v>
      </c>
      <c r="O174" t="s">
        <v>74</v>
      </c>
      <c r="P174" t="s">
        <v>74</v>
      </c>
      <c r="Q174" t="s">
        <v>74</v>
      </c>
      <c r="R174" t="s">
        <v>74</v>
      </c>
      <c r="S174" t="s">
        <v>74</v>
      </c>
      <c r="T174" t="s">
        <v>3184</v>
      </c>
      <c r="U174" t="s">
        <v>74</v>
      </c>
      <c r="V174" t="s">
        <v>3185</v>
      </c>
      <c r="W174" t="s">
        <v>3186</v>
      </c>
      <c r="X174" t="s">
        <v>3187</v>
      </c>
      <c r="Y174" t="s">
        <v>3188</v>
      </c>
      <c r="Z174" t="s">
        <v>3189</v>
      </c>
      <c r="AA174" t="s">
        <v>74</v>
      </c>
      <c r="AB174" t="s">
        <v>74</v>
      </c>
      <c r="AC174" t="s">
        <v>74</v>
      </c>
      <c r="AD174" t="s">
        <v>74</v>
      </c>
      <c r="AE174" t="s">
        <v>74</v>
      </c>
      <c r="AF174" t="s">
        <v>74</v>
      </c>
      <c r="AG174">
        <v>40</v>
      </c>
      <c r="AH174">
        <v>0</v>
      </c>
      <c r="AI174">
        <v>0</v>
      </c>
      <c r="AJ174">
        <v>0</v>
      </c>
      <c r="AK174">
        <v>0</v>
      </c>
      <c r="AL174" t="s">
        <v>92</v>
      </c>
      <c r="AM174" t="s">
        <v>93</v>
      </c>
      <c r="AN174" t="s">
        <v>94</v>
      </c>
      <c r="AO174" t="s">
        <v>118</v>
      </c>
      <c r="AP174" t="s">
        <v>74</v>
      </c>
      <c r="AQ174" t="s">
        <v>74</v>
      </c>
      <c r="AR174" t="s">
        <v>119</v>
      </c>
      <c r="AS174" t="s">
        <v>120</v>
      </c>
      <c r="AT174" t="s">
        <v>99</v>
      </c>
      <c r="AU174">
        <v>2023</v>
      </c>
      <c r="AV174">
        <v>19</v>
      </c>
      <c r="AW174">
        <v>1</v>
      </c>
      <c r="AX174" t="s">
        <v>74</v>
      </c>
      <c r="AY174" t="s">
        <v>74</v>
      </c>
      <c r="AZ174" t="s">
        <v>74</v>
      </c>
      <c r="BA174" t="s">
        <v>74</v>
      </c>
      <c r="BB174" t="s">
        <v>74</v>
      </c>
      <c r="BC174" t="s">
        <v>74</v>
      </c>
      <c r="BD174">
        <v>2232360</v>
      </c>
      <c r="BE174" t="s">
        <v>3190</v>
      </c>
      <c r="BF174" t="str">
        <f>HYPERLINK("http://dx.doi.org/10.1080/17445647.2023.2232360","http://dx.doi.org/10.1080/17445647.2023.2232360")</f>
        <v>http://dx.doi.org/10.1080/17445647.2023.2232360</v>
      </c>
      <c r="BG174" t="s">
        <v>74</v>
      </c>
      <c r="BH174" t="s">
        <v>74</v>
      </c>
      <c r="BI174">
        <v>9</v>
      </c>
      <c r="BJ174" t="s">
        <v>122</v>
      </c>
      <c r="BK174" t="s">
        <v>123</v>
      </c>
      <c r="BL174" t="s">
        <v>124</v>
      </c>
      <c r="BM174" t="s">
        <v>3191</v>
      </c>
      <c r="BN174" t="s">
        <v>74</v>
      </c>
      <c r="BO174" t="s">
        <v>126</v>
      </c>
      <c r="BP174" t="s">
        <v>74</v>
      </c>
      <c r="BQ174" t="s">
        <v>74</v>
      </c>
      <c r="BR174" t="s">
        <v>105</v>
      </c>
      <c r="BS174" t="s">
        <v>3192</v>
      </c>
      <c r="BT174" t="str">
        <f>HYPERLINK("https%3A%2F%2Fwww.webofscience.com%2Fwos%2Fwoscc%2Ffull-record%2FWOS:001029118500001","View Full Record in Web of Science")</f>
        <v>View Full Record in Web of Science</v>
      </c>
    </row>
    <row r="175" spans="1:72" x14ac:dyDescent="0.15">
      <c r="A175" t="s">
        <v>72</v>
      </c>
      <c r="B175" t="s">
        <v>3193</v>
      </c>
      <c r="C175" t="s">
        <v>74</v>
      </c>
      <c r="D175" t="s">
        <v>74</v>
      </c>
      <c r="E175" t="s">
        <v>74</v>
      </c>
      <c r="F175" t="s">
        <v>3194</v>
      </c>
      <c r="G175" t="s">
        <v>74</v>
      </c>
      <c r="H175" t="s">
        <v>74</v>
      </c>
      <c r="I175" t="s">
        <v>3195</v>
      </c>
      <c r="J175" t="s">
        <v>2782</v>
      </c>
      <c r="K175" t="s">
        <v>74</v>
      </c>
      <c r="L175" t="s">
        <v>74</v>
      </c>
      <c r="M175" t="s">
        <v>78</v>
      </c>
      <c r="N175" t="s">
        <v>2650</v>
      </c>
      <c r="O175" t="s">
        <v>74</v>
      </c>
      <c r="P175" t="s">
        <v>74</v>
      </c>
      <c r="Q175" t="s">
        <v>74</v>
      </c>
      <c r="R175" t="s">
        <v>74</v>
      </c>
      <c r="S175" t="s">
        <v>74</v>
      </c>
      <c r="T175" t="s">
        <v>74</v>
      </c>
      <c r="U175" t="s">
        <v>3196</v>
      </c>
      <c r="V175" t="s">
        <v>74</v>
      </c>
      <c r="W175" t="s">
        <v>3197</v>
      </c>
      <c r="X175" t="s">
        <v>3198</v>
      </c>
      <c r="Y175" t="s">
        <v>3199</v>
      </c>
      <c r="Z175" t="s">
        <v>3200</v>
      </c>
      <c r="AA175" t="s">
        <v>74</v>
      </c>
      <c r="AB175" t="s">
        <v>74</v>
      </c>
      <c r="AC175" t="s">
        <v>74</v>
      </c>
      <c r="AD175" t="s">
        <v>74</v>
      </c>
      <c r="AE175" t="s">
        <v>74</v>
      </c>
      <c r="AF175" t="s">
        <v>74</v>
      </c>
      <c r="AG175">
        <v>33</v>
      </c>
      <c r="AH175">
        <v>0</v>
      </c>
      <c r="AI175">
        <v>0</v>
      </c>
      <c r="AJ175">
        <v>4</v>
      </c>
      <c r="AK175">
        <v>4</v>
      </c>
      <c r="AL175" t="s">
        <v>92</v>
      </c>
      <c r="AM175" t="s">
        <v>93</v>
      </c>
      <c r="AN175" t="s">
        <v>94</v>
      </c>
      <c r="AO175" t="s">
        <v>2792</v>
      </c>
      <c r="AP175" t="s">
        <v>74</v>
      </c>
      <c r="AQ175" t="s">
        <v>74</v>
      </c>
      <c r="AR175" t="s">
        <v>2793</v>
      </c>
      <c r="AS175" t="s">
        <v>2794</v>
      </c>
      <c r="AT175" t="s">
        <v>99</v>
      </c>
      <c r="AU175">
        <v>2023</v>
      </c>
      <c r="AV175">
        <v>7</v>
      </c>
      <c r="AW175">
        <v>1</v>
      </c>
      <c r="AX175" t="s">
        <v>74</v>
      </c>
      <c r="AY175" t="s">
        <v>74</v>
      </c>
      <c r="AZ175" t="s">
        <v>74</v>
      </c>
      <c r="BA175" t="s">
        <v>74</v>
      </c>
      <c r="BB175" t="s">
        <v>74</v>
      </c>
      <c r="BC175" t="s">
        <v>74</v>
      </c>
      <c r="BD175">
        <v>2161272</v>
      </c>
      <c r="BE175" t="s">
        <v>3201</v>
      </c>
      <c r="BF175" t="str">
        <f>HYPERLINK("http://dx.doi.org/10.1080/24740527.2022.2161272","http://dx.doi.org/10.1080/24740527.2022.2161272")</f>
        <v>http://dx.doi.org/10.1080/24740527.2022.2161272</v>
      </c>
      <c r="BG175" t="s">
        <v>74</v>
      </c>
      <c r="BH175" t="s">
        <v>74</v>
      </c>
      <c r="BI175">
        <v>6</v>
      </c>
      <c r="BJ175" t="s">
        <v>2796</v>
      </c>
      <c r="BK175" t="s">
        <v>211</v>
      </c>
      <c r="BL175" t="s">
        <v>2797</v>
      </c>
      <c r="BM175" t="s">
        <v>3202</v>
      </c>
      <c r="BN175">
        <v>36874230</v>
      </c>
      <c r="BO175" t="s">
        <v>165</v>
      </c>
      <c r="BP175" t="s">
        <v>74</v>
      </c>
      <c r="BQ175" t="s">
        <v>74</v>
      </c>
      <c r="BR175" t="s">
        <v>105</v>
      </c>
      <c r="BS175" t="s">
        <v>3203</v>
      </c>
      <c r="BT175" t="str">
        <f>HYPERLINK("https%3A%2F%2Fwww.webofscience.com%2Fwos%2Fwoscc%2Ffull-record%2FWOS:000937098500001","View Full Record in Web of Science")</f>
        <v>View Full Record in Web of Science</v>
      </c>
    </row>
    <row r="176" spans="1:72" x14ac:dyDescent="0.15">
      <c r="A176" t="s">
        <v>72</v>
      </c>
      <c r="B176" t="s">
        <v>3204</v>
      </c>
      <c r="C176" t="s">
        <v>74</v>
      </c>
      <c r="D176" t="s">
        <v>74</v>
      </c>
      <c r="E176" t="s">
        <v>74</v>
      </c>
      <c r="F176" t="s">
        <v>3205</v>
      </c>
      <c r="G176" t="s">
        <v>74</v>
      </c>
      <c r="H176" t="s">
        <v>74</v>
      </c>
      <c r="I176" t="s">
        <v>3206</v>
      </c>
      <c r="J176" t="s">
        <v>871</v>
      </c>
      <c r="K176" t="s">
        <v>74</v>
      </c>
      <c r="L176" t="s">
        <v>74</v>
      </c>
      <c r="M176" t="s">
        <v>78</v>
      </c>
      <c r="N176" t="s">
        <v>79</v>
      </c>
      <c r="O176" t="s">
        <v>74</v>
      </c>
      <c r="P176" t="s">
        <v>74</v>
      </c>
      <c r="Q176" t="s">
        <v>74</v>
      </c>
      <c r="R176" t="s">
        <v>74</v>
      </c>
      <c r="S176" t="s">
        <v>74</v>
      </c>
      <c r="T176" t="s">
        <v>3207</v>
      </c>
      <c r="U176" t="s">
        <v>3208</v>
      </c>
      <c r="V176" t="s">
        <v>3209</v>
      </c>
      <c r="W176" t="s">
        <v>3210</v>
      </c>
      <c r="X176" t="s">
        <v>3211</v>
      </c>
      <c r="Y176" t="s">
        <v>3212</v>
      </c>
      <c r="Z176" t="s">
        <v>3213</v>
      </c>
      <c r="AA176" t="s">
        <v>74</v>
      </c>
      <c r="AB176" t="s">
        <v>74</v>
      </c>
      <c r="AC176" t="s">
        <v>74</v>
      </c>
      <c r="AD176" t="s">
        <v>74</v>
      </c>
      <c r="AE176" t="s">
        <v>74</v>
      </c>
      <c r="AF176" t="s">
        <v>74</v>
      </c>
      <c r="AG176">
        <v>27</v>
      </c>
      <c r="AH176">
        <v>0</v>
      </c>
      <c r="AI176">
        <v>0</v>
      </c>
      <c r="AJ176">
        <v>1</v>
      </c>
      <c r="AK176">
        <v>1</v>
      </c>
      <c r="AL176" t="s">
        <v>92</v>
      </c>
      <c r="AM176" t="s">
        <v>93</v>
      </c>
      <c r="AN176" t="s">
        <v>94</v>
      </c>
      <c r="AO176" t="s">
        <v>880</v>
      </c>
      <c r="AP176" t="s">
        <v>881</v>
      </c>
      <c r="AQ176" t="s">
        <v>74</v>
      </c>
      <c r="AR176" t="s">
        <v>882</v>
      </c>
      <c r="AS176" t="s">
        <v>883</v>
      </c>
      <c r="AT176" t="s">
        <v>99</v>
      </c>
      <c r="AU176">
        <v>2023</v>
      </c>
      <c r="AV176">
        <v>36</v>
      </c>
      <c r="AW176">
        <v>1</v>
      </c>
      <c r="AX176" t="s">
        <v>74</v>
      </c>
      <c r="AY176" t="s">
        <v>74</v>
      </c>
      <c r="AZ176" t="s">
        <v>74</v>
      </c>
      <c r="BA176" t="s">
        <v>74</v>
      </c>
      <c r="BB176" t="s">
        <v>74</v>
      </c>
      <c r="BC176" t="s">
        <v>74</v>
      </c>
      <c r="BD176">
        <v>2206941</v>
      </c>
      <c r="BE176" t="s">
        <v>3214</v>
      </c>
      <c r="BF176" t="str">
        <f>HYPERLINK("http://dx.doi.org/10.1080/14767058.2023.2206941","http://dx.doi.org/10.1080/14767058.2023.2206941")</f>
        <v>http://dx.doi.org/10.1080/14767058.2023.2206941</v>
      </c>
      <c r="BG176" t="s">
        <v>74</v>
      </c>
      <c r="BH176" t="s">
        <v>74</v>
      </c>
      <c r="BI176">
        <v>7</v>
      </c>
      <c r="BJ176" t="s">
        <v>885</v>
      </c>
      <c r="BK176" t="s">
        <v>102</v>
      </c>
      <c r="BL176" t="s">
        <v>885</v>
      </c>
      <c r="BM176" t="s">
        <v>3215</v>
      </c>
      <c r="BN176">
        <v>37121909</v>
      </c>
      <c r="BO176" t="s">
        <v>3096</v>
      </c>
      <c r="BP176" t="s">
        <v>74</v>
      </c>
      <c r="BQ176" t="s">
        <v>74</v>
      </c>
      <c r="BR176" t="s">
        <v>105</v>
      </c>
      <c r="BS176" t="s">
        <v>3216</v>
      </c>
      <c r="BT176" t="str">
        <f>HYPERLINK("https%3A%2F%2Fwww.webofscience.com%2Fwos%2Fwoscc%2Ffull-record%2FWOS:000976256800001","View Full Record in Web of Science")</f>
        <v>View Full Record in Web of Science</v>
      </c>
    </row>
    <row r="177" spans="1:72" x14ac:dyDescent="0.15">
      <c r="A177" t="s">
        <v>72</v>
      </c>
      <c r="B177" t="s">
        <v>3217</v>
      </c>
      <c r="C177" t="s">
        <v>74</v>
      </c>
      <c r="D177" t="s">
        <v>74</v>
      </c>
      <c r="E177" t="s">
        <v>74</v>
      </c>
      <c r="F177" t="s">
        <v>3218</v>
      </c>
      <c r="G177" t="s">
        <v>74</v>
      </c>
      <c r="H177" t="s">
        <v>74</v>
      </c>
      <c r="I177" t="s">
        <v>3219</v>
      </c>
      <c r="J177" t="s">
        <v>1337</v>
      </c>
      <c r="K177" t="s">
        <v>74</v>
      </c>
      <c r="L177" t="s">
        <v>74</v>
      </c>
      <c r="M177" t="s">
        <v>78</v>
      </c>
      <c r="N177" t="s">
        <v>79</v>
      </c>
      <c r="O177" t="s">
        <v>74</v>
      </c>
      <c r="P177" t="s">
        <v>74</v>
      </c>
      <c r="Q177" t="s">
        <v>74</v>
      </c>
      <c r="R177" t="s">
        <v>74</v>
      </c>
      <c r="S177" t="s">
        <v>74</v>
      </c>
      <c r="T177" t="s">
        <v>3220</v>
      </c>
      <c r="U177" t="s">
        <v>3221</v>
      </c>
      <c r="V177" t="s">
        <v>3222</v>
      </c>
      <c r="W177" t="s">
        <v>3223</v>
      </c>
      <c r="X177" t="s">
        <v>3224</v>
      </c>
      <c r="Y177" t="s">
        <v>3225</v>
      </c>
      <c r="Z177" t="s">
        <v>3226</v>
      </c>
      <c r="AA177" t="s">
        <v>74</v>
      </c>
      <c r="AB177" t="s">
        <v>74</v>
      </c>
      <c r="AC177" t="s">
        <v>74</v>
      </c>
      <c r="AD177" t="s">
        <v>74</v>
      </c>
      <c r="AE177" t="s">
        <v>74</v>
      </c>
      <c r="AF177" t="s">
        <v>74</v>
      </c>
      <c r="AG177">
        <v>59</v>
      </c>
      <c r="AH177">
        <v>0</v>
      </c>
      <c r="AI177">
        <v>0</v>
      </c>
      <c r="AJ177">
        <v>2</v>
      </c>
      <c r="AK177">
        <v>2</v>
      </c>
      <c r="AL177" t="s">
        <v>184</v>
      </c>
      <c r="AM177" t="s">
        <v>185</v>
      </c>
      <c r="AN177" t="s">
        <v>186</v>
      </c>
      <c r="AO177" t="s">
        <v>1348</v>
      </c>
      <c r="AP177" t="s">
        <v>1349</v>
      </c>
      <c r="AQ177" t="s">
        <v>74</v>
      </c>
      <c r="AR177" t="s">
        <v>1350</v>
      </c>
      <c r="AS177" t="s">
        <v>1351</v>
      </c>
      <c r="AT177" t="s">
        <v>99</v>
      </c>
      <c r="AU177">
        <v>2023</v>
      </c>
      <c r="AV177">
        <v>24</v>
      </c>
      <c r="AW177">
        <v>1</v>
      </c>
      <c r="AX177" t="s">
        <v>74</v>
      </c>
      <c r="AY177" t="s">
        <v>74</v>
      </c>
      <c r="AZ177" t="s">
        <v>74</v>
      </c>
      <c r="BA177" t="s">
        <v>74</v>
      </c>
      <c r="BB177" t="s">
        <v>74</v>
      </c>
      <c r="BC177" t="s">
        <v>74</v>
      </c>
      <c r="BD177">
        <v>2246208</v>
      </c>
      <c r="BE177" t="s">
        <v>3227</v>
      </c>
      <c r="BF177" t="str">
        <f>HYPERLINK("http://dx.doi.org/10.1080/15384047.2023.2246208","http://dx.doi.org/10.1080/15384047.2023.2246208")</f>
        <v>http://dx.doi.org/10.1080/15384047.2023.2246208</v>
      </c>
      <c r="BG177" t="s">
        <v>74</v>
      </c>
      <c r="BH177" t="s">
        <v>74</v>
      </c>
      <c r="BI177">
        <v>10</v>
      </c>
      <c r="BJ177" t="s">
        <v>1353</v>
      </c>
      <c r="BK177" t="s">
        <v>102</v>
      </c>
      <c r="BL177" t="s">
        <v>1353</v>
      </c>
      <c r="BM177" t="s">
        <v>3228</v>
      </c>
      <c r="BN177">
        <v>37621144</v>
      </c>
      <c r="BO177" t="s">
        <v>126</v>
      </c>
      <c r="BP177" t="s">
        <v>74</v>
      </c>
      <c r="BQ177" t="s">
        <v>74</v>
      </c>
      <c r="BR177" t="s">
        <v>105</v>
      </c>
      <c r="BS177" t="s">
        <v>3229</v>
      </c>
      <c r="BT177" t="str">
        <f>HYPERLINK("https%3A%2F%2Fwww.webofscience.com%2Fwos%2Fwoscc%2Ffull-record%2FWOS:001054669300001","View Full Record in Web of Science")</f>
        <v>View Full Record in Web of Science</v>
      </c>
    </row>
    <row r="178" spans="1:72" x14ac:dyDescent="0.15">
      <c r="A178" t="s">
        <v>72</v>
      </c>
      <c r="B178" t="s">
        <v>3230</v>
      </c>
      <c r="C178" t="s">
        <v>74</v>
      </c>
      <c r="D178" t="s">
        <v>74</v>
      </c>
      <c r="E178" t="s">
        <v>74</v>
      </c>
      <c r="F178" t="s">
        <v>3231</v>
      </c>
      <c r="G178" t="s">
        <v>74</v>
      </c>
      <c r="H178" t="s">
        <v>74</v>
      </c>
      <c r="I178" t="s">
        <v>3232</v>
      </c>
      <c r="J178" t="s">
        <v>1765</v>
      </c>
      <c r="K178" t="s">
        <v>74</v>
      </c>
      <c r="L178" t="s">
        <v>74</v>
      </c>
      <c r="M178" t="s">
        <v>78</v>
      </c>
      <c r="N178" t="s">
        <v>79</v>
      </c>
      <c r="O178" t="s">
        <v>74</v>
      </c>
      <c r="P178" t="s">
        <v>74</v>
      </c>
      <c r="Q178" t="s">
        <v>74</v>
      </c>
      <c r="R178" t="s">
        <v>74</v>
      </c>
      <c r="S178" t="s">
        <v>74</v>
      </c>
      <c r="T178" t="s">
        <v>3233</v>
      </c>
      <c r="U178" t="s">
        <v>3234</v>
      </c>
      <c r="V178" t="s">
        <v>3235</v>
      </c>
      <c r="W178" t="s">
        <v>3236</v>
      </c>
      <c r="X178" t="s">
        <v>3237</v>
      </c>
      <c r="Y178" t="s">
        <v>3238</v>
      </c>
      <c r="Z178" t="s">
        <v>3239</v>
      </c>
      <c r="AA178" t="s">
        <v>3240</v>
      </c>
      <c r="AB178" t="s">
        <v>3241</v>
      </c>
      <c r="AC178" t="s">
        <v>74</v>
      </c>
      <c r="AD178" t="s">
        <v>74</v>
      </c>
      <c r="AE178" t="s">
        <v>74</v>
      </c>
      <c r="AF178" t="s">
        <v>74</v>
      </c>
      <c r="AG178">
        <v>18</v>
      </c>
      <c r="AH178">
        <v>0</v>
      </c>
      <c r="AI178">
        <v>0</v>
      </c>
      <c r="AJ178">
        <v>4</v>
      </c>
      <c r="AK178">
        <v>5</v>
      </c>
      <c r="AL178" t="s">
        <v>184</v>
      </c>
      <c r="AM178" t="s">
        <v>185</v>
      </c>
      <c r="AN178" t="s">
        <v>186</v>
      </c>
      <c r="AO178" t="s">
        <v>1774</v>
      </c>
      <c r="AP178" t="s">
        <v>1775</v>
      </c>
      <c r="AQ178" t="s">
        <v>74</v>
      </c>
      <c r="AR178" t="s">
        <v>1776</v>
      </c>
      <c r="AS178" t="s">
        <v>1777</v>
      </c>
      <c r="AT178" t="s">
        <v>99</v>
      </c>
      <c r="AU178">
        <v>2023</v>
      </c>
      <c r="AV178">
        <v>43</v>
      </c>
      <c r="AW178">
        <v>1</v>
      </c>
      <c r="AX178" t="s">
        <v>74</v>
      </c>
      <c r="AY178" t="s">
        <v>74</v>
      </c>
      <c r="AZ178" t="s">
        <v>74</v>
      </c>
      <c r="BA178" t="s">
        <v>74</v>
      </c>
      <c r="BB178" t="s">
        <v>74</v>
      </c>
      <c r="BC178" t="s">
        <v>74</v>
      </c>
      <c r="BD178">
        <v>2173058</v>
      </c>
      <c r="BE178" t="s">
        <v>3242</v>
      </c>
      <c r="BF178" t="str">
        <f>HYPERLINK("http://dx.doi.org/10.1080/01443615.2023.2173058","http://dx.doi.org/10.1080/01443615.2023.2173058")</f>
        <v>http://dx.doi.org/10.1080/01443615.2023.2173058</v>
      </c>
      <c r="BG178" t="s">
        <v>74</v>
      </c>
      <c r="BH178" t="s">
        <v>74</v>
      </c>
      <c r="BI178">
        <v>5</v>
      </c>
      <c r="BJ178" t="s">
        <v>885</v>
      </c>
      <c r="BK178" t="s">
        <v>102</v>
      </c>
      <c r="BL178" t="s">
        <v>885</v>
      </c>
      <c r="BM178" t="s">
        <v>3243</v>
      </c>
      <c r="BN178">
        <v>36920100</v>
      </c>
      <c r="BO178" t="s">
        <v>126</v>
      </c>
      <c r="BP178" t="s">
        <v>74</v>
      </c>
      <c r="BQ178" t="s">
        <v>74</v>
      </c>
      <c r="BR178" t="s">
        <v>105</v>
      </c>
      <c r="BS178" t="s">
        <v>3244</v>
      </c>
      <c r="BT178" t="str">
        <f>HYPERLINK("https%3A%2F%2Fwww.webofscience.com%2Fwos%2Fwoscc%2Ffull-record%2FWOS:000949055200001","View Full Record in Web of Science")</f>
        <v>View Full Record in Web of Science</v>
      </c>
    </row>
    <row r="179" spans="1:72" x14ac:dyDescent="0.15">
      <c r="A179" t="s">
        <v>72</v>
      </c>
      <c r="B179" t="s">
        <v>3245</v>
      </c>
      <c r="C179" t="s">
        <v>74</v>
      </c>
      <c r="D179" t="s">
        <v>74</v>
      </c>
      <c r="E179" t="s">
        <v>74</v>
      </c>
      <c r="F179" t="s">
        <v>3246</v>
      </c>
      <c r="G179" t="s">
        <v>74</v>
      </c>
      <c r="H179" t="s">
        <v>74</v>
      </c>
      <c r="I179" t="s">
        <v>3247</v>
      </c>
      <c r="J179" t="s">
        <v>151</v>
      </c>
      <c r="K179" t="s">
        <v>74</v>
      </c>
      <c r="L179" t="s">
        <v>74</v>
      </c>
      <c r="M179" t="s">
        <v>78</v>
      </c>
      <c r="N179" t="s">
        <v>79</v>
      </c>
      <c r="O179" t="s">
        <v>74</v>
      </c>
      <c r="P179" t="s">
        <v>74</v>
      </c>
      <c r="Q179" t="s">
        <v>74</v>
      </c>
      <c r="R179" t="s">
        <v>74</v>
      </c>
      <c r="S179" t="s">
        <v>74</v>
      </c>
      <c r="T179" t="s">
        <v>3248</v>
      </c>
      <c r="U179" t="s">
        <v>1799</v>
      </c>
      <c r="V179" t="s">
        <v>3249</v>
      </c>
      <c r="W179" t="s">
        <v>3250</v>
      </c>
      <c r="X179" t="s">
        <v>3251</v>
      </c>
      <c r="Y179" t="s">
        <v>3252</v>
      </c>
      <c r="Z179" t="s">
        <v>3253</v>
      </c>
      <c r="AA179" t="s">
        <v>3254</v>
      </c>
      <c r="AB179" t="s">
        <v>3255</v>
      </c>
      <c r="AC179" t="s">
        <v>74</v>
      </c>
      <c r="AD179" t="s">
        <v>74</v>
      </c>
      <c r="AE179" t="s">
        <v>74</v>
      </c>
      <c r="AF179" t="s">
        <v>74</v>
      </c>
      <c r="AG179">
        <v>45</v>
      </c>
      <c r="AH179">
        <v>0</v>
      </c>
      <c r="AI179">
        <v>0</v>
      </c>
      <c r="AJ179">
        <v>2</v>
      </c>
      <c r="AK179">
        <v>2</v>
      </c>
      <c r="AL179" t="s">
        <v>92</v>
      </c>
      <c r="AM179" t="s">
        <v>93</v>
      </c>
      <c r="AN179" t="s">
        <v>94</v>
      </c>
      <c r="AO179" t="s">
        <v>74</v>
      </c>
      <c r="AP179" t="s">
        <v>160</v>
      </c>
      <c r="AQ179" t="s">
        <v>74</v>
      </c>
      <c r="AR179" t="s">
        <v>151</v>
      </c>
      <c r="AS179" t="s">
        <v>161</v>
      </c>
      <c r="AT179" t="s">
        <v>99</v>
      </c>
      <c r="AU179">
        <v>2023</v>
      </c>
      <c r="AV179">
        <v>16</v>
      </c>
      <c r="AW179">
        <v>1</v>
      </c>
      <c r="AX179" t="s">
        <v>74</v>
      </c>
      <c r="AY179" t="s">
        <v>74</v>
      </c>
      <c r="AZ179" t="s">
        <v>74</v>
      </c>
      <c r="BA179" t="s">
        <v>74</v>
      </c>
      <c r="BB179" t="s">
        <v>74</v>
      </c>
      <c r="BC179" t="s">
        <v>74</v>
      </c>
      <c r="BD179">
        <v>2202465</v>
      </c>
      <c r="BE179" t="s">
        <v>3256</v>
      </c>
      <c r="BF179" t="str">
        <f>HYPERLINK("http://dx.doi.org/10.1080/16549716.2023.2202465","http://dx.doi.org/10.1080/16549716.2023.2202465")</f>
        <v>http://dx.doi.org/10.1080/16549716.2023.2202465</v>
      </c>
      <c r="BG179" t="s">
        <v>74</v>
      </c>
      <c r="BH179" t="s">
        <v>74</v>
      </c>
      <c r="BI179">
        <v>9</v>
      </c>
      <c r="BJ179" t="s">
        <v>163</v>
      </c>
      <c r="BK179" t="s">
        <v>123</v>
      </c>
      <c r="BL179" t="s">
        <v>163</v>
      </c>
      <c r="BM179" t="s">
        <v>3257</v>
      </c>
      <c r="BN179">
        <v>37133240</v>
      </c>
      <c r="BO179" t="s">
        <v>104</v>
      </c>
      <c r="BP179" t="s">
        <v>74</v>
      </c>
      <c r="BQ179" t="s">
        <v>74</v>
      </c>
      <c r="BR179" t="s">
        <v>105</v>
      </c>
      <c r="BS179" t="s">
        <v>3258</v>
      </c>
      <c r="BT179" t="str">
        <f>HYPERLINK("https%3A%2F%2Fwww.webofscience.com%2Fwos%2Fwoscc%2Ffull-record%2FWOS:000979806700001","View Full Record in Web of Science")</f>
        <v>View Full Record in Web of Science</v>
      </c>
    </row>
    <row r="180" spans="1:72" x14ac:dyDescent="0.15">
      <c r="A180" t="s">
        <v>72</v>
      </c>
      <c r="B180" t="s">
        <v>3259</v>
      </c>
      <c r="C180" t="s">
        <v>74</v>
      </c>
      <c r="D180" t="s">
        <v>74</v>
      </c>
      <c r="E180" t="s">
        <v>74</v>
      </c>
      <c r="F180" t="s">
        <v>3260</v>
      </c>
      <c r="G180" t="s">
        <v>74</v>
      </c>
      <c r="H180" t="s">
        <v>74</v>
      </c>
      <c r="I180" t="s">
        <v>3261</v>
      </c>
      <c r="J180" t="s">
        <v>964</v>
      </c>
      <c r="K180" t="s">
        <v>74</v>
      </c>
      <c r="L180" t="s">
        <v>74</v>
      </c>
      <c r="M180" t="s">
        <v>78</v>
      </c>
      <c r="N180" t="s">
        <v>79</v>
      </c>
      <c r="O180" t="s">
        <v>74</v>
      </c>
      <c r="P180" t="s">
        <v>74</v>
      </c>
      <c r="Q180" t="s">
        <v>74</v>
      </c>
      <c r="R180" t="s">
        <v>74</v>
      </c>
      <c r="S180" t="s">
        <v>74</v>
      </c>
      <c r="T180" t="s">
        <v>3262</v>
      </c>
      <c r="U180" t="s">
        <v>3263</v>
      </c>
      <c r="V180" t="s">
        <v>3264</v>
      </c>
      <c r="W180" t="s">
        <v>3265</v>
      </c>
      <c r="X180" t="s">
        <v>3266</v>
      </c>
      <c r="Y180" t="s">
        <v>3267</v>
      </c>
      <c r="Z180" t="s">
        <v>3268</v>
      </c>
      <c r="AA180" t="s">
        <v>74</v>
      </c>
      <c r="AB180" t="s">
        <v>74</v>
      </c>
      <c r="AC180" t="s">
        <v>3269</v>
      </c>
      <c r="AD180" t="s">
        <v>3269</v>
      </c>
      <c r="AE180" t="s">
        <v>3270</v>
      </c>
      <c r="AF180" t="s">
        <v>74</v>
      </c>
      <c r="AG180">
        <v>68</v>
      </c>
      <c r="AH180">
        <v>0</v>
      </c>
      <c r="AI180">
        <v>0</v>
      </c>
      <c r="AJ180">
        <v>10</v>
      </c>
      <c r="AK180">
        <v>10</v>
      </c>
      <c r="AL180" t="s">
        <v>92</v>
      </c>
      <c r="AM180" t="s">
        <v>93</v>
      </c>
      <c r="AN180" t="s">
        <v>94</v>
      </c>
      <c r="AO180" t="s">
        <v>977</v>
      </c>
      <c r="AP180" t="s">
        <v>978</v>
      </c>
      <c r="AQ180" t="s">
        <v>74</v>
      </c>
      <c r="AR180" t="s">
        <v>979</v>
      </c>
      <c r="AS180" t="s">
        <v>980</v>
      </c>
      <c r="AT180" t="s">
        <v>99</v>
      </c>
      <c r="AU180">
        <v>2023</v>
      </c>
      <c r="AV180">
        <v>60</v>
      </c>
      <c r="AW180">
        <v>1</v>
      </c>
      <c r="AX180" t="s">
        <v>74</v>
      </c>
      <c r="AY180" t="s">
        <v>74</v>
      </c>
      <c r="AZ180" t="s">
        <v>74</v>
      </c>
      <c r="BA180" t="s">
        <v>74</v>
      </c>
      <c r="BB180" t="s">
        <v>74</v>
      </c>
      <c r="BC180" t="s">
        <v>74</v>
      </c>
      <c r="BD180">
        <v>2249748</v>
      </c>
      <c r="BE180" t="s">
        <v>3271</v>
      </c>
      <c r="BF180" t="str">
        <f>HYPERLINK("http://dx.doi.org/10.1080/15481603.2023.2249748","http://dx.doi.org/10.1080/15481603.2023.2249748")</f>
        <v>http://dx.doi.org/10.1080/15481603.2023.2249748</v>
      </c>
      <c r="BG180" t="s">
        <v>74</v>
      </c>
      <c r="BH180" t="s">
        <v>74</v>
      </c>
      <c r="BI180">
        <v>19</v>
      </c>
      <c r="BJ180" t="s">
        <v>542</v>
      </c>
      <c r="BK180" t="s">
        <v>102</v>
      </c>
      <c r="BL180" t="s">
        <v>543</v>
      </c>
      <c r="BM180" t="s">
        <v>3272</v>
      </c>
      <c r="BN180" t="s">
        <v>74</v>
      </c>
      <c r="BO180" t="s">
        <v>126</v>
      </c>
      <c r="BP180" t="s">
        <v>74</v>
      </c>
      <c r="BQ180" t="s">
        <v>74</v>
      </c>
      <c r="BR180" t="s">
        <v>105</v>
      </c>
      <c r="BS180" t="s">
        <v>3273</v>
      </c>
      <c r="BT180" t="str">
        <f>HYPERLINK("https%3A%2F%2Fwww.webofscience.com%2Fwos%2Fwoscc%2Ffull-record%2FWOS:001053891000001","View Full Record in Web of Science")</f>
        <v>View Full Record in Web of Science</v>
      </c>
    </row>
    <row r="181" spans="1:72" x14ac:dyDescent="0.15">
      <c r="A181" t="s">
        <v>72</v>
      </c>
      <c r="B181" t="s">
        <v>3274</v>
      </c>
      <c r="C181" t="s">
        <v>74</v>
      </c>
      <c r="D181" t="s">
        <v>74</v>
      </c>
      <c r="E181" t="s">
        <v>74</v>
      </c>
      <c r="F181" t="s">
        <v>3275</v>
      </c>
      <c r="G181" t="s">
        <v>74</v>
      </c>
      <c r="H181" t="s">
        <v>74</v>
      </c>
      <c r="I181" t="s">
        <v>3276</v>
      </c>
      <c r="J181" t="s">
        <v>379</v>
      </c>
      <c r="K181" t="s">
        <v>74</v>
      </c>
      <c r="L181" t="s">
        <v>74</v>
      </c>
      <c r="M181" t="s">
        <v>78</v>
      </c>
      <c r="N181" t="s">
        <v>79</v>
      </c>
      <c r="O181" t="s">
        <v>74</v>
      </c>
      <c r="P181" t="s">
        <v>74</v>
      </c>
      <c r="Q181" t="s">
        <v>74</v>
      </c>
      <c r="R181" t="s">
        <v>74</v>
      </c>
      <c r="S181" t="s">
        <v>74</v>
      </c>
      <c r="T181" t="s">
        <v>3277</v>
      </c>
      <c r="U181" t="s">
        <v>3278</v>
      </c>
      <c r="V181" t="s">
        <v>3279</v>
      </c>
      <c r="W181" t="s">
        <v>3280</v>
      </c>
      <c r="X181" t="s">
        <v>3281</v>
      </c>
      <c r="Y181" t="s">
        <v>3282</v>
      </c>
      <c r="Z181" t="s">
        <v>3283</v>
      </c>
      <c r="AA181" t="s">
        <v>74</v>
      </c>
      <c r="AB181" t="s">
        <v>3284</v>
      </c>
      <c r="AC181" t="s">
        <v>74</v>
      </c>
      <c r="AD181" t="s">
        <v>74</v>
      </c>
      <c r="AE181" t="s">
        <v>74</v>
      </c>
      <c r="AF181" t="s">
        <v>74</v>
      </c>
      <c r="AG181">
        <v>58</v>
      </c>
      <c r="AH181">
        <v>0</v>
      </c>
      <c r="AI181">
        <v>0</v>
      </c>
      <c r="AJ181">
        <v>0</v>
      </c>
      <c r="AK181">
        <v>0</v>
      </c>
      <c r="AL181" t="s">
        <v>287</v>
      </c>
      <c r="AM181" t="s">
        <v>288</v>
      </c>
      <c r="AN181" t="s">
        <v>289</v>
      </c>
      <c r="AO181" t="s">
        <v>392</v>
      </c>
      <c r="AP181" t="s">
        <v>74</v>
      </c>
      <c r="AQ181" t="s">
        <v>74</v>
      </c>
      <c r="AR181" t="s">
        <v>393</v>
      </c>
      <c r="AS181" t="s">
        <v>394</v>
      </c>
      <c r="AT181" t="s">
        <v>99</v>
      </c>
      <c r="AU181">
        <v>2023</v>
      </c>
      <c r="AV181">
        <v>9</v>
      </c>
      <c r="AW181">
        <v>1</v>
      </c>
      <c r="AX181" t="s">
        <v>74</v>
      </c>
      <c r="AY181" t="s">
        <v>74</v>
      </c>
      <c r="AZ181" t="s">
        <v>74</v>
      </c>
      <c r="BA181" t="s">
        <v>74</v>
      </c>
      <c r="BB181" t="s">
        <v>74</v>
      </c>
      <c r="BC181" t="s">
        <v>74</v>
      </c>
      <c r="BD181">
        <v>2194737</v>
      </c>
      <c r="BE181" t="s">
        <v>3285</v>
      </c>
      <c r="BF181" t="str">
        <f>HYPERLINK("http://dx.doi.org/10.1080/23311886.2023.2194737","http://dx.doi.org/10.1080/23311886.2023.2194737")</f>
        <v>http://dx.doi.org/10.1080/23311886.2023.2194737</v>
      </c>
      <c r="BG181" t="s">
        <v>74</v>
      </c>
      <c r="BH181" t="s">
        <v>74</v>
      </c>
      <c r="BI181">
        <v>19</v>
      </c>
      <c r="BJ181" t="s">
        <v>396</v>
      </c>
      <c r="BK181" t="s">
        <v>211</v>
      </c>
      <c r="BL181" t="s">
        <v>397</v>
      </c>
      <c r="BM181" t="s">
        <v>3286</v>
      </c>
      <c r="BN181" t="s">
        <v>74</v>
      </c>
      <c r="BO181" t="s">
        <v>126</v>
      </c>
      <c r="BP181" t="s">
        <v>74</v>
      </c>
      <c r="BQ181" t="s">
        <v>74</v>
      </c>
      <c r="BR181" t="s">
        <v>105</v>
      </c>
      <c r="BS181" t="s">
        <v>3287</v>
      </c>
      <c r="BT181" t="str">
        <f>HYPERLINK("https%3A%2F%2Fwww.webofscience.com%2Fwos%2Fwoscc%2Ffull-record%2FWOS:000959176900001","View Full Record in Web of Science")</f>
        <v>View Full Record in Web of Science</v>
      </c>
    </row>
    <row r="182" spans="1:72" x14ac:dyDescent="0.15">
      <c r="A182" t="s">
        <v>72</v>
      </c>
      <c r="B182" t="s">
        <v>3288</v>
      </c>
      <c r="C182" t="s">
        <v>74</v>
      </c>
      <c r="D182" t="s">
        <v>74</v>
      </c>
      <c r="E182" t="s">
        <v>74</v>
      </c>
      <c r="F182" t="s">
        <v>3289</v>
      </c>
      <c r="G182" t="s">
        <v>74</v>
      </c>
      <c r="H182" t="s">
        <v>74</v>
      </c>
      <c r="I182" t="s">
        <v>3290</v>
      </c>
      <c r="J182" t="s">
        <v>2714</v>
      </c>
      <c r="K182" t="s">
        <v>74</v>
      </c>
      <c r="L182" t="s">
        <v>74</v>
      </c>
      <c r="M182" t="s">
        <v>78</v>
      </c>
      <c r="N182" t="s">
        <v>2650</v>
      </c>
      <c r="O182" t="s">
        <v>74</v>
      </c>
      <c r="P182" t="s">
        <v>74</v>
      </c>
      <c r="Q182" t="s">
        <v>74</v>
      </c>
      <c r="R182" t="s">
        <v>74</v>
      </c>
      <c r="S182" t="s">
        <v>74</v>
      </c>
      <c r="T182" t="s">
        <v>3291</v>
      </c>
      <c r="U182" t="s">
        <v>74</v>
      </c>
      <c r="V182" t="s">
        <v>3292</v>
      </c>
      <c r="W182" t="s">
        <v>3293</v>
      </c>
      <c r="X182" t="s">
        <v>3294</v>
      </c>
      <c r="Y182" t="s">
        <v>3295</v>
      </c>
      <c r="Z182" t="s">
        <v>3296</v>
      </c>
      <c r="AA182" t="s">
        <v>74</v>
      </c>
      <c r="AB182" t="s">
        <v>74</v>
      </c>
      <c r="AC182" t="s">
        <v>74</v>
      </c>
      <c r="AD182" t="s">
        <v>74</v>
      </c>
      <c r="AE182" t="s">
        <v>74</v>
      </c>
      <c r="AF182" t="s">
        <v>74</v>
      </c>
      <c r="AG182">
        <v>24</v>
      </c>
      <c r="AH182">
        <v>0</v>
      </c>
      <c r="AI182">
        <v>0</v>
      </c>
      <c r="AJ182">
        <v>5</v>
      </c>
      <c r="AK182">
        <v>5</v>
      </c>
      <c r="AL182" t="s">
        <v>184</v>
      </c>
      <c r="AM182" t="s">
        <v>185</v>
      </c>
      <c r="AN182" t="s">
        <v>186</v>
      </c>
      <c r="AO182" t="s">
        <v>2726</v>
      </c>
      <c r="AP182" t="s">
        <v>2727</v>
      </c>
      <c r="AQ182" t="s">
        <v>74</v>
      </c>
      <c r="AR182" t="s">
        <v>2728</v>
      </c>
      <c r="AS182" t="s">
        <v>2729</v>
      </c>
      <c r="AT182" t="s">
        <v>99</v>
      </c>
      <c r="AU182">
        <v>2023</v>
      </c>
      <c r="AV182">
        <v>20</v>
      </c>
      <c r="AW182">
        <v>1</v>
      </c>
      <c r="AX182" t="s">
        <v>74</v>
      </c>
      <c r="AY182" t="s">
        <v>74</v>
      </c>
      <c r="AZ182" t="s">
        <v>74</v>
      </c>
      <c r="BA182" t="s">
        <v>74</v>
      </c>
      <c r="BB182">
        <v>219</v>
      </c>
      <c r="BC182">
        <v>222</v>
      </c>
      <c r="BD182" t="s">
        <v>74</v>
      </c>
      <c r="BE182" t="s">
        <v>3297</v>
      </c>
      <c r="BF182" t="str">
        <f>HYPERLINK("http://dx.doi.org/10.1080/15476286.2023.2214437","http://dx.doi.org/10.1080/15476286.2023.2214437")</f>
        <v>http://dx.doi.org/10.1080/15476286.2023.2214437</v>
      </c>
      <c r="BG182" t="s">
        <v>74</v>
      </c>
      <c r="BH182" t="s">
        <v>74</v>
      </c>
      <c r="BI182">
        <v>4</v>
      </c>
      <c r="BJ182" t="s">
        <v>925</v>
      </c>
      <c r="BK182" t="s">
        <v>102</v>
      </c>
      <c r="BL182" t="s">
        <v>925</v>
      </c>
      <c r="BM182" t="s">
        <v>3298</v>
      </c>
      <c r="BN182">
        <v>37199468</v>
      </c>
      <c r="BO182" t="s">
        <v>104</v>
      </c>
      <c r="BP182" t="s">
        <v>74</v>
      </c>
      <c r="BQ182" t="s">
        <v>74</v>
      </c>
      <c r="BR182" t="s">
        <v>105</v>
      </c>
      <c r="BS182" t="s">
        <v>3299</v>
      </c>
      <c r="BT182" t="str">
        <f>HYPERLINK("https%3A%2F%2Fwww.webofscience.com%2Fwos%2Fwoscc%2Ffull-record%2FWOS:000989230200001","View Full Record in Web of Science")</f>
        <v>View Full Record in Web of Science</v>
      </c>
    </row>
    <row r="183" spans="1:72" x14ac:dyDescent="0.15">
      <c r="A183" t="s">
        <v>72</v>
      </c>
      <c r="B183" t="s">
        <v>3300</v>
      </c>
      <c r="C183" t="s">
        <v>74</v>
      </c>
      <c r="D183" t="s">
        <v>74</v>
      </c>
      <c r="E183" t="s">
        <v>74</v>
      </c>
      <c r="F183" t="s">
        <v>3301</v>
      </c>
      <c r="G183" t="s">
        <v>74</v>
      </c>
      <c r="H183" t="s">
        <v>74</v>
      </c>
      <c r="I183" t="s">
        <v>3302</v>
      </c>
      <c r="J183" t="s">
        <v>563</v>
      </c>
      <c r="K183" t="s">
        <v>74</v>
      </c>
      <c r="L183" t="s">
        <v>74</v>
      </c>
      <c r="M183" t="s">
        <v>78</v>
      </c>
      <c r="N183" t="s">
        <v>79</v>
      </c>
      <c r="O183" t="s">
        <v>74</v>
      </c>
      <c r="P183" t="s">
        <v>74</v>
      </c>
      <c r="Q183" t="s">
        <v>74</v>
      </c>
      <c r="R183" t="s">
        <v>74</v>
      </c>
      <c r="S183" t="s">
        <v>74</v>
      </c>
      <c r="T183" t="s">
        <v>3303</v>
      </c>
      <c r="U183" t="s">
        <v>74</v>
      </c>
      <c r="V183" t="s">
        <v>3304</v>
      </c>
      <c r="W183" t="s">
        <v>3305</v>
      </c>
      <c r="X183" t="s">
        <v>74</v>
      </c>
      <c r="Y183" t="s">
        <v>3306</v>
      </c>
      <c r="Z183" t="s">
        <v>3307</v>
      </c>
      <c r="AA183" t="s">
        <v>74</v>
      </c>
      <c r="AB183" t="s">
        <v>74</v>
      </c>
      <c r="AC183" t="s">
        <v>74</v>
      </c>
      <c r="AD183" t="s">
        <v>74</v>
      </c>
      <c r="AE183" t="s">
        <v>74</v>
      </c>
      <c r="AF183" t="s">
        <v>74</v>
      </c>
      <c r="AG183">
        <v>55</v>
      </c>
      <c r="AH183">
        <v>0</v>
      </c>
      <c r="AI183">
        <v>0</v>
      </c>
      <c r="AJ183">
        <v>1</v>
      </c>
      <c r="AK183">
        <v>2</v>
      </c>
      <c r="AL183" t="s">
        <v>287</v>
      </c>
      <c r="AM183" t="s">
        <v>288</v>
      </c>
      <c r="AN183" t="s">
        <v>289</v>
      </c>
      <c r="AO183" t="s">
        <v>571</v>
      </c>
      <c r="AP183" t="s">
        <v>74</v>
      </c>
      <c r="AQ183" t="s">
        <v>74</v>
      </c>
      <c r="AR183" t="s">
        <v>572</v>
      </c>
      <c r="AS183" t="s">
        <v>573</v>
      </c>
      <c r="AT183" t="s">
        <v>99</v>
      </c>
      <c r="AU183">
        <v>2023</v>
      </c>
      <c r="AV183">
        <v>10</v>
      </c>
      <c r="AW183">
        <v>1</v>
      </c>
      <c r="AX183" t="s">
        <v>74</v>
      </c>
      <c r="AY183" t="s">
        <v>74</v>
      </c>
      <c r="AZ183" t="s">
        <v>74</v>
      </c>
      <c r="BA183" t="s">
        <v>74</v>
      </c>
      <c r="BB183" t="s">
        <v>74</v>
      </c>
      <c r="BC183" t="s">
        <v>74</v>
      </c>
      <c r="BD183">
        <v>2160580</v>
      </c>
      <c r="BE183" t="s">
        <v>3308</v>
      </c>
      <c r="BF183" t="str">
        <f>HYPERLINK("http://dx.doi.org/10.1080/23311983.2022.2160580","http://dx.doi.org/10.1080/23311983.2022.2160580")</f>
        <v>http://dx.doi.org/10.1080/23311983.2022.2160580</v>
      </c>
      <c r="BG183" t="s">
        <v>74</v>
      </c>
      <c r="BH183" t="s">
        <v>74</v>
      </c>
      <c r="BI183">
        <v>15</v>
      </c>
      <c r="BJ183" t="s">
        <v>575</v>
      </c>
      <c r="BK183" t="s">
        <v>211</v>
      </c>
      <c r="BL183" t="s">
        <v>576</v>
      </c>
      <c r="BM183" t="s">
        <v>3309</v>
      </c>
      <c r="BN183" t="s">
        <v>74</v>
      </c>
      <c r="BO183" t="s">
        <v>126</v>
      </c>
      <c r="BP183" t="s">
        <v>74</v>
      </c>
      <c r="BQ183" t="s">
        <v>74</v>
      </c>
      <c r="BR183" t="s">
        <v>105</v>
      </c>
      <c r="BS183" t="s">
        <v>3310</v>
      </c>
      <c r="BT183" t="str">
        <f>HYPERLINK("https%3A%2F%2Fwww.webofscience.com%2Fwos%2Fwoscc%2Ffull-record%2FWOS:000898931200001","View Full Record in Web of Science")</f>
        <v>View Full Record in Web of Science</v>
      </c>
    </row>
    <row r="184" spans="1:72" x14ac:dyDescent="0.15">
      <c r="A184" t="s">
        <v>72</v>
      </c>
      <c r="B184" t="s">
        <v>3311</v>
      </c>
      <c r="C184" t="s">
        <v>74</v>
      </c>
      <c r="D184" t="s">
        <v>74</v>
      </c>
      <c r="E184" t="s">
        <v>74</v>
      </c>
      <c r="F184" t="s">
        <v>3312</v>
      </c>
      <c r="G184" t="s">
        <v>74</v>
      </c>
      <c r="H184" t="s">
        <v>74</v>
      </c>
      <c r="I184" t="s">
        <v>3313</v>
      </c>
      <c r="J184" t="s">
        <v>2503</v>
      </c>
      <c r="K184" t="s">
        <v>74</v>
      </c>
      <c r="L184" t="s">
        <v>74</v>
      </c>
      <c r="M184" t="s">
        <v>78</v>
      </c>
      <c r="N184" t="s">
        <v>79</v>
      </c>
      <c r="O184" t="s">
        <v>74</v>
      </c>
      <c r="P184" t="s">
        <v>74</v>
      </c>
      <c r="Q184" t="s">
        <v>74</v>
      </c>
      <c r="R184" t="s">
        <v>74</v>
      </c>
      <c r="S184" t="s">
        <v>74</v>
      </c>
      <c r="T184" t="s">
        <v>3314</v>
      </c>
      <c r="U184" t="s">
        <v>3315</v>
      </c>
      <c r="V184" t="s">
        <v>3316</v>
      </c>
      <c r="W184" t="s">
        <v>3317</v>
      </c>
      <c r="X184" t="s">
        <v>3318</v>
      </c>
      <c r="Y184" t="s">
        <v>3319</v>
      </c>
      <c r="Z184" t="s">
        <v>3320</v>
      </c>
      <c r="AA184" t="s">
        <v>74</v>
      </c>
      <c r="AB184" t="s">
        <v>3321</v>
      </c>
      <c r="AC184" t="s">
        <v>3322</v>
      </c>
      <c r="AD184" t="s">
        <v>3323</v>
      </c>
      <c r="AE184" t="s">
        <v>3324</v>
      </c>
      <c r="AF184" t="s">
        <v>74</v>
      </c>
      <c r="AG184">
        <v>25</v>
      </c>
      <c r="AH184">
        <v>0</v>
      </c>
      <c r="AI184">
        <v>0</v>
      </c>
      <c r="AJ184">
        <v>2</v>
      </c>
      <c r="AK184">
        <v>2</v>
      </c>
      <c r="AL184" t="s">
        <v>92</v>
      </c>
      <c r="AM184" t="s">
        <v>93</v>
      </c>
      <c r="AN184" t="s">
        <v>94</v>
      </c>
      <c r="AO184" t="s">
        <v>2511</v>
      </c>
      <c r="AP184" t="s">
        <v>2512</v>
      </c>
      <c r="AQ184" t="s">
        <v>74</v>
      </c>
      <c r="AR184" t="s">
        <v>2513</v>
      </c>
      <c r="AS184" t="s">
        <v>2514</v>
      </c>
      <c r="AT184" t="s">
        <v>99</v>
      </c>
      <c r="AU184">
        <v>2023</v>
      </c>
      <c r="AV184">
        <v>51</v>
      </c>
      <c r="AW184">
        <v>1</v>
      </c>
      <c r="AX184" t="s">
        <v>74</v>
      </c>
      <c r="AY184" t="s">
        <v>74</v>
      </c>
      <c r="AZ184" t="s">
        <v>74</v>
      </c>
      <c r="BA184" t="s">
        <v>74</v>
      </c>
      <c r="BB184">
        <v>495</v>
      </c>
      <c r="BC184">
        <v>500</v>
      </c>
      <c r="BD184" t="s">
        <v>74</v>
      </c>
      <c r="BE184" t="s">
        <v>3325</v>
      </c>
      <c r="BF184" t="str">
        <f>HYPERLINK("http://dx.doi.org/10.1080/09712119.2023.2229409","http://dx.doi.org/10.1080/09712119.2023.2229409")</f>
        <v>http://dx.doi.org/10.1080/09712119.2023.2229409</v>
      </c>
      <c r="BG184" t="s">
        <v>74</v>
      </c>
      <c r="BH184" t="s">
        <v>74</v>
      </c>
      <c r="BI184">
        <v>6</v>
      </c>
      <c r="BJ184" t="s">
        <v>2516</v>
      </c>
      <c r="BK184" t="s">
        <v>102</v>
      </c>
      <c r="BL184" t="s">
        <v>2517</v>
      </c>
      <c r="BM184" t="s">
        <v>3326</v>
      </c>
      <c r="BN184" t="s">
        <v>74</v>
      </c>
      <c r="BO184" t="s">
        <v>126</v>
      </c>
      <c r="BP184" t="s">
        <v>74</v>
      </c>
      <c r="BQ184" t="s">
        <v>74</v>
      </c>
      <c r="BR184" t="s">
        <v>105</v>
      </c>
      <c r="BS184" t="s">
        <v>3327</v>
      </c>
      <c r="BT184" t="str">
        <f>HYPERLINK("https%3A%2F%2Fwww.webofscience.com%2Fwos%2Fwoscc%2Ffull-record%2FWOS:001021306200001","View Full Record in Web of Science")</f>
        <v>View Full Record in Web of Science</v>
      </c>
    </row>
    <row r="185" spans="1:72" x14ac:dyDescent="0.15">
      <c r="A185" t="s">
        <v>72</v>
      </c>
      <c r="B185" t="s">
        <v>3328</v>
      </c>
      <c r="C185" t="s">
        <v>74</v>
      </c>
      <c r="D185" t="s">
        <v>74</v>
      </c>
      <c r="E185" t="s">
        <v>74</v>
      </c>
      <c r="F185" t="s">
        <v>3329</v>
      </c>
      <c r="G185" t="s">
        <v>74</v>
      </c>
      <c r="H185" t="s">
        <v>74</v>
      </c>
      <c r="I185" t="s">
        <v>3330</v>
      </c>
      <c r="J185" t="s">
        <v>2978</v>
      </c>
      <c r="K185" t="s">
        <v>74</v>
      </c>
      <c r="L185" t="s">
        <v>74</v>
      </c>
      <c r="M185" t="s">
        <v>78</v>
      </c>
      <c r="N185" t="s">
        <v>79</v>
      </c>
      <c r="O185" t="s">
        <v>74</v>
      </c>
      <c r="P185" t="s">
        <v>74</v>
      </c>
      <c r="Q185" t="s">
        <v>74</v>
      </c>
      <c r="R185" t="s">
        <v>74</v>
      </c>
      <c r="S185" t="s">
        <v>74</v>
      </c>
      <c r="T185" t="s">
        <v>3331</v>
      </c>
      <c r="U185" t="s">
        <v>3332</v>
      </c>
      <c r="V185" t="s">
        <v>3333</v>
      </c>
      <c r="W185" t="s">
        <v>3334</v>
      </c>
      <c r="X185" t="s">
        <v>3335</v>
      </c>
      <c r="Y185" t="s">
        <v>3336</v>
      </c>
      <c r="Z185" t="s">
        <v>3337</v>
      </c>
      <c r="AA185" t="s">
        <v>74</v>
      </c>
      <c r="AB185" t="s">
        <v>3338</v>
      </c>
      <c r="AC185" t="s">
        <v>3339</v>
      </c>
      <c r="AD185" t="s">
        <v>3339</v>
      </c>
      <c r="AE185" t="s">
        <v>3340</v>
      </c>
      <c r="AF185" t="s">
        <v>74</v>
      </c>
      <c r="AG185">
        <v>27</v>
      </c>
      <c r="AH185">
        <v>1</v>
      </c>
      <c r="AI185">
        <v>1</v>
      </c>
      <c r="AJ185">
        <v>1</v>
      </c>
      <c r="AK185">
        <v>4</v>
      </c>
      <c r="AL185" t="s">
        <v>92</v>
      </c>
      <c r="AM185" t="s">
        <v>93</v>
      </c>
      <c r="AN185" t="s">
        <v>94</v>
      </c>
      <c r="AO185" t="s">
        <v>2989</v>
      </c>
      <c r="AP185" t="s">
        <v>2990</v>
      </c>
      <c r="AQ185" t="s">
        <v>74</v>
      </c>
      <c r="AR185" t="s">
        <v>2991</v>
      </c>
      <c r="AS185" t="s">
        <v>2992</v>
      </c>
      <c r="AT185" t="s">
        <v>99</v>
      </c>
      <c r="AU185">
        <v>2023</v>
      </c>
      <c r="AV185">
        <v>26</v>
      </c>
      <c r="AW185">
        <v>1</v>
      </c>
      <c r="AX185" t="s">
        <v>74</v>
      </c>
      <c r="AY185" t="s">
        <v>74</v>
      </c>
      <c r="AZ185" t="s">
        <v>74</v>
      </c>
      <c r="BA185" t="s">
        <v>74</v>
      </c>
      <c r="BB185">
        <v>34</v>
      </c>
      <c r="BC185">
        <v>42</v>
      </c>
      <c r="BD185" t="s">
        <v>74</v>
      </c>
      <c r="BE185" t="s">
        <v>3341</v>
      </c>
      <c r="BF185" t="str">
        <f>HYPERLINK("http://dx.doi.org/10.1080/13696998.2022.2152600","http://dx.doi.org/10.1080/13696998.2022.2152600")</f>
        <v>http://dx.doi.org/10.1080/13696998.2022.2152600</v>
      </c>
      <c r="BG185" t="s">
        <v>74</v>
      </c>
      <c r="BH185" t="s">
        <v>74</v>
      </c>
      <c r="BI185">
        <v>9</v>
      </c>
      <c r="BJ185" t="s">
        <v>2994</v>
      </c>
      <c r="BK185" t="s">
        <v>102</v>
      </c>
      <c r="BL185" t="s">
        <v>2995</v>
      </c>
      <c r="BM185" t="s">
        <v>3342</v>
      </c>
      <c r="BN185">
        <v>36444507</v>
      </c>
      <c r="BO185" t="s">
        <v>126</v>
      </c>
      <c r="BP185" t="s">
        <v>74</v>
      </c>
      <c r="BQ185" t="s">
        <v>74</v>
      </c>
      <c r="BR185" t="s">
        <v>105</v>
      </c>
      <c r="BS185" t="s">
        <v>3343</v>
      </c>
      <c r="BT185" t="str">
        <f>HYPERLINK("https%3A%2F%2Fwww.webofscience.com%2Fwos%2Fwoscc%2Ffull-record%2FWOS:000897106500001","View Full Record in Web of Science")</f>
        <v>View Full Record in Web of Science</v>
      </c>
    </row>
    <row r="186" spans="1:72" x14ac:dyDescent="0.15">
      <c r="A186" t="s">
        <v>72</v>
      </c>
      <c r="B186" t="s">
        <v>3344</v>
      </c>
      <c r="C186" t="s">
        <v>74</v>
      </c>
      <c r="D186" t="s">
        <v>74</v>
      </c>
      <c r="E186" t="s">
        <v>74</v>
      </c>
      <c r="F186" t="s">
        <v>3345</v>
      </c>
      <c r="G186" t="s">
        <v>74</v>
      </c>
      <c r="H186" t="s">
        <v>74</v>
      </c>
      <c r="I186" t="s">
        <v>3346</v>
      </c>
      <c r="J186" t="s">
        <v>3347</v>
      </c>
      <c r="K186" t="s">
        <v>74</v>
      </c>
      <c r="L186" t="s">
        <v>74</v>
      </c>
      <c r="M186" t="s">
        <v>78</v>
      </c>
      <c r="N186" t="s">
        <v>79</v>
      </c>
      <c r="O186" t="s">
        <v>74</v>
      </c>
      <c r="P186" t="s">
        <v>74</v>
      </c>
      <c r="Q186" t="s">
        <v>74</v>
      </c>
      <c r="R186" t="s">
        <v>74</v>
      </c>
      <c r="S186" t="s">
        <v>74</v>
      </c>
      <c r="T186" t="s">
        <v>3348</v>
      </c>
      <c r="U186" t="s">
        <v>3349</v>
      </c>
      <c r="V186" t="s">
        <v>3350</v>
      </c>
      <c r="W186" t="s">
        <v>3351</v>
      </c>
      <c r="X186" t="s">
        <v>3352</v>
      </c>
      <c r="Y186" t="s">
        <v>3353</v>
      </c>
      <c r="Z186" t="s">
        <v>74</v>
      </c>
      <c r="AA186" t="s">
        <v>3354</v>
      </c>
      <c r="AB186" t="s">
        <v>3355</v>
      </c>
      <c r="AC186" t="s">
        <v>3356</v>
      </c>
      <c r="AD186" t="s">
        <v>3357</v>
      </c>
      <c r="AE186" t="s">
        <v>3358</v>
      </c>
      <c r="AF186" t="s">
        <v>74</v>
      </c>
      <c r="AG186">
        <v>81</v>
      </c>
      <c r="AH186">
        <v>0</v>
      </c>
      <c r="AI186">
        <v>0</v>
      </c>
      <c r="AJ186">
        <v>13</v>
      </c>
      <c r="AK186">
        <v>20</v>
      </c>
      <c r="AL186" t="s">
        <v>92</v>
      </c>
      <c r="AM186" t="s">
        <v>93</v>
      </c>
      <c r="AN186" t="s">
        <v>94</v>
      </c>
      <c r="AO186" t="s">
        <v>3359</v>
      </c>
      <c r="AP186" t="s">
        <v>3360</v>
      </c>
      <c r="AQ186" t="s">
        <v>74</v>
      </c>
      <c r="AR186" t="s">
        <v>3361</v>
      </c>
      <c r="AS186" t="s">
        <v>3362</v>
      </c>
      <c r="AT186" t="s">
        <v>99</v>
      </c>
      <c r="AU186">
        <v>2023</v>
      </c>
      <c r="AV186">
        <v>38</v>
      </c>
      <c r="AW186">
        <v>1</v>
      </c>
      <c r="AX186" t="s">
        <v>74</v>
      </c>
      <c r="AY186" t="s">
        <v>74</v>
      </c>
      <c r="AZ186" t="s">
        <v>74</v>
      </c>
      <c r="BA186" t="s">
        <v>74</v>
      </c>
      <c r="BB186" t="s">
        <v>74</v>
      </c>
      <c r="BC186" t="s">
        <v>74</v>
      </c>
      <c r="BD186">
        <v>2172217</v>
      </c>
      <c r="BE186" t="s">
        <v>3363</v>
      </c>
      <c r="BF186" t="str">
        <f>HYPERLINK("http://dx.doi.org/10.1080/10106049.2023.2172217","http://dx.doi.org/10.1080/10106049.2023.2172217")</f>
        <v>http://dx.doi.org/10.1080/10106049.2023.2172217</v>
      </c>
      <c r="BG186" t="s">
        <v>74</v>
      </c>
      <c r="BH186" t="s">
        <v>74</v>
      </c>
      <c r="BI186">
        <v>22</v>
      </c>
      <c r="BJ186" t="s">
        <v>3364</v>
      </c>
      <c r="BK186" t="s">
        <v>102</v>
      </c>
      <c r="BL186" t="s">
        <v>3365</v>
      </c>
      <c r="BM186" t="s">
        <v>3366</v>
      </c>
      <c r="BN186" t="s">
        <v>74</v>
      </c>
      <c r="BO186" t="s">
        <v>104</v>
      </c>
      <c r="BP186" t="s">
        <v>74</v>
      </c>
      <c r="BQ186" t="s">
        <v>74</v>
      </c>
      <c r="BR186" t="s">
        <v>105</v>
      </c>
      <c r="BS186" t="s">
        <v>3367</v>
      </c>
      <c r="BT186" t="str">
        <f>HYPERLINK("https%3A%2F%2Fwww.webofscience.com%2Fwos%2Fwoscc%2Ffull-record%2FWOS:000926062700001","View Full Record in Web of Science")</f>
        <v>View Full Record in Web of Science</v>
      </c>
    </row>
    <row r="187" spans="1:72" x14ac:dyDescent="0.15">
      <c r="A187" t="s">
        <v>72</v>
      </c>
      <c r="B187" t="s">
        <v>3368</v>
      </c>
      <c r="C187" t="s">
        <v>74</v>
      </c>
      <c r="D187" t="s">
        <v>74</v>
      </c>
      <c r="E187" t="s">
        <v>74</v>
      </c>
      <c r="F187" t="s">
        <v>3369</v>
      </c>
      <c r="G187" t="s">
        <v>74</v>
      </c>
      <c r="H187" t="s">
        <v>74</v>
      </c>
      <c r="I187" t="s">
        <v>3370</v>
      </c>
      <c r="J187" t="s">
        <v>1613</v>
      </c>
      <c r="K187" t="s">
        <v>74</v>
      </c>
      <c r="L187" t="s">
        <v>74</v>
      </c>
      <c r="M187" t="s">
        <v>78</v>
      </c>
      <c r="N187" t="s">
        <v>79</v>
      </c>
      <c r="O187" t="s">
        <v>74</v>
      </c>
      <c r="P187" t="s">
        <v>74</v>
      </c>
      <c r="Q187" t="s">
        <v>74</v>
      </c>
      <c r="R187" t="s">
        <v>74</v>
      </c>
      <c r="S187" t="s">
        <v>74</v>
      </c>
      <c r="T187" t="s">
        <v>3371</v>
      </c>
      <c r="U187" t="s">
        <v>3372</v>
      </c>
      <c r="V187" t="s">
        <v>3373</v>
      </c>
      <c r="W187" t="s">
        <v>3374</v>
      </c>
      <c r="X187" t="s">
        <v>3375</v>
      </c>
      <c r="Y187" t="s">
        <v>3376</v>
      </c>
      <c r="Z187" t="s">
        <v>3377</v>
      </c>
      <c r="AA187" t="s">
        <v>3378</v>
      </c>
      <c r="AB187" t="s">
        <v>3379</v>
      </c>
      <c r="AC187" t="s">
        <v>74</v>
      </c>
      <c r="AD187" t="s">
        <v>74</v>
      </c>
      <c r="AE187" t="s">
        <v>74</v>
      </c>
      <c r="AF187" t="s">
        <v>74</v>
      </c>
      <c r="AG187">
        <v>108</v>
      </c>
      <c r="AH187">
        <v>0</v>
      </c>
      <c r="AI187">
        <v>0</v>
      </c>
      <c r="AJ187">
        <v>15</v>
      </c>
      <c r="AK187">
        <v>15</v>
      </c>
      <c r="AL187" t="s">
        <v>184</v>
      </c>
      <c r="AM187" t="s">
        <v>185</v>
      </c>
      <c r="AN187" t="s">
        <v>186</v>
      </c>
      <c r="AO187" t="s">
        <v>1621</v>
      </c>
      <c r="AP187" t="s">
        <v>1622</v>
      </c>
      <c r="AQ187" t="s">
        <v>74</v>
      </c>
      <c r="AR187" t="s">
        <v>1613</v>
      </c>
      <c r="AS187" t="s">
        <v>1623</v>
      </c>
      <c r="AT187" t="s">
        <v>99</v>
      </c>
      <c r="AU187">
        <v>2023</v>
      </c>
      <c r="AV187">
        <v>15</v>
      </c>
      <c r="AW187">
        <v>1</v>
      </c>
      <c r="AX187" t="s">
        <v>74</v>
      </c>
      <c r="AY187" t="s">
        <v>74</v>
      </c>
      <c r="AZ187" t="s">
        <v>74</v>
      </c>
      <c r="BA187" t="s">
        <v>74</v>
      </c>
      <c r="BB187" t="s">
        <v>74</v>
      </c>
      <c r="BC187" t="s">
        <v>74</v>
      </c>
      <c r="BD187">
        <v>2208504</v>
      </c>
      <c r="BE187" t="s">
        <v>3380</v>
      </c>
      <c r="BF187" t="str">
        <f>HYPERLINK("http://dx.doi.org/10.1080/19490976.2023.2208504","http://dx.doi.org/10.1080/19490976.2023.2208504")</f>
        <v>http://dx.doi.org/10.1080/19490976.2023.2208504</v>
      </c>
      <c r="BG187" t="s">
        <v>74</v>
      </c>
      <c r="BH187" t="s">
        <v>74</v>
      </c>
      <c r="BI187">
        <v>21</v>
      </c>
      <c r="BJ187" t="s">
        <v>1625</v>
      </c>
      <c r="BK187" t="s">
        <v>102</v>
      </c>
      <c r="BL187" t="s">
        <v>1625</v>
      </c>
      <c r="BM187" t="s">
        <v>3381</v>
      </c>
      <c r="BN187">
        <v>37150906</v>
      </c>
      <c r="BO187" t="s">
        <v>2484</v>
      </c>
      <c r="BP187" t="s">
        <v>74</v>
      </c>
      <c r="BQ187" t="s">
        <v>74</v>
      </c>
      <c r="BR187" t="s">
        <v>105</v>
      </c>
      <c r="BS187" t="s">
        <v>3382</v>
      </c>
      <c r="BT187" t="str">
        <f>HYPERLINK("https%3A%2F%2Fwww.webofscience.com%2Fwos%2Fwoscc%2Ffull-record%2FWOS:000982442600001","View Full Record in Web of Science")</f>
        <v>View Full Record in Web of Science</v>
      </c>
    </row>
    <row r="188" spans="1:72" x14ac:dyDescent="0.15">
      <c r="A188" t="s">
        <v>72</v>
      </c>
      <c r="B188" t="s">
        <v>3383</v>
      </c>
      <c r="C188" t="s">
        <v>74</v>
      </c>
      <c r="D188" t="s">
        <v>74</v>
      </c>
      <c r="E188" t="s">
        <v>74</v>
      </c>
      <c r="F188" t="s">
        <v>3384</v>
      </c>
      <c r="G188" t="s">
        <v>74</v>
      </c>
      <c r="H188" t="s">
        <v>74</v>
      </c>
      <c r="I188" t="s">
        <v>3385</v>
      </c>
      <c r="J188" t="s">
        <v>359</v>
      </c>
      <c r="K188" t="s">
        <v>74</v>
      </c>
      <c r="L188" t="s">
        <v>74</v>
      </c>
      <c r="M188" t="s">
        <v>78</v>
      </c>
      <c r="N188" t="s">
        <v>79</v>
      </c>
      <c r="O188" t="s">
        <v>74</v>
      </c>
      <c r="P188" t="s">
        <v>74</v>
      </c>
      <c r="Q188" t="s">
        <v>74</v>
      </c>
      <c r="R188" t="s">
        <v>74</v>
      </c>
      <c r="S188" t="s">
        <v>74</v>
      </c>
      <c r="T188" t="s">
        <v>3386</v>
      </c>
      <c r="U188" t="s">
        <v>3387</v>
      </c>
      <c r="V188" t="s">
        <v>3388</v>
      </c>
      <c r="W188" t="s">
        <v>3389</v>
      </c>
      <c r="X188" t="s">
        <v>3390</v>
      </c>
      <c r="Y188" t="s">
        <v>3391</v>
      </c>
      <c r="Z188" t="s">
        <v>3392</v>
      </c>
      <c r="AA188" t="s">
        <v>74</v>
      </c>
      <c r="AB188" t="s">
        <v>74</v>
      </c>
      <c r="AC188" t="s">
        <v>74</v>
      </c>
      <c r="AD188" t="s">
        <v>74</v>
      </c>
      <c r="AE188" t="s">
        <v>74</v>
      </c>
      <c r="AF188" t="s">
        <v>74</v>
      </c>
      <c r="AG188">
        <v>49</v>
      </c>
      <c r="AH188">
        <v>0</v>
      </c>
      <c r="AI188">
        <v>0</v>
      </c>
      <c r="AJ188">
        <v>0</v>
      </c>
      <c r="AK188">
        <v>0</v>
      </c>
      <c r="AL188" t="s">
        <v>287</v>
      </c>
      <c r="AM188" t="s">
        <v>288</v>
      </c>
      <c r="AN188" t="s">
        <v>289</v>
      </c>
      <c r="AO188" t="s">
        <v>369</v>
      </c>
      <c r="AP188" t="s">
        <v>74</v>
      </c>
      <c r="AQ188" t="s">
        <v>74</v>
      </c>
      <c r="AR188" t="s">
        <v>370</v>
      </c>
      <c r="AS188" t="s">
        <v>371</v>
      </c>
      <c r="AT188" t="s">
        <v>99</v>
      </c>
      <c r="AU188">
        <v>2023</v>
      </c>
      <c r="AV188">
        <v>11</v>
      </c>
      <c r="AW188">
        <v>1</v>
      </c>
      <c r="AX188" t="s">
        <v>74</v>
      </c>
      <c r="AY188" t="s">
        <v>74</v>
      </c>
      <c r="AZ188" t="s">
        <v>74</v>
      </c>
      <c r="BA188" t="s">
        <v>74</v>
      </c>
      <c r="BB188" t="s">
        <v>74</v>
      </c>
      <c r="BC188" t="s">
        <v>74</v>
      </c>
      <c r="BD188">
        <v>2209951</v>
      </c>
      <c r="BE188" t="s">
        <v>3393</v>
      </c>
      <c r="BF188" t="str">
        <f>HYPERLINK("http://dx.doi.org/10.1080/23322039.2023.2209951","http://dx.doi.org/10.1080/23322039.2023.2209951")</f>
        <v>http://dx.doi.org/10.1080/23322039.2023.2209951</v>
      </c>
      <c r="BG188" t="s">
        <v>74</v>
      </c>
      <c r="BH188" t="s">
        <v>74</v>
      </c>
      <c r="BI188">
        <v>24</v>
      </c>
      <c r="BJ188" t="s">
        <v>373</v>
      </c>
      <c r="BK188" t="s">
        <v>211</v>
      </c>
      <c r="BL188" t="s">
        <v>295</v>
      </c>
      <c r="BM188" t="s">
        <v>3394</v>
      </c>
      <c r="BN188" t="s">
        <v>74</v>
      </c>
      <c r="BO188" t="s">
        <v>126</v>
      </c>
      <c r="BP188" t="s">
        <v>74</v>
      </c>
      <c r="BQ188" t="s">
        <v>74</v>
      </c>
      <c r="BR188" t="s">
        <v>105</v>
      </c>
      <c r="BS188" t="s">
        <v>3395</v>
      </c>
      <c r="BT188" t="str">
        <f>HYPERLINK("https%3A%2F%2Fwww.webofscience.com%2Fwos%2Fwoscc%2Ffull-record%2FWOS:000992609900001","View Full Record in Web of Science")</f>
        <v>View Full Record in Web of Science</v>
      </c>
    </row>
    <row r="189" spans="1:72" x14ac:dyDescent="0.15">
      <c r="A189" t="s">
        <v>72</v>
      </c>
      <c r="B189" t="s">
        <v>3396</v>
      </c>
      <c r="C189" t="s">
        <v>74</v>
      </c>
      <c r="D189" t="s">
        <v>74</v>
      </c>
      <c r="E189" t="s">
        <v>74</v>
      </c>
      <c r="F189" t="s">
        <v>3397</v>
      </c>
      <c r="G189" t="s">
        <v>74</v>
      </c>
      <c r="H189" t="s">
        <v>74</v>
      </c>
      <c r="I189" t="s">
        <v>3398</v>
      </c>
      <c r="J189" t="s">
        <v>2133</v>
      </c>
      <c r="K189" t="s">
        <v>74</v>
      </c>
      <c r="L189" t="s">
        <v>74</v>
      </c>
      <c r="M189" t="s">
        <v>78</v>
      </c>
      <c r="N189" t="s">
        <v>79</v>
      </c>
      <c r="O189" t="s">
        <v>74</v>
      </c>
      <c r="P189" t="s">
        <v>74</v>
      </c>
      <c r="Q189" t="s">
        <v>74</v>
      </c>
      <c r="R189" t="s">
        <v>74</v>
      </c>
      <c r="S189" t="s">
        <v>74</v>
      </c>
      <c r="T189" t="s">
        <v>3399</v>
      </c>
      <c r="U189" t="s">
        <v>3400</v>
      </c>
      <c r="V189" t="s">
        <v>3401</v>
      </c>
      <c r="W189" t="s">
        <v>3402</v>
      </c>
      <c r="X189" t="s">
        <v>3403</v>
      </c>
      <c r="Y189" t="s">
        <v>3404</v>
      </c>
      <c r="Z189" t="s">
        <v>3405</v>
      </c>
      <c r="AA189" t="s">
        <v>74</v>
      </c>
      <c r="AB189" t="s">
        <v>74</v>
      </c>
      <c r="AC189" t="s">
        <v>74</v>
      </c>
      <c r="AD189" t="s">
        <v>74</v>
      </c>
      <c r="AE189" t="s">
        <v>74</v>
      </c>
      <c r="AF189" t="s">
        <v>74</v>
      </c>
      <c r="AG189">
        <v>54</v>
      </c>
      <c r="AH189">
        <v>0</v>
      </c>
      <c r="AI189">
        <v>0</v>
      </c>
      <c r="AJ189">
        <v>13</v>
      </c>
      <c r="AK189">
        <v>17</v>
      </c>
      <c r="AL189" t="s">
        <v>184</v>
      </c>
      <c r="AM189" t="s">
        <v>185</v>
      </c>
      <c r="AN189" t="s">
        <v>186</v>
      </c>
      <c r="AO189" t="s">
        <v>2144</v>
      </c>
      <c r="AP189" t="s">
        <v>2145</v>
      </c>
      <c r="AQ189" t="s">
        <v>74</v>
      </c>
      <c r="AR189" t="s">
        <v>2146</v>
      </c>
      <c r="AS189" t="s">
        <v>2147</v>
      </c>
      <c r="AT189" t="s">
        <v>99</v>
      </c>
      <c r="AU189">
        <v>2023</v>
      </c>
      <c r="AV189">
        <v>45</v>
      </c>
      <c r="AW189">
        <v>1</v>
      </c>
      <c r="AX189" t="s">
        <v>74</v>
      </c>
      <c r="AY189" t="s">
        <v>74</v>
      </c>
      <c r="AZ189" t="s">
        <v>74</v>
      </c>
      <c r="BA189" t="s">
        <v>74</v>
      </c>
      <c r="BB189" t="s">
        <v>74</v>
      </c>
      <c r="BC189" t="s">
        <v>74</v>
      </c>
      <c r="BD189">
        <v>2180024</v>
      </c>
      <c r="BE189" t="s">
        <v>3406</v>
      </c>
      <c r="BF189" t="str">
        <f>HYPERLINK("http://dx.doi.org/10.1080/10641963.2023.2180024","http://dx.doi.org/10.1080/10641963.2023.2180024")</f>
        <v>http://dx.doi.org/10.1080/10641963.2023.2180024</v>
      </c>
      <c r="BG189" t="s">
        <v>74</v>
      </c>
      <c r="BH189" t="s">
        <v>74</v>
      </c>
      <c r="BI189">
        <v>9</v>
      </c>
      <c r="BJ189" t="s">
        <v>2149</v>
      </c>
      <c r="BK189" t="s">
        <v>102</v>
      </c>
      <c r="BL189" t="s">
        <v>2150</v>
      </c>
      <c r="BM189" t="s">
        <v>3407</v>
      </c>
      <c r="BN189">
        <v>36823777</v>
      </c>
      <c r="BO189" t="s">
        <v>126</v>
      </c>
      <c r="BP189" t="s">
        <v>74</v>
      </c>
      <c r="BQ189" t="s">
        <v>74</v>
      </c>
      <c r="BR189" t="s">
        <v>105</v>
      </c>
      <c r="BS189" t="s">
        <v>3408</v>
      </c>
      <c r="BT189" t="str">
        <f>HYPERLINK("https%3A%2F%2Fwww.webofscience.com%2Fwos%2Fwoscc%2Ffull-record%2FWOS:000938516900001","View Full Record in Web of Science")</f>
        <v>View Full Record in Web of Science</v>
      </c>
    </row>
    <row r="190" spans="1:72" x14ac:dyDescent="0.15">
      <c r="A190" t="s">
        <v>72</v>
      </c>
      <c r="B190" t="s">
        <v>3409</v>
      </c>
      <c r="C190" t="s">
        <v>74</v>
      </c>
      <c r="D190" t="s">
        <v>74</v>
      </c>
      <c r="E190" t="s">
        <v>74</v>
      </c>
      <c r="F190" t="s">
        <v>3410</v>
      </c>
      <c r="G190" t="s">
        <v>74</v>
      </c>
      <c r="H190" t="s">
        <v>74</v>
      </c>
      <c r="I190" t="s">
        <v>3411</v>
      </c>
      <c r="J190" t="s">
        <v>1055</v>
      </c>
      <c r="K190" t="s">
        <v>74</v>
      </c>
      <c r="L190" t="s">
        <v>74</v>
      </c>
      <c r="M190" t="s">
        <v>78</v>
      </c>
      <c r="N190" t="s">
        <v>79</v>
      </c>
      <c r="O190" t="s">
        <v>74</v>
      </c>
      <c r="P190" t="s">
        <v>74</v>
      </c>
      <c r="Q190" t="s">
        <v>74</v>
      </c>
      <c r="R190" t="s">
        <v>74</v>
      </c>
      <c r="S190" t="s">
        <v>74</v>
      </c>
      <c r="T190" t="s">
        <v>3412</v>
      </c>
      <c r="U190" t="s">
        <v>3413</v>
      </c>
      <c r="V190" t="s">
        <v>3414</v>
      </c>
      <c r="W190" t="s">
        <v>3415</v>
      </c>
      <c r="X190" t="s">
        <v>3416</v>
      </c>
      <c r="Y190" t="s">
        <v>3417</v>
      </c>
      <c r="Z190" t="s">
        <v>3418</v>
      </c>
      <c r="AA190" t="s">
        <v>3419</v>
      </c>
      <c r="AB190" t="s">
        <v>3420</v>
      </c>
      <c r="AC190" t="s">
        <v>74</v>
      </c>
      <c r="AD190" t="s">
        <v>74</v>
      </c>
      <c r="AE190" t="s">
        <v>74</v>
      </c>
      <c r="AF190" t="s">
        <v>74</v>
      </c>
      <c r="AG190">
        <v>74</v>
      </c>
      <c r="AH190">
        <v>0</v>
      </c>
      <c r="AI190">
        <v>0</v>
      </c>
      <c r="AJ190">
        <v>4</v>
      </c>
      <c r="AK190">
        <v>4</v>
      </c>
      <c r="AL190" t="s">
        <v>92</v>
      </c>
      <c r="AM190" t="s">
        <v>93</v>
      </c>
      <c r="AN190" t="s">
        <v>94</v>
      </c>
      <c r="AO190" t="s">
        <v>1066</v>
      </c>
      <c r="AP190" t="s">
        <v>1067</v>
      </c>
      <c r="AQ190" t="s">
        <v>74</v>
      </c>
      <c r="AR190" t="s">
        <v>1068</v>
      </c>
      <c r="AS190" t="s">
        <v>1069</v>
      </c>
      <c r="AT190" t="s">
        <v>99</v>
      </c>
      <c r="AU190">
        <v>2023</v>
      </c>
      <c r="AV190">
        <v>22</v>
      </c>
      <c r="AW190">
        <v>1</v>
      </c>
      <c r="AX190" t="s">
        <v>74</v>
      </c>
      <c r="AY190" t="s">
        <v>74</v>
      </c>
      <c r="AZ190" t="s">
        <v>74</v>
      </c>
      <c r="BA190" t="s">
        <v>74</v>
      </c>
      <c r="BB190">
        <v>407</v>
      </c>
      <c r="BC190">
        <v>417</v>
      </c>
      <c r="BD190" t="s">
        <v>74</v>
      </c>
      <c r="BE190" t="s">
        <v>3421</v>
      </c>
      <c r="BF190" t="str">
        <f>HYPERLINK("http://dx.doi.org/10.1080/1828051X.2023.2206419","http://dx.doi.org/10.1080/1828051X.2023.2206419")</f>
        <v>http://dx.doi.org/10.1080/1828051X.2023.2206419</v>
      </c>
      <c r="BG190" t="s">
        <v>74</v>
      </c>
      <c r="BH190" t="s">
        <v>74</v>
      </c>
      <c r="BI190">
        <v>11</v>
      </c>
      <c r="BJ190" t="s">
        <v>1071</v>
      </c>
      <c r="BK190" t="s">
        <v>102</v>
      </c>
      <c r="BL190" t="s">
        <v>1072</v>
      </c>
      <c r="BM190" t="s">
        <v>3422</v>
      </c>
      <c r="BN190" t="s">
        <v>74</v>
      </c>
      <c r="BO190" t="s">
        <v>126</v>
      </c>
      <c r="BP190" t="s">
        <v>74</v>
      </c>
      <c r="BQ190" t="s">
        <v>74</v>
      </c>
      <c r="BR190" t="s">
        <v>105</v>
      </c>
      <c r="BS190" t="s">
        <v>3423</v>
      </c>
      <c r="BT190" t="str">
        <f>HYPERLINK("https%3A%2F%2Fwww.webofscience.com%2Fwos%2Fwoscc%2Ffull-record%2FWOS:000982982000001","View Full Record in Web of Science")</f>
        <v>View Full Record in Web of Science</v>
      </c>
    </row>
    <row r="191" spans="1:72" x14ac:dyDescent="0.15">
      <c r="A191" t="s">
        <v>72</v>
      </c>
      <c r="B191" t="s">
        <v>3424</v>
      </c>
      <c r="C191" t="s">
        <v>74</v>
      </c>
      <c r="D191" t="s">
        <v>74</v>
      </c>
      <c r="E191" t="s">
        <v>74</v>
      </c>
      <c r="F191" t="s">
        <v>3425</v>
      </c>
      <c r="G191" t="s">
        <v>74</v>
      </c>
      <c r="H191" t="s">
        <v>74</v>
      </c>
      <c r="I191" t="s">
        <v>3426</v>
      </c>
      <c r="J191" t="s">
        <v>2978</v>
      </c>
      <c r="K191" t="s">
        <v>74</v>
      </c>
      <c r="L191" t="s">
        <v>74</v>
      </c>
      <c r="M191" t="s">
        <v>78</v>
      </c>
      <c r="N191" t="s">
        <v>171</v>
      </c>
      <c r="O191" t="s">
        <v>74</v>
      </c>
      <c r="P191" t="s">
        <v>74</v>
      </c>
      <c r="Q191" t="s">
        <v>74</v>
      </c>
      <c r="R191" t="s">
        <v>74</v>
      </c>
      <c r="S191" t="s">
        <v>74</v>
      </c>
      <c r="T191" t="s">
        <v>3427</v>
      </c>
      <c r="U191" t="s">
        <v>3428</v>
      </c>
      <c r="V191" t="s">
        <v>3429</v>
      </c>
      <c r="W191" t="s">
        <v>3430</v>
      </c>
      <c r="X191" t="s">
        <v>3431</v>
      </c>
      <c r="Y191" t="s">
        <v>3432</v>
      </c>
      <c r="Z191" t="s">
        <v>3433</v>
      </c>
      <c r="AA191" t="s">
        <v>3434</v>
      </c>
      <c r="AB191" t="s">
        <v>3435</v>
      </c>
      <c r="AC191" t="s">
        <v>74</v>
      </c>
      <c r="AD191" t="s">
        <v>74</v>
      </c>
      <c r="AE191" t="s">
        <v>74</v>
      </c>
      <c r="AF191" t="s">
        <v>74</v>
      </c>
      <c r="AG191">
        <v>24</v>
      </c>
      <c r="AH191">
        <v>1</v>
      </c>
      <c r="AI191">
        <v>1</v>
      </c>
      <c r="AJ191">
        <v>5</v>
      </c>
      <c r="AK191">
        <v>5</v>
      </c>
      <c r="AL191" t="s">
        <v>92</v>
      </c>
      <c r="AM191" t="s">
        <v>93</v>
      </c>
      <c r="AN191" t="s">
        <v>94</v>
      </c>
      <c r="AO191" t="s">
        <v>2989</v>
      </c>
      <c r="AP191" t="s">
        <v>2990</v>
      </c>
      <c r="AQ191" t="s">
        <v>74</v>
      </c>
      <c r="AR191" t="s">
        <v>2991</v>
      </c>
      <c r="AS191" t="s">
        <v>2992</v>
      </c>
      <c r="AT191" t="s">
        <v>99</v>
      </c>
      <c r="AU191">
        <v>2023</v>
      </c>
      <c r="AV191">
        <v>26</v>
      </c>
      <c r="AW191">
        <v>1</v>
      </c>
      <c r="AX191" t="s">
        <v>74</v>
      </c>
      <c r="AY191" t="s">
        <v>74</v>
      </c>
      <c r="AZ191" t="s">
        <v>74</v>
      </c>
      <c r="BA191" t="s">
        <v>74</v>
      </c>
      <c r="BB191">
        <v>262</v>
      </c>
      <c r="BC191">
        <v>270</v>
      </c>
      <c r="BD191" t="s">
        <v>74</v>
      </c>
      <c r="BE191" t="s">
        <v>3436</v>
      </c>
      <c r="BF191" t="str">
        <f>HYPERLINK("http://dx.doi.org/10.1080/13696998.2023.2172282","http://dx.doi.org/10.1080/13696998.2023.2172282")</f>
        <v>http://dx.doi.org/10.1080/13696998.2023.2172282</v>
      </c>
      <c r="BG191" t="s">
        <v>74</v>
      </c>
      <c r="BH191" t="s">
        <v>74</v>
      </c>
      <c r="BI191">
        <v>9</v>
      </c>
      <c r="BJ191" t="s">
        <v>2994</v>
      </c>
      <c r="BK191" t="s">
        <v>102</v>
      </c>
      <c r="BL191" t="s">
        <v>2995</v>
      </c>
      <c r="BM191" t="s">
        <v>3437</v>
      </c>
      <c r="BN191">
        <v>36695516</v>
      </c>
      <c r="BO191" t="s">
        <v>126</v>
      </c>
      <c r="BP191" t="s">
        <v>74</v>
      </c>
      <c r="BQ191" t="s">
        <v>74</v>
      </c>
      <c r="BR191" t="s">
        <v>105</v>
      </c>
      <c r="BS191" t="s">
        <v>3438</v>
      </c>
      <c r="BT191" t="str">
        <f>HYPERLINK("https%3A%2F%2Fwww.webofscience.com%2Fwos%2Fwoscc%2Ffull-record%2FWOS:000931563900001","View Full Record in Web of Science")</f>
        <v>View Full Record in Web of Science</v>
      </c>
    </row>
    <row r="192" spans="1:72" x14ac:dyDescent="0.15">
      <c r="A192" t="s">
        <v>3439</v>
      </c>
      <c r="B192" t="s">
        <v>3440</v>
      </c>
      <c r="C192" t="s">
        <v>74</v>
      </c>
      <c r="D192" t="s">
        <v>74</v>
      </c>
      <c r="E192" t="s">
        <v>74</v>
      </c>
      <c r="F192" t="s">
        <v>3441</v>
      </c>
      <c r="G192" t="s">
        <v>74</v>
      </c>
      <c r="H192" t="s">
        <v>74</v>
      </c>
      <c r="I192" t="s">
        <v>3442</v>
      </c>
      <c r="J192" t="s">
        <v>1493</v>
      </c>
      <c r="K192" t="s">
        <v>74</v>
      </c>
      <c r="L192" t="s">
        <v>74</v>
      </c>
      <c r="M192" t="s">
        <v>78</v>
      </c>
      <c r="N192" t="s">
        <v>3443</v>
      </c>
      <c r="O192" t="s">
        <v>74</v>
      </c>
      <c r="P192" t="s">
        <v>74</v>
      </c>
      <c r="Q192" t="s">
        <v>74</v>
      </c>
      <c r="R192" t="s">
        <v>74</v>
      </c>
      <c r="S192" t="s">
        <v>74</v>
      </c>
      <c r="T192" t="s">
        <v>74</v>
      </c>
      <c r="U192" t="s">
        <v>74</v>
      </c>
      <c r="V192" t="s">
        <v>74</v>
      </c>
      <c r="W192" t="s">
        <v>3444</v>
      </c>
      <c r="X192" t="s">
        <v>3445</v>
      </c>
      <c r="Y192" t="s">
        <v>3446</v>
      </c>
      <c r="Z192" t="s">
        <v>3447</v>
      </c>
      <c r="AA192" t="s">
        <v>74</v>
      </c>
      <c r="AB192" t="s">
        <v>3448</v>
      </c>
      <c r="AC192" t="s">
        <v>74</v>
      </c>
      <c r="AD192" t="s">
        <v>74</v>
      </c>
      <c r="AE192" t="s">
        <v>74</v>
      </c>
      <c r="AF192" t="s">
        <v>74</v>
      </c>
      <c r="AG192">
        <v>6</v>
      </c>
      <c r="AH192">
        <v>0</v>
      </c>
      <c r="AI192">
        <v>0</v>
      </c>
      <c r="AJ192">
        <v>1</v>
      </c>
      <c r="AK192">
        <v>1</v>
      </c>
      <c r="AL192" t="s">
        <v>92</v>
      </c>
      <c r="AM192" t="s">
        <v>93</v>
      </c>
      <c r="AN192" t="s">
        <v>94</v>
      </c>
      <c r="AO192" t="s">
        <v>74</v>
      </c>
      <c r="AP192" t="s">
        <v>1503</v>
      </c>
      <c r="AQ192" t="s">
        <v>74</v>
      </c>
      <c r="AR192" t="s">
        <v>1504</v>
      </c>
      <c r="AS192" t="s">
        <v>1505</v>
      </c>
      <c r="AT192" t="s">
        <v>99</v>
      </c>
      <c r="AU192">
        <v>2023</v>
      </c>
      <c r="AV192">
        <v>31</v>
      </c>
      <c r="AW192">
        <v>1</v>
      </c>
      <c r="AX192" t="s">
        <v>74</v>
      </c>
      <c r="AY192" t="s">
        <v>74</v>
      </c>
      <c r="AZ192" t="s">
        <v>74</v>
      </c>
      <c r="BA192" t="s">
        <v>74</v>
      </c>
      <c r="BB192" t="s">
        <v>74</v>
      </c>
      <c r="BC192" t="s">
        <v>74</v>
      </c>
      <c r="BD192" t="s">
        <v>74</v>
      </c>
      <c r="BE192" t="s">
        <v>3449</v>
      </c>
      <c r="BF192" t="str">
        <f>HYPERLINK("http://dx.doi.org/10.1080/26410397.2023.2186028","http://dx.doi.org/10.1080/26410397.2023.2186028")</f>
        <v>http://dx.doi.org/10.1080/26410397.2023.2186028</v>
      </c>
      <c r="BG192" t="s">
        <v>74</v>
      </c>
      <c r="BH192" t="s">
        <v>74</v>
      </c>
      <c r="BI192">
        <v>2</v>
      </c>
      <c r="BJ192" t="s">
        <v>163</v>
      </c>
      <c r="BK192" t="s">
        <v>272</v>
      </c>
      <c r="BL192" t="s">
        <v>163</v>
      </c>
      <c r="BM192" t="s">
        <v>3450</v>
      </c>
      <c r="BN192" t="s">
        <v>74</v>
      </c>
      <c r="BO192" t="s">
        <v>165</v>
      </c>
      <c r="BP192" t="s">
        <v>74</v>
      </c>
      <c r="BQ192" t="s">
        <v>74</v>
      </c>
      <c r="BR192" t="s">
        <v>105</v>
      </c>
      <c r="BS192" t="s">
        <v>3451</v>
      </c>
      <c r="BT192" t="str">
        <f>HYPERLINK("https%3A%2F%2Fwww.webofscience.com%2Fwos%2Fwoscc%2Ffull-record%2FWOS:000956228000001","View Full Record in Web of Science")</f>
        <v>View Full Record in Web of Science</v>
      </c>
    </row>
    <row r="193" spans="1:72" x14ac:dyDescent="0.15">
      <c r="A193" t="s">
        <v>72</v>
      </c>
      <c r="B193" t="s">
        <v>3452</v>
      </c>
      <c r="C193" t="s">
        <v>74</v>
      </c>
      <c r="D193" t="s">
        <v>74</v>
      </c>
      <c r="E193" t="s">
        <v>74</v>
      </c>
      <c r="F193" t="s">
        <v>3453</v>
      </c>
      <c r="G193" t="s">
        <v>74</v>
      </c>
      <c r="H193" t="s">
        <v>74</v>
      </c>
      <c r="I193" t="s">
        <v>3454</v>
      </c>
      <c r="J193" t="s">
        <v>1359</v>
      </c>
      <c r="K193" t="s">
        <v>74</v>
      </c>
      <c r="L193" t="s">
        <v>74</v>
      </c>
      <c r="M193" t="s">
        <v>78</v>
      </c>
      <c r="N193" t="s">
        <v>79</v>
      </c>
      <c r="O193" t="s">
        <v>74</v>
      </c>
      <c r="P193" t="s">
        <v>74</v>
      </c>
      <c r="Q193" t="s">
        <v>74</v>
      </c>
      <c r="R193" t="s">
        <v>74</v>
      </c>
      <c r="S193" t="s">
        <v>74</v>
      </c>
      <c r="T193" t="s">
        <v>3455</v>
      </c>
      <c r="U193" t="s">
        <v>3456</v>
      </c>
      <c r="V193" t="s">
        <v>3457</v>
      </c>
      <c r="W193" t="s">
        <v>3458</v>
      </c>
      <c r="X193" t="s">
        <v>3459</v>
      </c>
      <c r="Y193" t="s">
        <v>3460</v>
      </c>
      <c r="Z193" t="s">
        <v>3461</v>
      </c>
      <c r="AA193" t="s">
        <v>74</v>
      </c>
      <c r="AB193" t="s">
        <v>3462</v>
      </c>
      <c r="AC193" t="s">
        <v>3463</v>
      </c>
      <c r="AD193" t="s">
        <v>3464</v>
      </c>
      <c r="AE193" t="s">
        <v>3465</v>
      </c>
      <c r="AF193" t="s">
        <v>74</v>
      </c>
      <c r="AG193">
        <v>35</v>
      </c>
      <c r="AH193">
        <v>0</v>
      </c>
      <c r="AI193">
        <v>0</v>
      </c>
      <c r="AJ193">
        <v>5</v>
      </c>
      <c r="AK193">
        <v>5</v>
      </c>
      <c r="AL193" t="s">
        <v>92</v>
      </c>
      <c r="AM193" t="s">
        <v>93</v>
      </c>
      <c r="AN193" t="s">
        <v>94</v>
      </c>
      <c r="AO193" t="s">
        <v>1370</v>
      </c>
      <c r="AP193" t="s">
        <v>1371</v>
      </c>
      <c r="AQ193" t="s">
        <v>74</v>
      </c>
      <c r="AR193" t="s">
        <v>1372</v>
      </c>
      <c r="AS193" t="s">
        <v>1373</v>
      </c>
      <c r="AT193" t="s">
        <v>99</v>
      </c>
      <c r="AU193">
        <v>2023</v>
      </c>
      <c r="AV193">
        <v>40</v>
      </c>
      <c r="AW193">
        <v>1</v>
      </c>
      <c r="AX193" t="s">
        <v>74</v>
      </c>
      <c r="AY193" t="s">
        <v>74</v>
      </c>
      <c r="AZ193" t="s">
        <v>74</v>
      </c>
      <c r="BA193" t="s">
        <v>74</v>
      </c>
      <c r="BB193" t="s">
        <v>74</v>
      </c>
      <c r="BC193" t="s">
        <v>74</v>
      </c>
      <c r="BD193">
        <v>2210272</v>
      </c>
      <c r="BE193" t="s">
        <v>3466</v>
      </c>
      <c r="BF193" t="str">
        <f>HYPERLINK("http://dx.doi.org/10.1080/02656736.2023.2210272","http://dx.doi.org/10.1080/02656736.2023.2210272")</f>
        <v>http://dx.doi.org/10.1080/02656736.2023.2210272</v>
      </c>
      <c r="BG193" t="s">
        <v>74</v>
      </c>
      <c r="BH193" t="s">
        <v>74</v>
      </c>
      <c r="BI193">
        <v>13</v>
      </c>
      <c r="BJ193" t="s">
        <v>1375</v>
      </c>
      <c r="BK193" t="s">
        <v>102</v>
      </c>
      <c r="BL193" t="s">
        <v>1375</v>
      </c>
      <c r="BM193" t="s">
        <v>3467</v>
      </c>
      <c r="BN193">
        <v>37196996</v>
      </c>
      <c r="BO193" t="s">
        <v>3468</v>
      </c>
      <c r="BP193" t="s">
        <v>74</v>
      </c>
      <c r="BQ193" t="s">
        <v>74</v>
      </c>
      <c r="BR193" t="s">
        <v>105</v>
      </c>
      <c r="BS193" t="s">
        <v>3469</v>
      </c>
      <c r="BT193" t="str">
        <f>HYPERLINK("https%3A%2F%2Fwww.webofscience.com%2Fwos%2Fwoscc%2Ffull-record%2FWOS:000991722600001","View Full Record in Web of Science")</f>
        <v>View Full Record in Web of Science</v>
      </c>
    </row>
    <row r="194" spans="1:72" x14ac:dyDescent="0.15">
      <c r="A194" t="s">
        <v>72</v>
      </c>
      <c r="B194" t="s">
        <v>3470</v>
      </c>
      <c r="C194" t="s">
        <v>74</v>
      </c>
      <c r="D194" t="s">
        <v>74</v>
      </c>
      <c r="E194" t="s">
        <v>74</v>
      </c>
      <c r="F194" t="s">
        <v>3471</v>
      </c>
      <c r="G194" t="s">
        <v>74</v>
      </c>
      <c r="H194" t="s">
        <v>74</v>
      </c>
      <c r="I194" t="s">
        <v>3472</v>
      </c>
      <c r="J194" t="s">
        <v>77</v>
      </c>
      <c r="K194" t="s">
        <v>74</v>
      </c>
      <c r="L194" t="s">
        <v>74</v>
      </c>
      <c r="M194" t="s">
        <v>78</v>
      </c>
      <c r="N194" t="s">
        <v>79</v>
      </c>
      <c r="O194" t="s">
        <v>74</v>
      </c>
      <c r="P194" t="s">
        <v>74</v>
      </c>
      <c r="Q194" t="s">
        <v>74</v>
      </c>
      <c r="R194" t="s">
        <v>74</v>
      </c>
      <c r="S194" t="s">
        <v>74</v>
      </c>
      <c r="T194" t="s">
        <v>3473</v>
      </c>
      <c r="U194" t="s">
        <v>3474</v>
      </c>
      <c r="V194" t="s">
        <v>3475</v>
      </c>
      <c r="W194" t="s">
        <v>3476</v>
      </c>
      <c r="X194" t="s">
        <v>3477</v>
      </c>
      <c r="Y194" t="s">
        <v>3478</v>
      </c>
      <c r="Z194" t="s">
        <v>3479</v>
      </c>
      <c r="AA194" t="s">
        <v>74</v>
      </c>
      <c r="AB194" t="s">
        <v>3480</v>
      </c>
      <c r="AC194" t="s">
        <v>74</v>
      </c>
      <c r="AD194" t="s">
        <v>74</v>
      </c>
      <c r="AE194" t="s">
        <v>74</v>
      </c>
      <c r="AF194" t="s">
        <v>74</v>
      </c>
      <c r="AG194">
        <v>76</v>
      </c>
      <c r="AH194">
        <v>1</v>
      </c>
      <c r="AI194">
        <v>1</v>
      </c>
      <c r="AJ194">
        <v>13</v>
      </c>
      <c r="AK194">
        <v>18</v>
      </c>
      <c r="AL194" t="s">
        <v>92</v>
      </c>
      <c r="AM194" t="s">
        <v>93</v>
      </c>
      <c r="AN194" t="s">
        <v>94</v>
      </c>
      <c r="AO194" t="s">
        <v>95</v>
      </c>
      <c r="AP194" t="s">
        <v>96</v>
      </c>
      <c r="AQ194" t="s">
        <v>74</v>
      </c>
      <c r="AR194" t="s">
        <v>97</v>
      </c>
      <c r="AS194" t="s">
        <v>98</v>
      </c>
      <c r="AT194" t="s">
        <v>99</v>
      </c>
      <c r="AU194">
        <v>2023</v>
      </c>
      <c r="AV194">
        <v>30</v>
      </c>
      <c r="AW194">
        <v>1</v>
      </c>
      <c r="AX194" t="s">
        <v>74</v>
      </c>
      <c r="AY194" t="s">
        <v>74</v>
      </c>
      <c r="AZ194" t="s">
        <v>74</v>
      </c>
      <c r="BA194" t="s">
        <v>74</v>
      </c>
      <c r="BB194" t="s">
        <v>74</v>
      </c>
      <c r="BC194" t="s">
        <v>74</v>
      </c>
      <c r="BD194">
        <v>2179127</v>
      </c>
      <c r="BE194" t="s">
        <v>3481</v>
      </c>
      <c r="BF194" t="str">
        <f>HYPERLINK("http://dx.doi.org/10.1080/10717544.2023.2179127","http://dx.doi.org/10.1080/10717544.2023.2179127")</f>
        <v>http://dx.doi.org/10.1080/10717544.2023.2179127</v>
      </c>
      <c r="BG194" t="s">
        <v>74</v>
      </c>
      <c r="BH194" t="s">
        <v>74</v>
      </c>
      <c r="BI194">
        <v>13</v>
      </c>
      <c r="BJ194" t="s">
        <v>101</v>
      </c>
      <c r="BK194" t="s">
        <v>102</v>
      </c>
      <c r="BL194" t="s">
        <v>101</v>
      </c>
      <c r="BM194" t="s">
        <v>3482</v>
      </c>
      <c r="BN194">
        <v>36794404</v>
      </c>
      <c r="BO194" t="s">
        <v>165</v>
      </c>
      <c r="BP194" t="s">
        <v>74</v>
      </c>
      <c r="BQ194" t="s">
        <v>74</v>
      </c>
      <c r="BR194" t="s">
        <v>105</v>
      </c>
      <c r="BS194" t="s">
        <v>3483</v>
      </c>
      <c r="BT194" t="str">
        <f>HYPERLINK("https%3A%2F%2Fwww.webofscience.com%2Fwos%2Fwoscc%2Ffull-record%2FWOS:000938661700001","View Full Record in Web of Science")</f>
        <v>View Full Record in Web of Science</v>
      </c>
    </row>
    <row r="195" spans="1:72" x14ac:dyDescent="0.15">
      <c r="A195" t="s">
        <v>72</v>
      </c>
      <c r="B195" t="s">
        <v>3484</v>
      </c>
      <c r="C195" t="s">
        <v>74</v>
      </c>
      <c r="D195" t="s">
        <v>74</v>
      </c>
      <c r="E195" t="s">
        <v>74</v>
      </c>
      <c r="F195" t="s">
        <v>3485</v>
      </c>
      <c r="G195" t="s">
        <v>74</v>
      </c>
      <c r="H195" t="s">
        <v>74</v>
      </c>
      <c r="I195" t="s">
        <v>3486</v>
      </c>
      <c r="J195" t="s">
        <v>379</v>
      </c>
      <c r="K195" t="s">
        <v>74</v>
      </c>
      <c r="L195" t="s">
        <v>74</v>
      </c>
      <c r="M195" t="s">
        <v>78</v>
      </c>
      <c r="N195" t="s">
        <v>171</v>
      </c>
      <c r="O195" t="s">
        <v>74</v>
      </c>
      <c r="P195" t="s">
        <v>74</v>
      </c>
      <c r="Q195" t="s">
        <v>74</v>
      </c>
      <c r="R195" t="s">
        <v>74</v>
      </c>
      <c r="S195" t="s">
        <v>74</v>
      </c>
      <c r="T195" t="s">
        <v>3487</v>
      </c>
      <c r="U195" t="s">
        <v>3488</v>
      </c>
      <c r="V195" t="s">
        <v>3489</v>
      </c>
      <c r="W195" t="s">
        <v>3490</v>
      </c>
      <c r="X195" t="s">
        <v>3491</v>
      </c>
      <c r="Y195" t="s">
        <v>3492</v>
      </c>
      <c r="Z195" t="s">
        <v>3493</v>
      </c>
      <c r="AA195" t="s">
        <v>3494</v>
      </c>
      <c r="AB195" t="s">
        <v>3495</v>
      </c>
      <c r="AC195" t="s">
        <v>74</v>
      </c>
      <c r="AD195" t="s">
        <v>74</v>
      </c>
      <c r="AE195" t="s">
        <v>74</v>
      </c>
      <c r="AF195" t="s">
        <v>74</v>
      </c>
      <c r="AG195">
        <v>104</v>
      </c>
      <c r="AH195">
        <v>0</v>
      </c>
      <c r="AI195">
        <v>0</v>
      </c>
      <c r="AJ195">
        <v>15</v>
      </c>
      <c r="AK195">
        <v>15</v>
      </c>
      <c r="AL195" t="s">
        <v>287</v>
      </c>
      <c r="AM195" t="s">
        <v>288</v>
      </c>
      <c r="AN195" t="s">
        <v>289</v>
      </c>
      <c r="AO195" t="s">
        <v>392</v>
      </c>
      <c r="AP195" t="s">
        <v>74</v>
      </c>
      <c r="AQ195" t="s">
        <v>74</v>
      </c>
      <c r="AR195" t="s">
        <v>393</v>
      </c>
      <c r="AS195" t="s">
        <v>394</v>
      </c>
      <c r="AT195" t="s">
        <v>99</v>
      </c>
      <c r="AU195">
        <v>2023</v>
      </c>
      <c r="AV195">
        <v>9</v>
      </c>
      <c r="AW195">
        <v>1</v>
      </c>
      <c r="AX195" t="s">
        <v>74</v>
      </c>
      <c r="AY195" t="s">
        <v>74</v>
      </c>
      <c r="AZ195" t="s">
        <v>74</v>
      </c>
      <c r="BA195" t="s">
        <v>74</v>
      </c>
      <c r="BB195" t="s">
        <v>74</v>
      </c>
      <c r="BC195" t="s">
        <v>74</v>
      </c>
      <c r="BD195">
        <v>2240055</v>
      </c>
      <c r="BE195" t="s">
        <v>3496</v>
      </c>
      <c r="BF195" t="str">
        <f>HYPERLINK("http://dx.doi.org/10.1080/23311886.2023.2240055","http://dx.doi.org/10.1080/23311886.2023.2240055")</f>
        <v>http://dx.doi.org/10.1080/23311886.2023.2240055</v>
      </c>
      <c r="BG195" t="s">
        <v>74</v>
      </c>
      <c r="BH195" t="s">
        <v>74</v>
      </c>
      <c r="BI195">
        <v>27</v>
      </c>
      <c r="BJ195" t="s">
        <v>396</v>
      </c>
      <c r="BK195" t="s">
        <v>211</v>
      </c>
      <c r="BL195" t="s">
        <v>397</v>
      </c>
      <c r="BM195" t="s">
        <v>3497</v>
      </c>
      <c r="BN195" t="s">
        <v>74</v>
      </c>
      <c r="BO195" t="s">
        <v>126</v>
      </c>
      <c r="BP195" t="s">
        <v>74</v>
      </c>
      <c r="BQ195" t="s">
        <v>74</v>
      </c>
      <c r="BR195" t="s">
        <v>105</v>
      </c>
      <c r="BS195" t="s">
        <v>3498</v>
      </c>
      <c r="BT195" t="str">
        <f>HYPERLINK("https%3A%2F%2Fwww.webofscience.com%2Fwos%2Fwoscc%2Ffull-record%2FWOS:001035408700001","View Full Record in Web of Science")</f>
        <v>View Full Record in Web of Science</v>
      </c>
    </row>
    <row r="196" spans="1:72" x14ac:dyDescent="0.15">
      <c r="A196" t="s">
        <v>72</v>
      </c>
      <c r="B196" t="s">
        <v>3499</v>
      </c>
      <c r="C196" t="s">
        <v>74</v>
      </c>
      <c r="D196" t="s">
        <v>74</v>
      </c>
      <c r="E196" t="s">
        <v>74</v>
      </c>
      <c r="F196" t="s">
        <v>3500</v>
      </c>
      <c r="G196" t="s">
        <v>74</v>
      </c>
      <c r="H196" t="s">
        <v>74</v>
      </c>
      <c r="I196" t="s">
        <v>3501</v>
      </c>
      <c r="J196" t="s">
        <v>3502</v>
      </c>
      <c r="K196" t="s">
        <v>74</v>
      </c>
      <c r="L196" t="s">
        <v>74</v>
      </c>
      <c r="M196" t="s">
        <v>78</v>
      </c>
      <c r="N196" t="s">
        <v>79</v>
      </c>
      <c r="O196" t="s">
        <v>74</v>
      </c>
      <c r="P196" t="s">
        <v>74</v>
      </c>
      <c r="Q196" t="s">
        <v>74</v>
      </c>
      <c r="R196" t="s">
        <v>74</v>
      </c>
      <c r="S196" t="s">
        <v>74</v>
      </c>
      <c r="T196" t="s">
        <v>3503</v>
      </c>
      <c r="U196" t="s">
        <v>3504</v>
      </c>
      <c r="V196" t="s">
        <v>3505</v>
      </c>
      <c r="W196" t="s">
        <v>3506</v>
      </c>
      <c r="X196" t="s">
        <v>3507</v>
      </c>
      <c r="Y196" t="s">
        <v>3508</v>
      </c>
      <c r="Z196" t="s">
        <v>3509</v>
      </c>
      <c r="AA196" t="s">
        <v>3510</v>
      </c>
      <c r="AB196" t="s">
        <v>3511</v>
      </c>
      <c r="AC196" t="s">
        <v>3512</v>
      </c>
      <c r="AD196" t="s">
        <v>3513</v>
      </c>
      <c r="AE196" t="s">
        <v>3514</v>
      </c>
      <c r="AF196" t="s">
        <v>74</v>
      </c>
      <c r="AG196">
        <v>28</v>
      </c>
      <c r="AH196">
        <v>1</v>
      </c>
      <c r="AI196">
        <v>1</v>
      </c>
      <c r="AJ196">
        <v>3</v>
      </c>
      <c r="AK196">
        <v>3</v>
      </c>
      <c r="AL196" t="s">
        <v>92</v>
      </c>
      <c r="AM196" t="s">
        <v>93</v>
      </c>
      <c r="AN196" t="s">
        <v>94</v>
      </c>
      <c r="AO196" t="s">
        <v>74</v>
      </c>
      <c r="AP196" t="s">
        <v>3515</v>
      </c>
      <c r="AQ196" t="s">
        <v>74</v>
      </c>
      <c r="AR196" t="s">
        <v>3516</v>
      </c>
      <c r="AS196" t="s">
        <v>3517</v>
      </c>
      <c r="AT196" t="s">
        <v>99</v>
      </c>
      <c r="AU196">
        <v>2023</v>
      </c>
      <c r="AV196">
        <v>15</v>
      </c>
      <c r="AW196">
        <v>1</v>
      </c>
      <c r="AX196" t="s">
        <v>74</v>
      </c>
      <c r="AY196" t="s">
        <v>74</v>
      </c>
      <c r="AZ196" t="s">
        <v>74</v>
      </c>
      <c r="BA196" t="s">
        <v>74</v>
      </c>
      <c r="BB196" t="s">
        <v>74</v>
      </c>
      <c r="BC196" t="s">
        <v>74</v>
      </c>
      <c r="BD196">
        <v>2198432</v>
      </c>
      <c r="BE196" t="s">
        <v>3518</v>
      </c>
      <c r="BF196" t="str">
        <f>HYPERLINK("http://dx.doi.org/10.1080/20002297.2023.2198432","http://dx.doi.org/10.1080/20002297.2023.2198432")</f>
        <v>http://dx.doi.org/10.1080/20002297.2023.2198432</v>
      </c>
      <c r="BG196" t="s">
        <v>74</v>
      </c>
      <c r="BH196" t="s">
        <v>74</v>
      </c>
      <c r="BI196">
        <v>8</v>
      </c>
      <c r="BJ196" t="s">
        <v>3519</v>
      </c>
      <c r="BK196" t="s">
        <v>102</v>
      </c>
      <c r="BL196" t="s">
        <v>3519</v>
      </c>
      <c r="BM196" t="s">
        <v>3520</v>
      </c>
      <c r="BN196">
        <v>37063978</v>
      </c>
      <c r="BO196" t="s">
        <v>165</v>
      </c>
      <c r="BP196" t="s">
        <v>74</v>
      </c>
      <c r="BQ196" t="s">
        <v>74</v>
      </c>
      <c r="BR196" t="s">
        <v>105</v>
      </c>
      <c r="BS196" t="s">
        <v>3521</v>
      </c>
      <c r="BT196" t="str">
        <f>HYPERLINK("https%3A%2F%2Fwww.webofscience.com%2Fwos%2Fwoscc%2Ffull-record%2FWOS:000970422600001","View Full Record in Web of Science")</f>
        <v>View Full Record in Web of Science</v>
      </c>
    </row>
    <row r="197" spans="1:72" x14ac:dyDescent="0.15">
      <c r="A197" t="s">
        <v>72</v>
      </c>
      <c r="B197" t="s">
        <v>3522</v>
      </c>
      <c r="C197" t="s">
        <v>74</v>
      </c>
      <c r="D197" t="s">
        <v>74</v>
      </c>
      <c r="E197" t="s">
        <v>74</v>
      </c>
      <c r="F197" t="s">
        <v>3523</v>
      </c>
      <c r="G197" t="s">
        <v>74</v>
      </c>
      <c r="H197" t="s">
        <v>74</v>
      </c>
      <c r="I197" t="s">
        <v>3524</v>
      </c>
      <c r="J197" t="s">
        <v>217</v>
      </c>
      <c r="K197" t="s">
        <v>74</v>
      </c>
      <c r="L197" t="s">
        <v>74</v>
      </c>
      <c r="M197" t="s">
        <v>78</v>
      </c>
      <c r="N197" t="s">
        <v>79</v>
      </c>
      <c r="O197" t="s">
        <v>74</v>
      </c>
      <c r="P197" t="s">
        <v>74</v>
      </c>
      <c r="Q197" t="s">
        <v>74</v>
      </c>
      <c r="R197" t="s">
        <v>74</v>
      </c>
      <c r="S197" t="s">
        <v>74</v>
      </c>
      <c r="T197" t="s">
        <v>3525</v>
      </c>
      <c r="U197" t="s">
        <v>3526</v>
      </c>
      <c r="V197" t="s">
        <v>3527</v>
      </c>
      <c r="W197" t="s">
        <v>3528</v>
      </c>
      <c r="X197" t="s">
        <v>3529</v>
      </c>
      <c r="Y197" t="s">
        <v>3530</v>
      </c>
      <c r="Z197" t="s">
        <v>3531</v>
      </c>
      <c r="AA197" t="s">
        <v>3532</v>
      </c>
      <c r="AB197" t="s">
        <v>3533</v>
      </c>
      <c r="AC197" t="s">
        <v>3534</v>
      </c>
      <c r="AD197" t="s">
        <v>3535</v>
      </c>
      <c r="AE197" t="s">
        <v>3536</v>
      </c>
      <c r="AF197" t="s">
        <v>74</v>
      </c>
      <c r="AG197">
        <v>33</v>
      </c>
      <c r="AH197">
        <v>0</v>
      </c>
      <c r="AI197">
        <v>0</v>
      </c>
      <c r="AJ197">
        <v>7</v>
      </c>
      <c r="AK197">
        <v>11</v>
      </c>
      <c r="AL197" t="s">
        <v>92</v>
      </c>
      <c r="AM197" t="s">
        <v>93</v>
      </c>
      <c r="AN197" t="s">
        <v>94</v>
      </c>
      <c r="AO197" t="s">
        <v>226</v>
      </c>
      <c r="AP197" t="s">
        <v>227</v>
      </c>
      <c r="AQ197" t="s">
        <v>74</v>
      </c>
      <c r="AR197" t="s">
        <v>228</v>
      </c>
      <c r="AS197" t="s">
        <v>229</v>
      </c>
      <c r="AT197" t="s">
        <v>99</v>
      </c>
      <c r="AU197">
        <v>2023</v>
      </c>
      <c r="AV197">
        <v>82</v>
      </c>
      <c r="AW197">
        <v>1</v>
      </c>
      <c r="AX197" t="s">
        <v>74</v>
      </c>
      <c r="AY197" t="s">
        <v>74</v>
      </c>
      <c r="AZ197" t="s">
        <v>74</v>
      </c>
      <c r="BA197" t="s">
        <v>74</v>
      </c>
      <c r="BB197" t="s">
        <v>74</v>
      </c>
      <c r="BC197" t="s">
        <v>74</v>
      </c>
      <c r="BD197">
        <v>2178067</v>
      </c>
      <c r="BE197" t="s">
        <v>3537</v>
      </c>
      <c r="BF197" t="str">
        <f>HYPERLINK("http://dx.doi.org/10.1080/22423982.2023.2178067","http://dx.doi.org/10.1080/22423982.2023.2178067")</f>
        <v>http://dx.doi.org/10.1080/22423982.2023.2178067</v>
      </c>
      <c r="BG197" t="s">
        <v>74</v>
      </c>
      <c r="BH197" t="s">
        <v>74</v>
      </c>
      <c r="BI197">
        <v>10</v>
      </c>
      <c r="BJ197" t="s">
        <v>163</v>
      </c>
      <c r="BK197" t="s">
        <v>123</v>
      </c>
      <c r="BL197" t="s">
        <v>163</v>
      </c>
      <c r="BM197" t="s">
        <v>3538</v>
      </c>
      <c r="BN197" t="s">
        <v>74</v>
      </c>
      <c r="BO197" t="s">
        <v>104</v>
      </c>
      <c r="BP197" t="s">
        <v>74</v>
      </c>
      <c r="BQ197" t="s">
        <v>74</v>
      </c>
      <c r="BR197" t="s">
        <v>105</v>
      </c>
      <c r="BS197" t="s">
        <v>3539</v>
      </c>
      <c r="BT197" t="str">
        <f>HYPERLINK("https%3A%2F%2Fwww.webofscience.com%2Fwos%2Fwoscc%2Ffull-record%2FWOS:000936275000001","View Full Record in Web of Science")</f>
        <v>View Full Record in Web of Science</v>
      </c>
    </row>
    <row r="198" spans="1:72" x14ac:dyDescent="0.15">
      <c r="A198" t="s">
        <v>72</v>
      </c>
      <c r="B198" t="s">
        <v>3540</v>
      </c>
      <c r="C198" t="s">
        <v>74</v>
      </c>
      <c r="D198" t="s">
        <v>74</v>
      </c>
      <c r="E198" t="s">
        <v>74</v>
      </c>
      <c r="F198" t="s">
        <v>3541</v>
      </c>
      <c r="G198" t="s">
        <v>74</v>
      </c>
      <c r="H198" t="s">
        <v>74</v>
      </c>
      <c r="I198" t="s">
        <v>3542</v>
      </c>
      <c r="J198" t="s">
        <v>1078</v>
      </c>
      <c r="K198" t="s">
        <v>74</v>
      </c>
      <c r="L198" t="s">
        <v>74</v>
      </c>
      <c r="M198" t="s">
        <v>78</v>
      </c>
      <c r="N198" t="s">
        <v>79</v>
      </c>
      <c r="O198" t="s">
        <v>74</v>
      </c>
      <c r="P198" t="s">
        <v>74</v>
      </c>
      <c r="Q198" t="s">
        <v>74</v>
      </c>
      <c r="R198" t="s">
        <v>74</v>
      </c>
      <c r="S198" t="s">
        <v>74</v>
      </c>
      <c r="T198" t="s">
        <v>3543</v>
      </c>
      <c r="U198" t="s">
        <v>3544</v>
      </c>
      <c r="V198" t="s">
        <v>3545</v>
      </c>
      <c r="W198" t="s">
        <v>3546</v>
      </c>
      <c r="X198" t="s">
        <v>3547</v>
      </c>
      <c r="Y198" t="s">
        <v>3548</v>
      </c>
      <c r="Z198" t="s">
        <v>3549</v>
      </c>
      <c r="AA198" t="s">
        <v>3550</v>
      </c>
      <c r="AB198" t="s">
        <v>3551</v>
      </c>
      <c r="AC198" t="s">
        <v>74</v>
      </c>
      <c r="AD198" t="s">
        <v>74</v>
      </c>
      <c r="AE198" t="s">
        <v>74</v>
      </c>
      <c r="AF198" t="s">
        <v>74</v>
      </c>
      <c r="AG198">
        <v>46</v>
      </c>
      <c r="AH198">
        <v>0</v>
      </c>
      <c r="AI198">
        <v>0</v>
      </c>
      <c r="AJ198">
        <v>3</v>
      </c>
      <c r="AK198">
        <v>3</v>
      </c>
      <c r="AL198" t="s">
        <v>287</v>
      </c>
      <c r="AM198" t="s">
        <v>288</v>
      </c>
      <c r="AN198" t="s">
        <v>289</v>
      </c>
      <c r="AO198" t="s">
        <v>1090</v>
      </c>
      <c r="AP198" t="s">
        <v>74</v>
      </c>
      <c r="AQ198" t="s">
        <v>74</v>
      </c>
      <c r="AR198" t="s">
        <v>1091</v>
      </c>
      <c r="AS198" t="s">
        <v>1092</v>
      </c>
      <c r="AT198" t="s">
        <v>99</v>
      </c>
      <c r="AU198">
        <v>2023</v>
      </c>
      <c r="AV198">
        <v>10</v>
      </c>
      <c r="AW198">
        <v>1</v>
      </c>
      <c r="AX198" t="s">
        <v>74</v>
      </c>
      <c r="AY198" t="s">
        <v>74</v>
      </c>
      <c r="AZ198" t="s">
        <v>74</v>
      </c>
      <c r="BA198" t="s">
        <v>74</v>
      </c>
      <c r="BB198" t="s">
        <v>74</v>
      </c>
      <c r="BC198" t="s">
        <v>74</v>
      </c>
      <c r="BD198">
        <v>2222985</v>
      </c>
      <c r="BE198" t="s">
        <v>3552</v>
      </c>
      <c r="BF198" t="str">
        <f>HYPERLINK("http://dx.doi.org/10.1080/23311916.2023.2222985","http://dx.doi.org/10.1080/23311916.2023.2222985")</f>
        <v>http://dx.doi.org/10.1080/23311916.2023.2222985</v>
      </c>
      <c r="BG198" t="s">
        <v>74</v>
      </c>
      <c r="BH198" t="s">
        <v>74</v>
      </c>
      <c r="BI198">
        <v>14</v>
      </c>
      <c r="BJ198" t="s">
        <v>1094</v>
      </c>
      <c r="BK198" t="s">
        <v>211</v>
      </c>
      <c r="BL198" t="s">
        <v>1095</v>
      </c>
      <c r="BM198" t="s">
        <v>3553</v>
      </c>
      <c r="BN198" t="s">
        <v>74</v>
      </c>
      <c r="BO198" t="s">
        <v>126</v>
      </c>
      <c r="BP198" t="s">
        <v>74</v>
      </c>
      <c r="BQ198" t="s">
        <v>74</v>
      </c>
      <c r="BR198" t="s">
        <v>105</v>
      </c>
      <c r="BS198" t="s">
        <v>3554</v>
      </c>
      <c r="BT198" t="str">
        <f>HYPERLINK("https%3A%2F%2Fwww.webofscience.com%2Fwos%2Fwoscc%2Ffull-record%2FWOS:001008389700001","View Full Record in Web of Science")</f>
        <v>View Full Record in Web of Science</v>
      </c>
    </row>
    <row r="199" spans="1:72" x14ac:dyDescent="0.15">
      <c r="A199" t="s">
        <v>72</v>
      </c>
      <c r="B199" t="s">
        <v>3555</v>
      </c>
      <c r="C199" t="s">
        <v>74</v>
      </c>
      <c r="D199" t="s">
        <v>74</v>
      </c>
      <c r="E199" t="s">
        <v>74</v>
      </c>
      <c r="F199" t="s">
        <v>3556</v>
      </c>
      <c r="G199" t="s">
        <v>74</v>
      </c>
      <c r="H199" t="s">
        <v>74</v>
      </c>
      <c r="I199" t="s">
        <v>3557</v>
      </c>
      <c r="J199" t="s">
        <v>1078</v>
      </c>
      <c r="K199" t="s">
        <v>74</v>
      </c>
      <c r="L199" t="s">
        <v>74</v>
      </c>
      <c r="M199" t="s">
        <v>78</v>
      </c>
      <c r="N199" t="s">
        <v>79</v>
      </c>
      <c r="O199" t="s">
        <v>74</v>
      </c>
      <c r="P199" t="s">
        <v>74</v>
      </c>
      <c r="Q199" t="s">
        <v>74</v>
      </c>
      <c r="R199" t="s">
        <v>74</v>
      </c>
      <c r="S199" t="s">
        <v>74</v>
      </c>
      <c r="T199" t="s">
        <v>3558</v>
      </c>
      <c r="U199" t="s">
        <v>74</v>
      </c>
      <c r="V199" t="s">
        <v>3559</v>
      </c>
      <c r="W199" t="s">
        <v>3560</v>
      </c>
      <c r="X199" t="s">
        <v>74</v>
      </c>
      <c r="Y199" t="s">
        <v>3561</v>
      </c>
      <c r="Z199" t="s">
        <v>3562</v>
      </c>
      <c r="AA199" t="s">
        <v>74</v>
      </c>
      <c r="AB199" t="s">
        <v>74</v>
      </c>
      <c r="AC199" t="s">
        <v>74</v>
      </c>
      <c r="AD199" t="s">
        <v>74</v>
      </c>
      <c r="AE199" t="s">
        <v>74</v>
      </c>
      <c r="AF199" t="s">
        <v>74</v>
      </c>
      <c r="AG199">
        <v>53</v>
      </c>
      <c r="AH199">
        <v>0</v>
      </c>
      <c r="AI199">
        <v>0</v>
      </c>
      <c r="AJ199">
        <v>0</v>
      </c>
      <c r="AK199">
        <v>0</v>
      </c>
      <c r="AL199" t="s">
        <v>287</v>
      </c>
      <c r="AM199" t="s">
        <v>288</v>
      </c>
      <c r="AN199" t="s">
        <v>289</v>
      </c>
      <c r="AO199" t="s">
        <v>1090</v>
      </c>
      <c r="AP199" t="s">
        <v>74</v>
      </c>
      <c r="AQ199" t="s">
        <v>74</v>
      </c>
      <c r="AR199" t="s">
        <v>1091</v>
      </c>
      <c r="AS199" t="s">
        <v>1092</v>
      </c>
      <c r="AT199" t="s">
        <v>99</v>
      </c>
      <c r="AU199">
        <v>2023</v>
      </c>
      <c r="AV199">
        <v>10</v>
      </c>
      <c r="AW199">
        <v>1</v>
      </c>
      <c r="AX199" t="s">
        <v>74</v>
      </c>
      <c r="AY199" t="s">
        <v>74</v>
      </c>
      <c r="AZ199" t="s">
        <v>74</v>
      </c>
      <c r="BA199" t="s">
        <v>74</v>
      </c>
      <c r="BB199" t="s">
        <v>74</v>
      </c>
      <c r="BC199" t="s">
        <v>74</v>
      </c>
      <c r="BD199">
        <v>2220504</v>
      </c>
      <c r="BE199" t="s">
        <v>3563</v>
      </c>
      <c r="BF199" t="str">
        <f>HYPERLINK("http://dx.doi.org/10.1080/23311916.2023.2220504","http://dx.doi.org/10.1080/23311916.2023.2220504")</f>
        <v>http://dx.doi.org/10.1080/23311916.2023.2220504</v>
      </c>
      <c r="BG199" t="s">
        <v>74</v>
      </c>
      <c r="BH199" t="s">
        <v>74</v>
      </c>
      <c r="BI199">
        <v>17</v>
      </c>
      <c r="BJ199" t="s">
        <v>1094</v>
      </c>
      <c r="BK199" t="s">
        <v>211</v>
      </c>
      <c r="BL199" t="s">
        <v>1095</v>
      </c>
      <c r="BM199" t="s">
        <v>3564</v>
      </c>
      <c r="BN199" t="s">
        <v>74</v>
      </c>
      <c r="BO199" t="s">
        <v>126</v>
      </c>
      <c r="BP199" t="s">
        <v>74</v>
      </c>
      <c r="BQ199" t="s">
        <v>74</v>
      </c>
      <c r="BR199" t="s">
        <v>105</v>
      </c>
      <c r="BS199" t="s">
        <v>3565</v>
      </c>
      <c r="BT199" t="str">
        <f>HYPERLINK("https%3A%2F%2Fwww.webofscience.com%2Fwos%2Fwoscc%2Ffull-record%2FWOS:001009897600001","View Full Record in Web of Science")</f>
        <v>View Full Record in Web of Science</v>
      </c>
    </row>
    <row r="200" spans="1:72" x14ac:dyDescent="0.15">
      <c r="A200" t="s">
        <v>72</v>
      </c>
      <c r="B200" t="s">
        <v>3566</v>
      </c>
      <c r="C200" t="s">
        <v>74</v>
      </c>
      <c r="D200" t="s">
        <v>74</v>
      </c>
      <c r="E200" t="s">
        <v>74</v>
      </c>
      <c r="F200" t="s">
        <v>3567</v>
      </c>
      <c r="G200" t="s">
        <v>74</v>
      </c>
      <c r="H200" t="s">
        <v>74</v>
      </c>
      <c r="I200" t="s">
        <v>3568</v>
      </c>
      <c r="J200" t="s">
        <v>1980</v>
      </c>
      <c r="K200" t="s">
        <v>74</v>
      </c>
      <c r="L200" t="s">
        <v>74</v>
      </c>
      <c r="M200" t="s">
        <v>78</v>
      </c>
      <c r="N200" t="s">
        <v>79</v>
      </c>
      <c r="O200" t="s">
        <v>74</v>
      </c>
      <c r="P200" t="s">
        <v>74</v>
      </c>
      <c r="Q200" t="s">
        <v>74</v>
      </c>
      <c r="R200" t="s">
        <v>74</v>
      </c>
      <c r="S200" t="s">
        <v>74</v>
      </c>
      <c r="T200" t="s">
        <v>3569</v>
      </c>
      <c r="U200" t="s">
        <v>3570</v>
      </c>
      <c r="V200" t="s">
        <v>3571</v>
      </c>
      <c r="W200" t="s">
        <v>3572</v>
      </c>
      <c r="X200" t="s">
        <v>3573</v>
      </c>
      <c r="Y200" t="s">
        <v>3574</v>
      </c>
      <c r="Z200" t="s">
        <v>3575</v>
      </c>
      <c r="AA200" t="s">
        <v>74</v>
      </c>
      <c r="AB200" t="s">
        <v>3576</v>
      </c>
      <c r="AC200" t="s">
        <v>74</v>
      </c>
      <c r="AD200" t="s">
        <v>74</v>
      </c>
      <c r="AE200" t="s">
        <v>74</v>
      </c>
      <c r="AF200" t="s">
        <v>74</v>
      </c>
      <c r="AG200">
        <v>47</v>
      </c>
      <c r="AH200">
        <v>0</v>
      </c>
      <c r="AI200">
        <v>0</v>
      </c>
      <c r="AJ200">
        <v>3</v>
      </c>
      <c r="AK200">
        <v>5</v>
      </c>
      <c r="AL200" t="s">
        <v>184</v>
      </c>
      <c r="AM200" t="s">
        <v>185</v>
      </c>
      <c r="AN200" t="s">
        <v>186</v>
      </c>
      <c r="AO200" t="s">
        <v>1990</v>
      </c>
      <c r="AP200" t="s">
        <v>1991</v>
      </c>
      <c r="AQ200" t="s">
        <v>74</v>
      </c>
      <c r="AR200" t="s">
        <v>1980</v>
      </c>
      <c r="AS200" t="s">
        <v>1992</v>
      </c>
      <c r="AT200" t="s">
        <v>99</v>
      </c>
      <c r="AU200">
        <v>2023</v>
      </c>
      <c r="AV200">
        <v>14</v>
      </c>
      <c r="AW200">
        <v>1</v>
      </c>
      <c r="AX200" t="s">
        <v>74</v>
      </c>
      <c r="AY200" t="s">
        <v>74</v>
      </c>
      <c r="AZ200" t="s">
        <v>74</v>
      </c>
      <c r="BA200" t="s">
        <v>74</v>
      </c>
      <c r="BB200" t="s">
        <v>74</v>
      </c>
      <c r="BC200" t="s">
        <v>74</v>
      </c>
      <c r="BD200">
        <v>2171690</v>
      </c>
      <c r="BE200" t="s">
        <v>3577</v>
      </c>
      <c r="BF200" t="str">
        <f>HYPERLINK("http://dx.doi.org/10.1080/21505594.2023.2171690","http://dx.doi.org/10.1080/21505594.2023.2171690")</f>
        <v>http://dx.doi.org/10.1080/21505594.2023.2171690</v>
      </c>
      <c r="BG200" t="s">
        <v>74</v>
      </c>
      <c r="BH200" t="s">
        <v>74</v>
      </c>
      <c r="BI200">
        <v>14</v>
      </c>
      <c r="BJ200" t="s">
        <v>752</v>
      </c>
      <c r="BK200" t="s">
        <v>102</v>
      </c>
      <c r="BL200" t="s">
        <v>752</v>
      </c>
      <c r="BM200" t="s">
        <v>3578</v>
      </c>
      <c r="BN200">
        <v>36694274</v>
      </c>
      <c r="BO200" t="s">
        <v>1474</v>
      </c>
      <c r="BP200" t="s">
        <v>74</v>
      </c>
      <c r="BQ200" t="s">
        <v>74</v>
      </c>
      <c r="BR200" t="s">
        <v>105</v>
      </c>
      <c r="BS200" t="s">
        <v>3579</v>
      </c>
      <c r="BT200" t="str">
        <f>HYPERLINK("https%3A%2F%2Fwww.webofscience.com%2Fwos%2Fwoscc%2Ffull-record%2FWOS:000934204600001","View Full Record in Web of Science")</f>
        <v>View Full Record in Web of Science</v>
      </c>
    </row>
    <row r="201" spans="1:72" x14ac:dyDescent="0.15">
      <c r="A201" t="s">
        <v>72</v>
      </c>
      <c r="B201" t="s">
        <v>3580</v>
      </c>
      <c r="C201" t="s">
        <v>74</v>
      </c>
      <c r="D201" t="s">
        <v>74</v>
      </c>
      <c r="E201" t="s">
        <v>74</v>
      </c>
      <c r="F201" t="s">
        <v>3581</v>
      </c>
      <c r="G201" t="s">
        <v>74</v>
      </c>
      <c r="H201" t="s">
        <v>74</v>
      </c>
      <c r="I201" t="s">
        <v>3582</v>
      </c>
      <c r="J201" t="s">
        <v>2604</v>
      </c>
      <c r="K201" t="s">
        <v>74</v>
      </c>
      <c r="L201" t="s">
        <v>74</v>
      </c>
      <c r="M201" t="s">
        <v>78</v>
      </c>
      <c r="N201" t="s">
        <v>79</v>
      </c>
      <c r="O201" t="s">
        <v>74</v>
      </c>
      <c r="P201" t="s">
        <v>74</v>
      </c>
      <c r="Q201" t="s">
        <v>74</v>
      </c>
      <c r="R201" t="s">
        <v>74</v>
      </c>
      <c r="S201" t="s">
        <v>74</v>
      </c>
      <c r="T201" t="s">
        <v>3583</v>
      </c>
      <c r="U201" t="s">
        <v>3584</v>
      </c>
      <c r="V201" t="s">
        <v>3585</v>
      </c>
      <c r="W201" t="s">
        <v>3586</v>
      </c>
      <c r="X201" t="s">
        <v>3587</v>
      </c>
      <c r="Y201" t="s">
        <v>3588</v>
      </c>
      <c r="Z201" t="s">
        <v>3589</v>
      </c>
      <c r="AA201" t="s">
        <v>74</v>
      </c>
      <c r="AB201" t="s">
        <v>74</v>
      </c>
      <c r="AC201" t="s">
        <v>74</v>
      </c>
      <c r="AD201" t="s">
        <v>74</v>
      </c>
      <c r="AE201" t="s">
        <v>74</v>
      </c>
      <c r="AF201" t="s">
        <v>74</v>
      </c>
      <c r="AG201">
        <v>41</v>
      </c>
      <c r="AH201">
        <v>0</v>
      </c>
      <c r="AI201">
        <v>0</v>
      </c>
      <c r="AJ201">
        <v>10</v>
      </c>
      <c r="AK201">
        <v>10</v>
      </c>
      <c r="AL201" t="s">
        <v>92</v>
      </c>
      <c r="AM201" t="s">
        <v>93</v>
      </c>
      <c r="AN201" t="s">
        <v>94</v>
      </c>
      <c r="AO201" t="s">
        <v>2615</v>
      </c>
      <c r="AP201" t="s">
        <v>2616</v>
      </c>
      <c r="AQ201" t="s">
        <v>74</v>
      </c>
      <c r="AR201" t="s">
        <v>2617</v>
      </c>
      <c r="AS201" t="s">
        <v>2618</v>
      </c>
      <c r="AT201" t="s">
        <v>99</v>
      </c>
      <c r="AU201">
        <v>2023</v>
      </c>
      <c r="AV201">
        <v>35</v>
      </c>
      <c r="AW201">
        <v>1</v>
      </c>
      <c r="AX201" t="s">
        <v>74</v>
      </c>
      <c r="AY201" t="s">
        <v>74</v>
      </c>
      <c r="AZ201" t="s">
        <v>74</v>
      </c>
      <c r="BA201" t="s">
        <v>74</v>
      </c>
      <c r="BB201" t="s">
        <v>74</v>
      </c>
      <c r="BC201" t="s">
        <v>74</v>
      </c>
      <c r="BD201">
        <v>2227780</v>
      </c>
      <c r="BE201" t="s">
        <v>3590</v>
      </c>
      <c r="BF201" t="str">
        <f>HYPERLINK("http://dx.doi.org/10.1080/09540091.2023.2227780","http://dx.doi.org/10.1080/09540091.2023.2227780")</f>
        <v>http://dx.doi.org/10.1080/09540091.2023.2227780</v>
      </c>
      <c r="BG201" t="s">
        <v>74</v>
      </c>
      <c r="BH201" t="s">
        <v>74</v>
      </c>
      <c r="BI201">
        <v>22</v>
      </c>
      <c r="BJ201" t="s">
        <v>2620</v>
      </c>
      <c r="BK201" t="s">
        <v>102</v>
      </c>
      <c r="BL201" t="s">
        <v>2621</v>
      </c>
      <c r="BM201" t="s">
        <v>3591</v>
      </c>
      <c r="BN201" t="s">
        <v>74</v>
      </c>
      <c r="BO201" t="s">
        <v>126</v>
      </c>
      <c r="BP201" t="s">
        <v>74</v>
      </c>
      <c r="BQ201" t="s">
        <v>74</v>
      </c>
      <c r="BR201" t="s">
        <v>105</v>
      </c>
      <c r="BS201" t="s">
        <v>3592</v>
      </c>
      <c r="BT201" t="str">
        <f>HYPERLINK("https%3A%2F%2Fwww.webofscience.com%2Fwos%2Fwoscc%2Ffull-record%2FWOS:001049641400001","View Full Record in Web of Science")</f>
        <v>View Full Record in Web of Science</v>
      </c>
    </row>
    <row r="202" spans="1:72" x14ac:dyDescent="0.15">
      <c r="A202" t="s">
        <v>72</v>
      </c>
      <c r="B202" t="s">
        <v>3593</v>
      </c>
      <c r="C202" t="s">
        <v>74</v>
      </c>
      <c r="D202" t="s">
        <v>74</v>
      </c>
      <c r="E202" t="s">
        <v>74</v>
      </c>
      <c r="F202" t="s">
        <v>3594</v>
      </c>
      <c r="G202" t="s">
        <v>74</v>
      </c>
      <c r="H202" t="s">
        <v>74</v>
      </c>
      <c r="I202" t="s">
        <v>3595</v>
      </c>
      <c r="J202" t="s">
        <v>1118</v>
      </c>
      <c r="K202" t="s">
        <v>74</v>
      </c>
      <c r="L202" t="s">
        <v>74</v>
      </c>
      <c r="M202" t="s">
        <v>78</v>
      </c>
      <c r="N202" t="s">
        <v>79</v>
      </c>
      <c r="O202" t="s">
        <v>74</v>
      </c>
      <c r="P202" t="s">
        <v>74</v>
      </c>
      <c r="Q202" t="s">
        <v>74</v>
      </c>
      <c r="R202" t="s">
        <v>74</v>
      </c>
      <c r="S202" t="s">
        <v>74</v>
      </c>
      <c r="T202" t="s">
        <v>3596</v>
      </c>
      <c r="U202" t="s">
        <v>3597</v>
      </c>
      <c r="V202" t="s">
        <v>3598</v>
      </c>
      <c r="W202" t="s">
        <v>3599</v>
      </c>
      <c r="X202" t="s">
        <v>3600</v>
      </c>
      <c r="Y202" t="s">
        <v>3601</v>
      </c>
      <c r="Z202" t="s">
        <v>3602</v>
      </c>
      <c r="AA202" t="s">
        <v>74</v>
      </c>
      <c r="AB202" t="s">
        <v>74</v>
      </c>
      <c r="AC202" t="s">
        <v>3603</v>
      </c>
      <c r="AD202" t="s">
        <v>3604</v>
      </c>
      <c r="AE202" t="s">
        <v>3605</v>
      </c>
      <c r="AF202" t="s">
        <v>74</v>
      </c>
      <c r="AG202">
        <v>59</v>
      </c>
      <c r="AH202">
        <v>0</v>
      </c>
      <c r="AI202">
        <v>0</v>
      </c>
      <c r="AJ202">
        <v>5</v>
      </c>
      <c r="AK202">
        <v>5</v>
      </c>
      <c r="AL202" t="s">
        <v>92</v>
      </c>
      <c r="AM202" t="s">
        <v>93</v>
      </c>
      <c r="AN202" t="s">
        <v>94</v>
      </c>
      <c r="AO202" t="s">
        <v>1130</v>
      </c>
      <c r="AP202" t="s">
        <v>1131</v>
      </c>
      <c r="AQ202" t="s">
        <v>74</v>
      </c>
      <c r="AR202" t="s">
        <v>1132</v>
      </c>
      <c r="AS202" t="s">
        <v>1133</v>
      </c>
      <c r="AT202" t="s">
        <v>99</v>
      </c>
      <c r="AU202">
        <v>2023</v>
      </c>
      <c r="AV202">
        <v>21</v>
      </c>
      <c r="AW202">
        <v>1</v>
      </c>
      <c r="AX202" t="s">
        <v>74</v>
      </c>
      <c r="AY202" t="s">
        <v>74</v>
      </c>
      <c r="AZ202" t="s">
        <v>74</v>
      </c>
      <c r="BA202" t="s">
        <v>74</v>
      </c>
      <c r="BB202">
        <v>442</v>
      </c>
      <c r="BC202">
        <v>450</v>
      </c>
      <c r="BD202" t="s">
        <v>74</v>
      </c>
      <c r="BE202" t="s">
        <v>3606</v>
      </c>
      <c r="BF202" t="str">
        <f>HYPERLINK("http://dx.doi.org/10.1080/19476337.2023.2222787","http://dx.doi.org/10.1080/19476337.2023.2222787")</f>
        <v>http://dx.doi.org/10.1080/19476337.2023.2222787</v>
      </c>
      <c r="BG202" t="s">
        <v>74</v>
      </c>
      <c r="BH202" t="s">
        <v>74</v>
      </c>
      <c r="BI202">
        <v>9</v>
      </c>
      <c r="BJ202" t="s">
        <v>192</v>
      </c>
      <c r="BK202" t="s">
        <v>102</v>
      </c>
      <c r="BL202" t="s">
        <v>192</v>
      </c>
      <c r="BM202" t="s">
        <v>3607</v>
      </c>
      <c r="BN202" t="s">
        <v>74</v>
      </c>
      <c r="BO202" t="s">
        <v>519</v>
      </c>
      <c r="BP202" t="s">
        <v>74</v>
      </c>
      <c r="BQ202" t="s">
        <v>74</v>
      </c>
      <c r="BR202" t="s">
        <v>105</v>
      </c>
      <c r="BS202" t="s">
        <v>3608</v>
      </c>
      <c r="BT202" t="str">
        <f>HYPERLINK("https%3A%2F%2Fwww.webofscience.com%2Fwos%2Fwoscc%2Ffull-record%2FWOS:001017895400001","View Full Record in Web of Science")</f>
        <v>View Full Record in Web of Science</v>
      </c>
    </row>
    <row r="203" spans="1:72" x14ac:dyDescent="0.15">
      <c r="A203" t="s">
        <v>72</v>
      </c>
      <c r="B203" t="s">
        <v>3609</v>
      </c>
      <c r="C203" t="s">
        <v>74</v>
      </c>
      <c r="D203" t="s">
        <v>74</v>
      </c>
      <c r="E203" t="s">
        <v>74</v>
      </c>
      <c r="F203" t="s">
        <v>3610</v>
      </c>
      <c r="G203" t="s">
        <v>74</v>
      </c>
      <c r="H203" t="s">
        <v>74</v>
      </c>
      <c r="I203" t="s">
        <v>3611</v>
      </c>
      <c r="J203" t="s">
        <v>3612</v>
      </c>
      <c r="K203" t="s">
        <v>74</v>
      </c>
      <c r="L203" t="s">
        <v>74</v>
      </c>
      <c r="M203" t="s">
        <v>78</v>
      </c>
      <c r="N203" t="s">
        <v>79</v>
      </c>
      <c r="O203" t="s">
        <v>74</v>
      </c>
      <c r="P203" t="s">
        <v>74</v>
      </c>
      <c r="Q203" t="s">
        <v>74</v>
      </c>
      <c r="R203" t="s">
        <v>74</v>
      </c>
      <c r="S203" t="s">
        <v>74</v>
      </c>
      <c r="T203" t="s">
        <v>3613</v>
      </c>
      <c r="U203" t="s">
        <v>3614</v>
      </c>
      <c r="V203" t="s">
        <v>3615</v>
      </c>
      <c r="W203" t="s">
        <v>3616</v>
      </c>
      <c r="X203" t="s">
        <v>3617</v>
      </c>
      <c r="Y203" t="s">
        <v>3618</v>
      </c>
      <c r="Z203" t="s">
        <v>3619</v>
      </c>
      <c r="AA203" t="s">
        <v>74</v>
      </c>
      <c r="AB203" t="s">
        <v>74</v>
      </c>
      <c r="AC203" t="s">
        <v>74</v>
      </c>
      <c r="AD203" t="s">
        <v>74</v>
      </c>
      <c r="AE203" t="s">
        <v>74</v>
      </c>
      <c r="AF203" t="s">
        <v>74</v>
      </c>
      <c r="AG203">
        <v>63</v>
      </c>
      <c r="AH203">
        <v>0</v>
      </c>
      <c r="AI203">
        <v>0</v>
      </c>
      <c r="AJ203">
        <v>12</v>
      </c>
      <c r="AK203">
        <v>12</v>
      </c>
      <c r="AL203" t="s">
        <v>92</v>
      </c>
      <c r="AM203" t="s">
        <v>93</v>
      </c>
      <c r="AN203" t="s">
        <v>94</v>
      </c>
      <c r="AO203" t="s">
        <v>3620</v>
      </c>
      <c r="AP203" t="s">
        <v>3621</v>
      </c>
      <c r="AQ203" t="s">
        <v>74</v>
      </c>
      <c r="AR203" t="s">
        <v>3622</v>
      </c>
      <c r="AS203" t="s">
        <v>3623</v>
      </c>
      <c r="AT203" t="s">
        <v>99</v>
      </c>
      <c r="AU203">
        <v>2023</v>
      </c>
      <c r="AV203">
        <v>55</v>
      </c>
      <c r="AW203">
        <v>1</v>
      </c>
      <c r="AX203" t="s">
        <v>74</v>
      </c>
      <c r="AY203" t="s">
        <v>74</v>
      </c>
      <c r="AZ203" t="s">
        <v>74</v>
      </c>
      <c r="BA203" t="s">
        <v>74</v>
      </c>
      <c r="BB203" t="s">
        <v>74</v>
      </c>
      <c r="BC203" t="s">
        <v>74</v>
      </c>
      <c r="BD203">
        <v>2188716</v>
      </c>
      <c r="BE203" t="s">
        <v>3624</v>
      </c>
      <c r="BF203" t="str">
        <f>HYPERLINK("http://dx.doi.org/10.1080/15230430.2023.2188716","http://dx.doi.org/10.1080/15230430.2023.2188716")</f>
        <v>http://dx.doi.org/10.1080/15230430.2023.2188716</v>
      </c>
      <c r="BG203" t="s">
        <v>74</v>
      </c>
      <c r="BH203" t="s">
        <v>74</v>
      </c>
      <c r="BI203">
        <v>14</v>
      </c>
      <c r="BJ203" t="s">
        <v>3625</v>
      </c>
      <c r="BK203" t="s">
        <v>102</v>
      </c>
      <c r="BL203" t="s">
        <v>3626</v>
      </c>
      <c r="BM203" t="s">
        <v>3627</v>
      </c>
      <c r="BN203" t="s">
        <v>74</v>
      </c>
      <c r="BO203" t="s">
        <v>126</v>
      </c>
      <c r="BP203" t="s">
        <v>74</v>
      </c>
      <c r="BQ203" t="s">
        <v>74</v>
      </c>
      <c r="BR203" t="s">
        <v>105</v>
      </c>
      <c r="BS203" t="s">
        <v>3628</v>
      </c>
      <c r="BT203" t="str">
        <f>HYPERLINK("https%3A%2F%2Fwww.webofscience.com%2Fwos%2Fwoscc%2Ffull-record%2FWOS:000956177200001","View Full Record in Web of Science")</f>
        <v>View Full Record in Web of Science</v>
      </c>
    </row>
    <row r="204" spans="1:72" x14ac:dyDescent="0.15">
      <c r="A204" t="s">
        <v>72</v>
      </c>
      <c r="B204" t="s">
        <v>3629</v>
      </c>
      <c r="C204" t="s">
        <v>74</v>
      </c>
      <c r="D204" t="s">
        <v>74</v>
      </c>
      <c r="E204" t="s">
        <v>74</v>
      </c>
      <c r="F204" t="s">
        <v>3630</v>
      </c>
      <c r="G204" t="s">
        <v>74</v>
      </c>
      <c r="H204" t="s">
        <v>74</v>
      </c>
      <c r="I204" t="s">
        <v>3631</v>
      </c>
      <c r="J204" t="s">
        <v>1078</v>
      </c>
      <c r="K204" t="s">
        <v>74</v>
      </c>
      <c r="L204" t="s">
        <v>74</v>
      </c>
      <c r="M204" t="s">
        <v>78</v>
      </c>
      <c r="N204" t="s">
        <v>79</v>
      </c>
      <c r="O204" t="s">
        <v>74</v>
      </c>
      <c r="P204" t="s">
        <v>74</v>
      </c>
      <c r="Q204" t="s">
        <v>74</v>
      </c>
      <c r="R204" t="s">
        <v>74</v>
      </c>
      <c r="S204" t="s">
        <v>74</v>
      </c>
      <c r="T204" t="s">
        <v>3632</v>
      </c>
      <c r="U204" t="s">
        <v>3633</v>
      </c>
      <c r="V204" t="s">
        <v>3634</v>
      </c>
      <c r="W204" t="s">
        <v>3635</v>
      </c>
      <c r="X204" t="s">
        <v>3636</v>
      </c>
      <c r="Y204" t="s">
        <v>3637</v>
      </c>
      <c r="Z204" t="s">
        <v>3638</v>
      </c>
      <c r="AA204" t="s">
        <v>74</v>
      </c>
      <c r="AB204" t="s">
        <v>74</v>
      </c>
      <c r="AC204" t="s">
        <v>74</v>
      </c>
      <c r="AD204" t="s">
        <v>74</v>
      </c>
      <c r="AE204" t="s">
        <v>74</v>
      </c>
      <c r="AF204" t="s">
        <v>74</v>
      </c>
      <c r="AG204">
        <v>42</v>
      </c>
      <c r="AH204">
        <v>0</v>
      </c>
      <c r="AI204">
        <v>0</v>
      </c>
      <c r="AJ204">
        <v>0</v>
      </c>
      <c r="AK204">
        <v>0</v>
      </c>
      <c r="AL204" t="s">
        <v>287</v>
      </c>
      <c r="AM204" t="s">
        <v>288</v>
      </c>
      <c r="AN204" t="s">
        <v>289</v>
      </c>
      <c r="AO204" t="s">
        <v>1090</v>
      </c>
      <c r="AP204" t="s">
        <v>74</v>
      </c>
      <c r="AQ204" t="s">
        <v>74</v>
      </c>
      <c r="AR204" t="s">
        <v>1091</v>
      </c>
      <c r="AS204" t="s">
        <v>1092</v>
      </c>
      <c r="AT204" t="s">
        <v>99</v>
      </c>
      <c r="AU204">
        <v>2023</v>
      </c>
      <c r="AV204">
        <v>10</v>
      </c>
      <c r="AW204">
        <v>1</v>
      </c>
      <c r="AX204" t="s">
        <v>74</v>
      </c>
      <c r="AY204" t="s">
        <v>74</v>
      </c>
      <c r="AZ204" t="s">
        <v>74</v>
      </c>
      <c r="BA204" t="s">
        <v>74</v>
      </c>
      <c r="BB204" t="s">
        <v>74</v>
      </c>
      <c r="BC204" t="s">
        <v>74</v>
      </c>
      <c r="BD204">
        <v>2235820</v>
      </c>
      <c r="BE204" t="s">
        <v>3639</v>
      </c>
      <c r="BF204" t="str">
        <f>HYPERLINK("http://dx.doi.org/10.1080/23311916.2023.2235820","http://dx.doi.org/10.1080/23311916.2023.2235820")</f>
        <v>http://dx.doi.org/10.1080/23311916.2023.2235820</v>
      </c>
      <c r="BG204" t="s">
        <v>74</v>
      </c>
      <c r="BH204" t="s">
        <v>74</v>
      </c>
      <c r="BI204">
        <v>20</v>
      </c>
      <c r="BJ204" t="s">
        <v>1094</v>
      </c>
      <c r="BK204" t="s">
        <v>211</v>
      </c>
      <c r="BL204" t="s">
        <v>1095</v>
      </c>
      <c r="BM204" t="s">
        <v>3640</v>
      </c>
      <c r="BN204" t="s">
        <v>74</v>
      </c>
      <c r="BO204" t="s">
        <v>126</v>
      </c>
      <c r="BP204" t="s">
        <v>74</v>
      </c>
      <c r="BQ204" t="s">
        <v>74</v>
      </c>
      <c r="BR204" t="s">
        <v>105</v>
      </c>
      <c r="BS204" t="s">
        <v>3641</v>
      </c>
      <c r="BT204" t="str">
        <f>HYPERLINK("https%3A%2F%2Fwww.webofscience.com%2Fwos%2Fwoscc%2Ffull-record%2FWOS:001034212500001","View Full Record in Web of Science")</f>
        <v>View Full Record in Web of Science</v>
      </c>
    </row>
    <row r="205" spans="1:72" x14ac:dyDescent="0.15">
      <c r="A205" t="s">
        <v>72</v>
      </c>
      <c r="B205" t="s">
        <v>3642</v>
      </c>
      <c r="C205" t="s">
        <v>74</v>
      </c>
      <c r="D205" t="s">
        <v>74</v>
      </c>
      <c r="E205" t="s">
        <v>74</v>
      </c>
      <c r="F205" t="s">
        <v>3643</v>
      </c>
      <c r="G205" t="s">
        <v>74</v>
      </c>
      <c r="H205" t="s">
        <v>74</v>
      </c>
      <c r="I205" t="s">
        <v>3644</v>
      </c>
      <c r="J205" t="s">
        <v>3645</v>
      </c>
      <c r="K205" t="s">
        <v>74</v>
      </c>
      <c r="L205" t="s">
        <v>74</v>
      </c>
      <c r="M205" t="s">
        <v>78</v>
      </c>
      <c r="N205" t="s">
        <v>79</v>
      </c>
      <c r="O205" t="s">
        <v>74</v>
      </c>
      <c r="P205" t="s">
        <v>74</v>
      </c>
      <c r="Q205" t="s">
        <v>74</v>
      </c>
      <c r="R205" t="s">
        <v>74</v>
      </c>
      <c r="S205" t="s">
        <v>74</v>
      </c>
      <c r="T205" t="s">
        <v>3646</v>
      </c>
      <c r="U205" t="s">
        <v>3647</v>
      </c>
      <c r="V205" t="s">
        <v>3648</v>
      </c>
      <c r="W205" t="s">
        <v>3649</v>
      </c>
      <c r="X205" t="s">
        <v>3650</v>
      </c>
      <c r="Y205" t="s">
        <v>3651</v>
      </c>
      <c r="Z205" t="s">
        <v>3652</v>
      </c>
      <c r="AA205" t="s">
        <v>74</v>
      </c>
      <c r="AB205" t="s">
        <v>74</v>
      </c>
      <c r="AC205" t="s">
        <v>74</v>
      </c>
      <c r="AD205" t="s">
        <v>74</v>
      </c>
      <c r="AE205" t="s">
        <v>74</v>
      </c>
      <c r="AF205" t="s">
        <v>74</v>
      </c>
      <c r="AG205">
        <v>67</v>
      </c>
      <c r="AH205">
        <v>0</v>
      </c>
      <c r="AI205">
        <v>0</v>
      </c>
      <c r="AJ205">
        <v>3</v>
      </c>
      <c r="AK205">
        <v>10</v>
      </c>
      <c r="AL205" t="s">
        <v>184</v>
      </c>
      <c r="AM205" t="s">
        <v>185</v>
      </c>
      <c r="AN205" t="s">
        <v>186</v>
      </c>
      <c r="AO205" t="s">
        <v>3653</v>
      </c>
      <c r="AP205" t="s">
        <v>3654</v>
      </c>
      <c r="AQ205" t="s">
        <v>74</v>
      </c>
      <c r="AR205" t="s">
        <v>3645</v>
      </c>
      <c r="AS205" t="s">
        <v>3655</v>
      </c>
      <c r="AT205" t="s">
        <v>99</v>
      </c>
      <c r="AU205">
        <v>2023</v>
      </c>
      <c r="AV205">
        <v>15</v>
      </c>
      <c r="AW205">
        <v>1</v>
      </c>
      <c r="AX205" t="s">
        <v>74</v>
      </c>
      <c r="AY205" t="s">
        <v>74</v>
      </c>
      <c r="AZ205" t="s">
        <v>74</v>
      </c>
      <c r="BA205" t="s">
        <v>74</v>
      </c>
      <c r="BB205" t="s">
        <v>74</v>
      </c>
      <c r="BC205" t="s">
        <v>74</v>
      </c>
      <c r="BD205">
        <v>2165368</v>
      </c>
      <c r="BE205" t="s">
        <v>3656</v>
      </c>
      <c r="BF205" t="str">
        <f>HYPERLINK("http://dx.doi.org/10.1080/19382014.2023.2165368","http://dx.doi.org/10.1080/19382014.2023.2165368")</f>
        <v>http://dx.doi.org/10.1080/19382014.2023.2165368</v>
      </c>
      <c r="BG205" t="s">
        <v>74</v>
      </c>
      <c r="BH205" t="s">
        <v>74</v>
      </c>
      <c r="BI205">
        <v>16</v>
      </c>
      <c r="BJ205" t="s">
        <v>2644</v>
      </c>
      <c r="BK205" t="s">
        <v>102</v>
      </c>
      <c r="BL205" t="s">
        <v>2644</v>
      </c>
      <c r="BM205" t="s">
        <v>3657</v>
      </c>
      <c r="BN205">
        <v>36709757</v>
      </c>
      <c r="BO205" t="s">
        <v>165</v>
      </c>
      <c r="BP205" t="s">
        <v>74</v>
      </c>
      <c r="BQ205" t="s">
        <v>74</v>
      </c>
      <c r="BR205" t="s">
        <v>105</v>
      </c>
      <c r="BS205" t="s">
        <v>3658</v>
      </c>
      <c r="BT205" t="str">
        <f>HYPERLINK("https%3A%2F%2Fwww.webofscience.com%2Fwos%2Fwoscc%2Ffull-record%2FWOS:000918971800001","View Full Record in Web of Science")</f>
        <v>View Full Record in Web of Science</v>
      </c>
    </row>
    <row r="206" spans="1:72" x14ac:dyDescent="0.15">
      <c r="A206" t="s">
        <v>72</v>
      </c>
      <c r="B206" t="s">
        <v>3659</v>
      </c>
      <c r="C206" t="s">
        <v>74</v>
      </c>
      <c r="D206" t="s">
        <v>74</v>
      </c>
      <c r="E206" t="s">
        <v>74</v>
      </c>
      <c r="F206" t="s">
        <v>3660</v>
      </c>
      <c r="G206" t="s">
        <v>74</v>
      </c>
      <c r="H206" t="s">
        <v>74</v>
      </c>
      <c r="I206" t="s">
        <v>3661</v>
      </c>
      <c r="J206" t="s">
        <v>77</v>
      </c>
      <c r="K206" t="s">
        <v>74</v>
      </c>
      <c r="L206" t="s">
        <v>74</v>
      </c>
      <c r="M206" t="s">
        <v>78</v>
      </c>
      <c r="N206" t="s">
        <v>171</v>
      </c>
      <c r="O206" t="s">
        <v>74</v>
      </c>
      <c r="P206" t="s">
        <v>74</v>
      </c>
      <c r="Q206" t="s">
        <v>74</v>
      </c>
      <c r="R206" t="s">
        <v>74</v>
      </c>
      <c r="S206" t="s">
        <v>74</v>
      </c>
      <c r="T206" t="s">
        <v>3662</v>
      </c>
      <c r="U206" t="s">
        <v>3663</v>
      </c>
      <c r="V206" t="s">
        <v>3664</v>
      </c>
      <c r="W206" t="s">
        <v>3665</v>
      </c>
      <c r="X206" t="s">
        <v>3666</v>
      </c>
      <c r="Y206" t="s">
        <v>3667</v>
      </c>
      <c r="Z206" t="s">
        <v>3668</v>
      </c>
      <c r="AA206" t="s">
        <v>74</v>
      </c>
      <c r="AB206" t="s">
        <v>74</v>
      </c>
      <c r="AC206" t="s">
        <v>3669</v>
      </c>
      <c r="AD206" t="s">
        <v>3670</v>
      </c>
      <c r="AE206" t="s">
        <v>3671</v>
      </c>
      <c r="AF206" t="s">
        <v>74</v>
      </c>
      <c r="AG206">
        <v>212</v>
      </c>
      <c r="AH206">
        <v>1</v>
      </c>
      <c r="AI206">
        <v>1</v>
      </c>
      <c r="AJ206">
        <v>47</v>
      </c>
      <c r="AK206">
        <v>52</v>
      </c>
      <c r="AL206" t="s">
        <v>92</v>
      </c>
      <c r="AM206" t="s">
        <v>93</v>
      </c>
      <c r="AN206" t="s">
        <v>94</v>
      </c>
      <c r="AO206" t="s">
        <v>95</v>
      </c>
      <c r="AP206" t="s">
        <v>96</v>
      </c>
      <c r="AQ206" t="s">
        <v>74</v>
      </c>
      <c r="AR206" t="s">
        <v>97</v>
      </c>
      <c r="AS206" t="s">
        <v>98</v>
      </c>
      <c r="AT206" t="s">
        <v>99</v>
      </c>
      <c r="AU206">
        <v>2023</v>
      </c>
      <c r="AV206">
        <v>30</v>
      </c>
      <c r="AW206">
        <v>1</v>
      </c>
      <c r="AX206" t="s">
        <v>74</v>
      </c>
      <c r="AY206" t="s">
        <v>74</v>
      </c>
      <c r="AZ206" t="s">
        <v>74</v>
      </c>
      <c r="BA206" t="s">
        <v>74</v>
      </c>
      <c r="BB206" t="s">
        <v>74</v>
      </c>
      <c r="BC206" t="s">
        <v>74</v>
      </c>
      <c r="BD206">
        <v>2183816</v>
      </c>
      <c r="BE206" t="s">
        <v>3672</v>
      </c>
      <c r="BF206" t="str">
        <f>HYPERLINK("http://dx.doi.org/10.1080/10717544.2023.2183816","http://dx.doi.org/10.1080/10717544.2023.2183816")</f>
        <v>http://dx.doi.org/10.1080/10717544.2023.2183816</v>
      </c>
      <c r="BG206" t="s">
        <v>74</v>
      </c>
      <c r="BH206" t="s">
        <v>74</v>
      </c>
      <c r="BI206">
        <v>20</v>
      </c>
      <c r="BJ206" t="s">
        <v>101</v>
      </c>
      <c r="BK206" t="s">
        <v>102</v>
      </c>
      <c r="BL206" t="s">
        <v>101</v>
      </c>
      <c r="BM206" t="s">
        <v>3673</v>
      </c>
      <c r="BN206">
        <v>36880122</v>
      </c>
      <c r="BO206" t="s">
        <v>165</v>
      </c>
      <c r="BP206" t="s">
        <v>74</v>
      </c>
      <c r="BQ206" t="s">
        <v>74</v>
      </c>
      <c r="BR206" t="s">
        <v>105</v>
      </c>
      <c r="BS206" t="s">
        <v>3674</v>
      </c>
      <c r="BT206" t="str">
        <f>HYPERLINK("https%3A%2F%2Fwww.webofscience.com%2Fwos%2Fwoscc%2Ffull-record%2FWOS:000945845200001","View Full Record in Web of Science")</f>
        <v>View Full Record in Web of Science</v>
      </c>
    </row>
    <row r="207" spans="1:72" x14ac:dyDescent="0.15">
      <c r="A207" t="s">
        <v>72</v>
      </c>
      <c r="B207" t="s">
        <v>3675</v>
      </c>
      <c r="C207" t="s">
        <v>74</v>
      </c>
      <c r="D207" t="s">
        <v>74</v>
      </c>
      <c r="E207" t="s">
        <v>74</v>
      </c>
      <c r="F207" t="s">
        <v>3676</v>
      </c>
      <c r="G207" t="s">
        <v>74</v>
      </c>
      <c r="H207" t="s">
        <v>74</v>
      </c>
      <c r="I207" t="s">
        <v>3677</v>
      </c>
      <c r="J207" t="s">
        <v>1613</v>
      </c>
      <c r="K207" t="s">
        <v>74</v>
      </c>
      <c r="L207" t="s">
        <v>74</v>
      </c>
      <c r="M207" t="s">
        <v>78</v>
      </c>
      <c r="N207" t="s">
        <v>79</v>
      </c>
      <c r="O207" t="s">
        <v>74</v>
      </c>
      <c r="P207" t="s">
        <v>74</v>
      </c>
      <c r="Q207" t="s">
        <v>74</v>
      </c>
      <c r="R207" t="s">
        <v>74</v>
      </c>
      <c r="S207" t="s">
        <v>74</v>
      </c>
      <c r="T207" t="s">
        <v>3678</v>
      </c>
      <c r="U207" t="s">
        <v>3679</v>
      </c>
      <c r="V207" t="s">
        <v>3680</v>
      </c>
      <c r="W207" t="s">
        <v>3681</v>
      </c>
      <c r="X207" t="s">
        <v>3682</v>
      </c>
      <c r="Y207" t="s">
        <v>3683</v>
      </c>
      <c r="Z207" t="s">
        <v>3684</v>
      </c>
      <c r="AA207" t="s">
        <v>74</v>
      </c>
      <c r="AB207" t="s">
        <v>3685</v>
      </c>
      <c r="AC207" t="s">
        <v>3686</v>
      </c>
      <c r="AD207" t="s">
        <v>3687</v>
      </c>
      <c r="AE207" t="s">
        <v>3688</v>
      </c>
      <c r="AF207" t="s">
        <v>74</v>
      </c>
      <c r="AG207">
        <v>67</v>
      </c>
      <c r="AH207">
        <v>0</v>
      </c>
      <c r="AI207">
        <v>0</v>
      </c>
      <c r="AJ207">
        <v>18</v>
      </c>
      <c r="AK207">
        <v>18</v>
      </c>
      <c r="AL207" t="s">
        <v>184</v>
      </c>
      <c r="AM207" t="s">
        <v>185</v>
      </c>
      <c r="AN207" t="s">
        <v>186</v>
      </c>
      <c r="AO207" t="s">
        <v>1621</v>
      </c>
      <c r="AP207" t="s">
        <v>1622</v>
      </c>
      <c r="AQ207" t="s">
        <v>74</v>
      </c>
      <c r="AR207" t="s">
        <v>1613</v>
      </c>
      <c r="AS207" t="s">
        <v>1623</v>
      </c>
      <c r="AT207" t="s">
        <v>99</v>
      </c>
      <c r="AU207">
        <v>2023</v>
      </c>
      <c r="AV207">
        <v>15</v>
      </c>
      <c r="AW207">
        <v>1</v>
      </c>
      <c r="AX207" t="s">
        <v>74</v>
      </c>
      <c r="AY207" t="s">
        <v>74</v>
      </c>
      <c r="AZ207" t="s">
        <v>74</v>
      </c>
      <c r="BA207" t="s">
        <v>74</v>
      </c>
      <c r="BB207" t="s">
        <v>74</v>
      </c>
      <c r="BC207" t="s">
        <v>74</v>
      </c>
      <c r="BD207">
        <v>2223330</v>
      </c>
      <c r="BE207" t="s">
        <v>3689</v>
      </c>
      <c r="BF207" t="str">
        <f>HYPERLINK("http://dx.doi.org/10.1080/19490976.2023.2223330","http://dx.doi.org/10.1080/19490976.2023.2223330")</f>
        <v>http://dx.doi.org/10.1080/19490976.2023.2223330</v>
      </c>
      <c r="BG207" t="s">
        <v>74</v>
      </c>
      <c r="BH207" t="s">
        <v>74</v>
      </c>
      <c r="BI207">
        <v>15</v>
      </c>
      <c r="BJ207" t="s">
        <v>1625</v>
      </c>
      <c r="BK207" t="s">
        <v>102</v>
      </c>
      <c r="BL207" t="s">
        <v>1625</v>
      </c>
      <c r="BM207" t="s">
        <v>3690</v>
      </c>
      <c r="BN207">
        <v>37317027</v>
      </c>
      <c r="BO207" t="s">
        <v>104</v>
      </c>
      <c r="BP207" t="s">
        <v>74</v>
      </c>
      <c r="BQ207" t="s">
        <v>74</v>
      </c>
      <c r="BR207" t="s">
        <v>105</v>
      </c>
      <c r="BS207" t="s">
        <v>3691</v>
      </c>
      <c r="BT207" t="str">
        <f>HYPERLINK("https%3A%2F%2Fwww.webofscience.com%2Fwos%2Fwoscc%2Ffull-record%2FWOS:001008400800001","View Full Record in Web of Science")</f>
        <v>View Full Record in Web of Science</v>
      </c>
    </row>
    <row r="208" spans="1:72" x14ac:dyDescent="0.15">
      <c r="A208" t="s">
        <v>72</v>
      </c>
      <c r="B208" t="s">
        <v>3692</v>
      </c>
      <c r="C208" t="s">
        <v>74</v>
      </c>
      <c r="D208" t="s">
        <v>74</v>
      </c>
      <c r="E208" t="s">
        <v>74</v>
      </c>
      <c r="F208" t="s">
        <v>3693</v>
      </c>
      <c r="G208" t="s">
        <v>74</v>
      </c>
      <c r="H208" t="s">
        <v>74</v>
      </c>
      <c r="I208" t="s">
        <v>3694</v>
      </c>
      <c r="J208" t="s">
        <v>3695</v>
      </c>
      <c r="K208" t="s">
        <v>74</v>
      </c>
      <c r="L208" t="s">
        <v>74</v>
      </c>
      <c r="M208" t="s">
        <v>78</v>
      </c>
      <c r="N208" t="s">
        <v>79</v>
      </c>
      <c r="O208" t="s">
        <v>74</v>
      </c>
      <c r="P208" t="s">
        <v>74</v>
      </c>
      <c r="Q208" t="s">
        <v>74</v>
      </c>
      <c r="R208" t="s">
        <v>74</v>
      </c>
      <c r="S208" t="s">
        <v>74</v>
      </c>
      <c r="T208" t="s">
        <v>3696</v>
      </c>
      <c r="U208" t="s">
        <v>3697</v>
      </c>
      <c r="V208" t="s">
        <v>3698</v>
      </c>
      <c r="W208" t="s">
        <v>3699</v>
      </c>
      <c r="X208" t="s">
        <v>3700</v>
      </c>
      <c r="Y208" t="s">
        <v>3701</v>
      </c>
      <c r="Z208" t="s">
        <v>3702</v>
      </c>
      <c r="AA208" t="s">
        <v>74</v>
      </c>
      <c r="AB208" t="s">
        <v>74</v>
      </c>
      <c r="AC208" t="s">
        <v>3703</v>
      </c>
      <c r="AD208" t="s">
        <v>3703</v>
      </c>
      <c r="AE208" t="s">
        <v>3703</v>
      </c>
      <c r="AF208" t="s">
        <v>74</v>
      </c>
      <c r="AG208">
        <v>35</v>
      </c>
      <c r="AH208">
        <v>0</v>
      </c>
      <c r="AI208">
        <v>0</v>
      </c>
      <c r="AJ208">
        <v>3</v>
      </c>
      <c r="AK208">
        <v>3</v>
      </c>
      <c r="AL208" t="s">
        <v>92</v>
      </c>
      <c r="AM208" t="s">
        <v>93</v>
      </c>
      <c r="AN208" t="s">
        <v>94</v>
      </c>
      <c r="AO208" t="s">
        <v>3704</v>
      </c>
      <c r="AP208" t="s">
        <v>3705</v>
      </c>
      <c r="AQ208" t="s">
        <v>74</v>
      </c>
      <c r="AR208" t="s">
        <v>3706</v>
      </c>
      <c r="AS208" t="s">
        <v>3707</v>
      </c>
      <c r="AT208" t="s">
        <v>99</v>
      </c>
      <c r="AU208">
        <v>2023</v>
      </c>
      <c r="AV208">
        <v>17</v>
      </c>
      <c r="AW208">
        <v>1</v>
      </c>
      <c r="AX208" t="s">
        <v>74</v>
      </c>
      <c r="AY208" t="s">
        <v>74</v>
      </c>
      <c r="AZ208" t="s">
        <v>74</v>
      </c>
      <c r="BA208" t="s">
        <v>74</v>
      </c>
      <c r="BB208" t="s">
        <v>74</v>
      </c>
      <c r="BC208" t="s">
        <v>74</v>
      </c>
      <c r="BD208">
        <v>2244987</v>
      </c>
      <c r="BE208" t="s">
        <v>3708</v>
      </c>
      <c r="BF208" t="str">
        <f>HYPERLINK("http://dx.doi.org/10.1080/17513758.2023.2244987","http://dx.doi.org/10.1080/17513758.2023.2244987")</f>
        <v>http://dx.doi.org/10.1080/17513758.2023.2244987</v>
      </c>
      <c r="BG208" t="s">
        <v>74</v>
      </c>
      <c r="BH208" t="s">
        <v>74</v>
      </c>
      <c r="BI208">
        <v>28</v>
      </c>
      <c r="BJ208" t="s">
        <v>3709</v>
      </c>
      <c r="BK208" t="s">
        <v>102</v>
      </c>
      <c r="BL208" t="s">
        <v>3710</v>
      </c>
      <c r="BM208" t="s">
        <v>3711</v>
      </c>
      <c r="BN208">
        <v>37647506</v>
      </c>
      <c r="BO208" t="s">
        <v>126</v>
      </c>
      <c r="BP208" t="s">
        <v>74</v>
      </c>
      <c r="BQ208" t="s">
        <v>74</v>
      </c>
      <c r="BR208" t="s">
        <v>105</v>
      </c>
      <c r="BS208" t="s">
        <v>3712</v>
      </c>
      <c r="BT208" t="str">
        <f>HYPERLINK("https%3A%2F%2Fwww.webofscience.com%2Fwos%2Fwoscc%2Ffull-record%2FWOS:001058269800001","View Full Record in Web of Science")</f>
        <v>View Full Record in Web of Science</v>
      </c>
    </row>
    <row r="209" spans="1:72" x14ac:dyDescent="0.15">
      <c r="A209" t="s">
        <v>72</v>
      </c>
      <c r="B209" t="s">
        <v>3713</v>
      </c>
      <c r="C209" t="s">
        <v>74</v>
      </c>
      <c r="D209" t="s">
        <v>74</v>
      </c>
      <c r="E209" t="s">
        <v>74</v>
      </c>
      <c r="F209" t="s">
        <v>3714</v>
      </c>
      <c r="G209" t="s">
        <v>74</v>
      </c>
      <c r="H209" t="s">
        <v>74</v>
      </c>
      <c r="I209" t="s">
        <v>3715</v>
      </c>
      <c r="J209" t="s">
        <v>170</v>
      </c>
      <c r="K209" t="s">
        <v>74</v>
      </c>
      <c r="L209" t="s">
        <v>74</v>
      </c>
      <c r="M209" t="s">
        <v>78</v>
      </c>
      <c r="N209" t="s">
        <v>171</v>
      </c>
      <c r="O209" t="s">
        <v>74</v>
      </c>
      <c r="P209" t="s">
        <v>74</v>
      </c>
      <c r="Q209" t="s">
        <v>74</v>
      </c>
      <c r="R209" t="s">
        <v>74</v>
      </c>
      <c r="S209" t="s">
        <v>74</v>
      </c>
      <c r="T209" t="s">
        <v>3716</v>
      </c>
      <c r="U209" t="s">
        <v>3717</v>
      </c>
      <c r="V209" t="s">
        <v>3718</v>
      </c>
      <c r="W209" t="s">
        <v>3719</v>
      </c>
      <c r="X209" t="s">
        <v>3720</v>
      </c>
      <c r="Y209" t="s">
        <v>3721</v>
      </c>
      <c r="Z209" t="s">
        <v>3722</v>
      </c>
      <c r="AA209" t="s">
        <v>3723</v>
      </c>
      <c r="AB209" t="s">
        <v>3724</v>
      </c>
      <c r="AC209" t="s">
        <v>74</v>
      </c>
      <c r="AD209" t="s">
        <v>74</v>
      </c>
      <c r="AE209" t="s">
        <v>74</v>
      </c>
      <c r="AF209" t="s">
        <v>74</v>
      </c>
      <c r="AG209">
        <v>145</v>
      </c>
      <c r="AH209">
        <v>1</v>
      </c>
      <c r="AI209">
        <v>1</v>
      </c>
      <c r="AJ209">
        <v>12</v>
      </c>
      <c r="AK209">
        <v>27</v>
      </c>
      <c r="AL209" t="s">
        <v>184</v>
      </c>
      <c r="AM209" t="s">
        <v>185</v>
      </c>
      <c r="AN209" t="s">
        <v>186</v>
      </c>
      <c r="AO209" t="s">
        <v>187</v>
      </c>
      <c r="AP209" t="s">
        <v>188</v>
      </c>
      <c r="AQ209" t="s">
        <v>74</v>
      </c>
      <c r="AR209" t="s">
        <v>189</v>
      </c>
      <c r="AS209" t="s">
        <v>190</v>
      </c>
      <c r="AT209" t="s">
        <v>99</v>
      </c>
      <c r="AU209">
        <v>2023</v>
      </c>
      <c r="AV209">
        <v>26</v>
      </c>
      <c r="AW209">
        <v>1</v>
      </c>
      <c r="AX209" t="s">
        <v>74</v>
      </c>
      <c r="AY209" t="s">
        <v>74</v>
      </c>
      <c r="AZ209" t="s">
        <v>74</v>
      </c>
      <c r="BA209" t="s">
        <v>74</v>
      </c>
      <c r="BB209">
        <v>526</v>
      </c>
      <c r="BC209">
        <v>551</v>
      </c>
      <c r="BD209" t="s">
        <v>74</v>
      </c>
      <c r="BE209" t="s">
        <v>3725</v>
      </c>
      <c r="BF209" t="str">
        <f>HYPERLINK("http://dx.doi.org/10.1080/10942912.2023.2166951","http://dx.doi.org/10.1080/10942912.2023.2166951")</f>
        <v>http://dx.doi.org/10.1080/10942912.2023.2166951</v>
      </c>
      <c r="BG209" t="s">
        <v>74</v>
      </c>
      <c r="BH209" t="s">
        <v>74</v>
      </c>
      <c r="BI209">
        <v>26</v>
      </c>
      <c r="BJ209" t="s">
        <v>192</v>
      </c>
      <c r="BK209" t="s">
        <v>102</v>
      </c>
      <c r="BL209" t="s">
        <v>192</v>
      </c>
      <c r="BM209" t="s">
        <v>3726</v>
      </c>
      <c r="BN209" t="s">
        <v>74</v>
      </c>
      <c r="BO209" t="s">
        <v>126</v>
      </c>
      <c r="BP209" t="s">
        <v>74</v>
      </c>
      <c r="BQ209" t="s">
        <v>74</v>
      </c>
      <c r="BR209" t="s">
        <v>105</v>
      </c>
      <c r="BS209" t="s">
        <v>3727</v>
      </c>
      <c r="BT209" t="str">
        <f>HYPERLINK("https%3A%2F%2Fwww.webofscience.com%2Fwos%2Fwoscc%2Ffull-record%2FWOS:000924107600001","View Full Record in Web of Science")</f>
        <v>View Full Record in Web of Science</v>
      </c>
    </row>
    <row r="210" spans="1:72" x14ac:dyDescent="0.15">
      <c r="A210" t="s">
        <v>72</v>
      </c>
      <c r="B210" t="s">
        <v>3728</v>
      </c>
      <c r="C210" t="s">
        <v>74</v>
      </c>
      <c r="D210" t="s">
        <v>74</v>
      </c>
      <c r="E210" t="s">
        <v>74</v>
      </c>
      <c r="F210" t="s">
        <v>3729</v>
      </c>
      <c r="G210" t="s">
        <v>74</v>
      </c>
      <c r="H210" t="s">
        <v>74</v>
      </c>
      <c r="I210" t="s">
        <v>3730</v>
      </c>
      <c r="J210" t="s">
        <v>670</v>
      </c>
      <c r="K210" t="s">
        <v>74</v>
      </c>
      <c r="L210" t="s">
        <v>74</v>
      </c>
      <c r="M210" t="s">
        <v>78</v>
      </c>
      <c r="N210" t="s">
        <v>79</v>
      </c>
      <c r="O210" t="s">
        <v>74</v>
      </c>
      <c r="P210" t="s">
        <v>74</v>
      </c>
      <c r="Q210" t="s">
        <v>74</v>
      </c>
      <c r="R210" t="s">
        <v>74</v>
      </c>
      <c r="S210" t="s">
        <v>74</v>
      </c>
      <c r="T210" t="s">
        <v>3731</v>
      </c>
      <c r="U210" t="s">
        <v>3732</v>
      </c>
      <c r="V210" t="s">
        <v>3733</v>
      </c>
      <c r="W210" t="s">
        <v>3734</v>
      </c>
      <c r="X210" t="s">
        <v>3735</v>
      </c>
      <c r="Y210" t="s">
        <v>3736</v>
      </c>
      <c r="Z210" t="s">
        <v>3737</v>
      </c>
      <c r="AA210" t="s">
        <v>3738</v>
      </c>
      <c r="AB210" t="s">
        <v>3739</v>
      </c>
      <c r="AC210" t="s">
        <v>3740</v>
      </c>
      <c r="AD210" t="s">
        <v>3741</v>
      </c>
      <c r="AE210" t="s">
        <v>3742</v>
      </c>
      <c r="AF210" t="s">
        <v>74</v>
      </c>
      <c r="AG210">
        <v>56</v>
      </c>
      <c r="AH210">
        <v>1</v>
      </c>
      <c r="AI210">
        <v>1</v>
      </c>
      <c r="AJ210">
        <v>67</v>
      </c>
      <c r="AK210">
        <v>67</v>
      </c>
      <c r="AL210" t="s">
        <v>92</v>
      </c>
      <c r="AM210" t="s">
        <v>93</v>
      </c>
      <c r="AN210" t="s">
        <v>94</v>
      </c>
      <c r="AO210" t="s">
        <v>678</v>
      </c>
      <c r="AP210" t="s">
        <v>679</v>
      </c>
      <c r="AQ210" t="s">
        <v>74</v>
      </c>
      <c r="AR210" t="s">
        <v>680</v>
      </c>
      <c r="AS210" t="s">
        <v>681</v>
      </c>
      <c r="AT210" t="s">
        <v>99</v>
      </c>
      <c r="AU210">
        <v>2023</v>
      </c>
      <c r="AV210">
        <v>14</v>
      </c>
      <c r="AW210">
        <v>1</v>
      </c>
      <c r="AX210" t="s">
        <v>74</v>
      </c>
      <c r="AY210" t="s">
        <v>74</v>
      </c>
      <c r="AZ210" t="s">
        <v>74</v>
      </c>
      <c r="BA210" t="s">
        <v>74</v>
      </c>
      <c r="BB210" t="s">
        <v>74</v>
      </c>
      <c r="BC210" t="s">
        <v>74</v>
      </c>
      <c r="BD210">
        <v>2213807</v>
      </c>
      <c r="BE210" t="s">
        <v>3743</v>
      </c>
      <c r="BF210" t="str">
        <f>HYPERLINK("http://dx.doi.org/10.1080/19475705.2023.2213807","http://dx.doi.org/10.1080/19475705.2023.2213807")</f>
        <v>http://dx.doi.org/10.1080/19475705.2023.2213807</v>
      </c>
      <c r="BG210" t="s">
        <v>74</v>
      </c>
      <c r="BH210" t="s">
        <v>74</v>
      </c>
      <c r="BI210">
        <v>31</v>
      </c>
      <c r="BJ210" t="s">
        <v>683</v>
      </c>
      <c r="BK210" t="s">
        <v>102</v>
      </c>
      <c r="BL210" t="s">
        <v>684</v>
      </c>
      <c r="BM210" t="s">
        <v>3744</v>
      </c>
      <c r="BN210" t="s">
        <v>74</v>
      </c>
      <c r="BO210" t="s">
        <v>126</v>
      </c>
      <c r="BP210" t="s">
        <v>74</v>
      </c>
      <c r="BQ210" t="s">
        <v>74</v>
      </c>
      <c r="BR210" t="s">
        <v>105</v>
      </c>
      <c r="BS210" t="s">
        <v>3745</v>
      </c>
      <c r="BT210" t="str">
        <f>HYPERLINK("https%3A%2F%2Fwww.webofscience.com%2Fwos%2Fwoscc%2Ffull-record%2FWOS:000992634400001","View Full Record in Web of Science")</f>
        <v>View Full Record in Web of Science</v>
      </c>
    </row>
    <row r="211" spans="1:72" x14ac:dyDescent="0.15">
      <c r="A211" t="s">
        <v>72</v>
      </c>
      <c r="B211" t="s">
        <v>3746</v>
      </c>
      <c r="C211" t="s">
        <v>74</v>
      </c>
      <c r="D211" t="s">
        <v>74</v>
      </c>
      <c r="E211" t="s">
        <v>74</v>
      </c>
      <c r="F211" t="s">
        <v>3747</v>
      </c>
      <c r="G211" t="s">
        <v>74</v>
      </c>
      <c r="H211" t="s">
        <v>74</v>
      </c>
      <c r="I211" t="s">
        <v>3748</v>
      </c>
      <c r="J211" t="s">
        <v>964</v>
      </c>
      <c r="K211" t="s">
        <v>74</v>
      </c>
      <c r="L211" t="s">
        <v>74</v>
      </c>
      <c r="M211" t="s">
        <v>78</v>
      </c>
      <c r="N211" t="s">
        <v>79</v>
      </c>
      <c r="O211" t="s">
        <v>74</v>
      </c>
      <c r="P211" t="s">
        <v>74</v>
      </c>
      <c r="Q211" t="s">
        <v>74</v>
      </c>
      <c r="R211" t="s">
        <v>74</v>
      </c>
      <c r="S211" t="s">
        <v>74</v>
      </c>
      <c r="T211" t="s">
        <v>3749</v>
      </c>
      <c r="U211" t="s">
        <v>3750</v>
      </c>
      <c r="V211" t="s">
        <v>3751</v>
      </c>
      <c r="W211" t="s">
        <v>3752</v>
      </c>
      <c r="X211" t="s">
        <v>3753</v>
      </c>
      <c r="Y211" t="s">
        <v>3754</v>
      </c>
      <c r="Z211" t="s">
        <v>3755</v>
      </c>
      <c r="AA211" t="s">
        <v>74</v>
      </c>
      <c r="AB211" t="s">
        <v>74</v>
      </c>
      <c r="AC211" t="s">
        <v>3756</v>
      </c>
      <c r="AD211" t="s">
        <v>3756</v>
      </c>
      <c r="AE211" t="s">
        <v>3756</v>
      </c>
      <c r="AF211" t="s">
        <v>74</v>
      </c>
      <c r="AG211">
        <v>46</v>
      </c>
      <c r="AH211">
        <v>0</v>
      </c>
      <c r="AI211">
        <v>0</v>
      </c>
      <c r="AJ211">
        <v>1</v>
      </c>
      <c r="AK211">
        <v>1</v>
      </c>
      <c r="AL211" t="s">
        <v>92</v>
      </c>
      <c r="AM211" t="s">
        <v>93</v>
      </c>
      <c r="AN211" t="s">
        <v>94</v>
      </c>
      <c r="AO211" t="s">
        <v>977</v>
      </c>
      <c r="AP211" t="s">
        <v>978</v>
      </c>
      <c r="AQ211" t="s">
        <v>74</v>
      </c>
      <c r="AR211" t="s">
        <v>979</v>
      </c>
      <c r="AS211" t="s">
        <v>980</v>
      </c>
      <c r="AT211" t="s">
        <v>99</v>
      </c>
      <c r="AU211">
        <v>2023</v>
      </c>
      <c r="AV211">
        <v>60</v>
      </c>
      <c r="AW211">
        <v>1</v>
      </c>
      <c r="AX211" t="s">
        <v>74</v>
      </c>
      <c r="AY211" t="s">
        <v>74</v>
      </c>
      <c r="AZ211" t="s">
        <v>74</v>
      </c>
      <c r="BA211" t="s">
        <v>74</v>
      </c>
      <c r="BB211" t="s">
        <v>74</v>
      </c>
      <c r="BC211" t="s">
        <v>74</v>
      </c>
      <c r="BD211">
        <v>2257469</v>
      </c>
      <c r="BE211" t="s">
        <v>3757</v>
      </c>
      <c r="BF211" t="str">
        <f>HYPERLINK("http://dx.doi.org/10.1080/15481603.2023.2257469","http://dx.doi.org/10.1080/15481603.2023.2257469")</f>
        <v>http://dx.doi.org/10.1080/15481603.2023.2257469</v>
      </c>
      <c r="BG211" t="s">
        <v>74</v>
      </c>
      <c r="BH211" t="s">
        <v>74</v>
      </c>
      <c r="BI211">
        <v>28</v>
      </c>
      <c r="BJ211" t="s">
        <v>542</v>
      </c>
      <c r="BK211" t="s">
        <v>102</v>
      </c>
      <c r="BL211" t="s">
        <v>543</v>
      </c>
      <c r="BM211" t="s">
        <v>3758</v>
      </c>
      <c r="BN211" t="s">
        <v>74</v>
      </c>
      <c r="BO211" t="s">
        <v>126</v>
      </c>
      <c r="BP211" t="s">
        <v>74</v>
      </c>
      <c r="BQ211" t="s">
        <v>74</v>
      </c>
      <c r="BR211" t="s">
        <v>105</v>
      </c>
      <c r="BS211" t="s">
        <v>3759</v>
      </c>
      <c r="BT211" t="str">
        <f>HYPERLINK("https%3A%2F%2Fwww.webofscience.com%2Fwos%2Fwoscc%2Ffull-record%2FWOS:001067228900001","View Full Record in Web of Science")</f>
        <v>View Full Record in Web of Science</v>
      </c>
    </row>
    <row r="212" spans="1:72" x14ac:dyDescent="0.15">
      <c r="A212" t="s">
        <v>72</v>
      </c>
      <c r="B212" t="s">
        <v>3760</v>
      </c>
      <c r="C212" t="s">
        <v>74</v>
      </c>
      <c r="D212" t="s">
        <v>74</v>
      </c>
      <c r="E212" t="s">
        <v>74</v>
      </c>
      <c r="F212" t="s">
        <v>3761</v>
      </c>
      <c r="G212" t="s">
        <v>74</v>
      </c>
      <c r="H212" t="s">
        <v>74</v>
      </c>
      <c r="I212" t="s">
        <v>3762</v>
      </c>
      <c r="J212" t="s">
        <v>170</v>
      </c>
      <c r="K212" t="s">
        <v>74</v>
      </c>
      <c r="L212" t="s">
        <v>74</v>
      </c>
      <c r="M212" t="s">
        <v>78</v>
      </c>
      <c r="N212" t="s">
        <v>79</v>
      </c>
      <c r="O212" t="s">
        <v>74</v>
      </c>
      <c r="P212" t="s">
        <v>74</v>
      </c>
      <c r="Q212" t="s">
        <v>74</v>
      </c>
      <c r="R212" t="s">
        <v>74</v>
      </c>
      <c r="S212" t="s">
        <v>74</v>
      </c>
      <c r="T212" t="s">
        <v>3763</v>
      </c>
      <c r="U212" t="s">
        <v>3764</v>
      </c>
      <c r="V212" t="s">
        <v>3765</v>
      </c>
      <c r="W212" t="s">
        <v>3766</v>
      </c>
      <c r="X212" t="s">
        <v>3767</v>
      </c>
      <c r="Y212" t="s">
        <v>3768</v>
      </c>
      <c r="Z212" t="s">
        <v>3769</v>
      </c>
      <c r="AA212" t="s">
        <v>74</v>
      </c>
      <c r="AB212" t="s">
        <v>74</v>
      </c>
      <c r="AC212" t="s">
        <v>74</v>
      </c>
      <c r="AD212" t="s">
        <v>74</v>
      </c>
      <c r="AE212" t="s">
        <v>74</v>
      </c>
      <c r="AF212" t="s">
        <v>74</v>
      </c>
      <c r="AG212">
        <v>36</v>
      </c>
      <c r="AH212">
        <v>0</v>
      </c>
      <c r="AI212">
        <v>0</v>
      </c>
      <c r="AJ212">
        <v>13</v>
      </c>
      <c r="AK212">
        <v>13</v>
      </c>
      <c r="AL212" t="s">
        <v>184</v>
      </c>
      <c r="AM212" t="s">
        <v>185</v>
      </c>
      <c r="AN212" t="s">
        <v>186</v>
      </c>
      <c r="AO212" t="s">
        <v>187</v>
      </c>
      <c r="AP212" t="s">
        <v>188</v>
      </c>
      <c r="AQ212" t="s">
        <v>74</v>
      </c>
      <c r="AR212" t="s">
        <v>189</v>
      </c>
      <c r="AS212" t="s">
        <v>190</v>
      </c>
      <c r="AT212" t="s">
        <v>99</v>
      </c>
      <c r="AU212">
        <v>2023</v>
      </c>
      <c r="AV212">
        <v>26</v>
      </c>
      <c r="AW212">
        <v>1</v>
      </c>
      <c r="AX212" t="s">
        <v>74</v>
      </c>
      <c r="AY212" t="s">
        <v>74</v>
      </c>
      <c r="AZ212" t="s">
        <v>74</v>
      </c>
      <c r="BA212" t="s">
        <v>74</v>
      </c>
      <c r="BB212">
        <v>2160</v>
      </c>
      <c r="BC212">
        <v>2170</v>
      </c>
      <c r="BD212" t="s">
        <v>74</v>
      </c>
      <c r="BE212" t="s">
        <v>3770</v>
      </c>
      <c r="BF212" t="str">
        <f>HYPERLINK("http://dx.doi.org/10.1080/10942912.2023.2244699","http://dx.doi.org/10.1080/10942912.2023.2244699")</f>
        <v>http://dx.doi.org/10.1080/10942912.2023.2244699</v>
      </c>
      <c r="BG212" t="s">
        <v>74</v>
      </c>
      <c r="BH212" t="s">
        <v>74</v>
      </c>
      <c r="BI212">
        <v>11</v>
      </c>
      <c r="BJ212" t="s">
        <v>192</v>
      </c>
      <c r="BK212" t="s">
        <v>102</v>
      </c>
      <c r="BL212" t="s">
        <v>192</v>
      </c>
      <c r="BM212" t="s">
        <v>3771</v>
      </c>
      <c r="BN212" t="s">
        <v>74</v>
      </c>
      <c r="BO212" t="s">
        <v>126</v>
      </c>
      <c r="BP212" t="s">
        <v>74</v>
      </c>
      <c r="BQ212" t="s">
        <v>74</v>
      </c>
      <c r="BR212" t="s">
        <v>105</v>
      </c>
      <c r="BS212" t="s">
        <v>3772</v>
      </c>
      <c r="BT212" t="str">
        <f>HYPERLINK("https%3A%2F%2Fwww.webofscience.com%2Fwos%2Fwoscc%2Ffull-record%2FWOS:001043138900001","View Full Record in Web of Science")</f>
        <v>View Full Record in Web of Science</v>
      </c>
    </row>
    <row r="213" spans="1:72" x14ac:dyDescent="0.15">
      <c r="A213" t="s">
        <v>72</v>
      </c>
      <c r="B213" t="s">
        <v>3773</v>
      </c>
      <c r="C213" t="s">
        <v>74</v>
      </c>
      <c r="D213" t="s">
        <v>74</v>
      </c>
      <c r="E213" t="s">
        <v>74</v>
      </c>
      <c r="F213" t="s">
        <v>3774</v>
      </c>
      <c r="G213" t="s">
        <v>74</v>
      </c>
      <c r="H213" t="s">
        <v>74</v>
      </c>
      <c r="I213" t="s">
        <v>3775</v>
      </c>
      <c r="J213" t="s">
        <v>1078</v>
      </c>
      <c r="K213" t="s">
        <v>74</v>
      </c>
      <c r="L213" t="s">
        <v>74</v>
      </c>
      <c r="M213" t="s">
        <v>78</v>
      </c>
      <c r="N213" t="s">
        <v>79</v>
      </c>
      <c r="O213" t="s">
        <v>74</v>
      </c>
      <c r="P213" t="s">
        <v>74</v>
      </c>
      <c r="Q213" t="s">
        <v>74</v>
      </c>
      <c r="R213" t="s">
        <v>74</v>
      </c>
      <c r="S213" t="s">
        <v>74</v>
      </c>
      <c r="T213" t="s">
        <v>3776</v>
      </c>
      <c r="U213" t="s">
        <v>3777</v>
      </c>
      <c r="V213" t="s">
        <v>3778</v>
      </c>
      <c r="W213" t="s">
        <v>3779</v>
      </c>
      <c r="X213" t="s">
        <v>3780</v>
      </c>
      <c r="Y213" t="s">
        <v>3781</v>
      </c>
      <c r="Z213" t="s">
        <v>3782</v>
      </c>
      <c r="AA213" t="s">
        <v>74</v>
      </c>
      <c r="AB213" t="s">
        <v>3783</v>
      </c>
      <c r="AC213" t="s">
        <v>3784</v>
      </c>
      <c r="AD213" t="s">
        <v>3785</v>
      </c>
      <c r="AE213" t="s">
        <v>3786</v>
      </c>
      <c r="AF213" t="s">
        <v>74</v>
      </c>
      <c r="AG213">
        <v>21</v>
      </c>
      <c r="AH213">
        <v>0</v>
      </c>
      <c r="AI213">
        <v>0</v>
      </c>
      <c r="AJ213">
        <v>0</v>
      </c>
      <c r="AK213">
        <v>0</v>
      </c>
      <c r="AL213" t="s">
        <v>287</v>
      </c>
      <c r="AM213" t="s">
        <v>288</v>
      </c>
      <c r="AN213" t="s">
        <v>289</v>
      </c>
      <c r="AO213" t="s">
        <v>1090</v>
      </c>
      <c r="AP213" t="s">
        <v>74</v>
      </c>
      <c r="AQ213" t="s">
        <v>74</v>
      </c>
      <c r="AR213" t="s">
        <v>1091</v>
      </c>
      <c r="AS213" t="s">
        <v>1092</v>
      </c>
      <c r="AT213" t="s">
        <v>99</v>
      </c>
      <c r="AU213">
        <v>2023</v>
      </c>
      <c r="AV213">
        <v>10</v>
      </c>
      <c r="AW213">
        <v>1</v>
      </c>
      <c r="AX213" t="s">
        <v>74</v>
      </c>
      <c r="AY213" t="s">
        <v>74</v>
      </c>
      <c r="AZ213" t="s">
        <v>74</v>
      </c>
      <c r="BA213" t="s">
        <v>74</v>
      </c>
      <c r="BB213" t="s">
        <v>74</v>
      </c>
      <c r="BC213" t="s">
        <v>74</v>
      </c>
      <c r="BD213">
        <v>2233248</v>
      </c>
      <c r="BE213" t="s">
        <v>3787</v>
      </c>
      <c r="BF213" t="str">
        <f>HYPERLINK("http://dx.doi.org/10.1080/23311916.2023.2233248","http://dx.doi.org/10.1080/23311916.2023.2233248")</f>
        <v>http://dx.doi.org/10.1080/23311916.2023.2233248</v>
      </c>
      <c r="BG213" t="s">
        <v>74</v>
      </c>
      <c r="BH213" t="s">
        <v>74</v>
      </c>
      <c r="BI213">
        <v>23</v>
      </c>
      <c r="BJ213" t="s">
        <v>1094</v>
      </c>
      <c r="BK213" t="s">
        <v>211</v>
      </c>
      <c r="BL213" t="s">
        <v>1095</v>
      </c>
      <c r="BM213" t="s">
        <v>3788</v>
      </c>
      <c r="BN213" t="s">
        <v>74</v>
      </c>
      <c r="BO213" t="s">
        <v>126</v>
      </c>
      <c r="BP213" t="s">
        <v>74</v>
      </c>
      <c r="BQ213" t="s">
        <v>74</v>
      </c>
      <c r="BR213" t="s">
        <v>105</v>
      </c>
      <c r="BS213" t="s">
        <v>3789</v>
      </c>
      <c r="BT213" t="str">
        <f>HYPERLINK("https%3A%2F%2Fwww.webofscience.com%2Fwos%2Fwoscc%2Ffull-record%2FWOS:001023853500001","View Full Record in Web of Science")</f>
        <v>View Full Record in Web of Science</v>
      </c>
    </row>
    <row r="214" spans="1:72" x14ac:dyDescent="0.15">
      <c r="A214" t="s">
        <v>72</v>
      </c>
      <c r="B214" t="s">
        <v>3790</v>
      </c>
      <c r="C214" t="s">
        <v>74</v>
      </c>
      <c r="D214" t="s">
        <v>74</v>
      </c>
      <c r="E214" t="s">
        <v>74</v>
      </c>
      <c r="F214" t="s">
        <v>3791</v>
      </c>
      <c r="G214" t="s">
        <v>74</v>
      </c>
      <c r="H214" t="s">
        <v>74</v>
      </c>
      <c r="I214" t="s">
        <v>3792</v>
      </c>
      <c r="J214" t="s">
        <v>2664</v>
      </c>
      <c r="K214" t="s">
        <v>74</v>
      </c>
      <c r="L214" t="s">
        <v>74</v>
      </c>
      <c r="M214" t="s">
        <v>78</v>
      </c>
      <c r="N214" t="s">
        <v>79</v>
      </c>
      <c r="O214" t="s">
        <v>74</v>
      </c>
      <c r="P214" t="s">
        <v>74</v>
      </c>
      <c r="Q214" t="s">
        <v>74</v>
      </c>
      <c r="R214" t="s">
        <v>74</v>
      </c>
      <c r="S214" t="s">
        <v>74</v>
      </c>
      <c r="T214" t="s">
        <v>3793</v>
      </c>
      <c r="U214" t="s">
        <v>74</v>
      </c>
      <c r="V214" t="s">
        <v>3794</v>
      </c>
      <c r="W214" t="s">
        <v>3795</v>
      </c>
      <c r="X214" t="s">
        <v>3796</v>
      </c>
      <c r="Y214" t="s">
        <v>3797</v>
      </c>
      <c r="Z214" t="s">
        <v>3798</v>
      </c>
      <c r="AA214" t="s">
        <v>3799</v>
      </c>
      <c r="AB214" t="s">
        <v>3800</v>
      </c>
      <c r="AC214" t="s">
        <v>74</v>
      </c>
      <c r="AD214" t="s">
        <v>74</v>
      </c>
      <c r="AE214" t="s">
        <v>74</v>
      </c>
      <c r="AF214" t="s">
        <v>74</v>
      </c>
      <c r="AG214">
        <v>51</v>
      </c>
      <c r="AH214">
        <v>0</v>
      </c>
      <c r="AI214">
        <v>0</v>
      </c>
      <c r="AJ214">
        <v>5</v>
      </c>
      <c r="AK214">
        <v>9</v>
      </c>
      <c r="AL214" t="s">
        <v>287</v>
      </c>
      <c r="AM214" t="s">
        <v>288</v>
      </c>
      <c r="AN214" t="s">
        <v>289</v>
      </c>
      <c r="AO214" t="s">
        <v>2674</v>
      </c>
      <c r="AP214" t="s">
        <v>74</v>
      </c>
      <c r="AQ214" t="s">
        <v>74</v>
      </c>
      <c r="AR214" t="s">
        <v>2675</v>
      </c>
      <c r="AS214" t="s">
        <v>2676</v>
      </c>
      <c r="AT214" t="s">
        <v>99</v>
      </c>
      <c r="AU214">
        <v>2023</v>
      </c>
      <c r="AV214">
        <v>9</v>
      </c>
      <c r="AW214">
        <v>1</v>
      </c>
      <c r="AX214" t="s">
        <v>74</v>
      </c>
      <c r="AY214" t="s">
        <v>74</v>
      </c>
      <c r="AZ214" t="s">
        <v>74</v>
      </c>
      <c r="BA214" t="s">
        <v>74</v>
      </c>
      <c r="BB214" t="s">
        <v>74</v>
      </c>
      <c r="BC214" t="s">
        <v>74</v>
      </c>
      <c r="BD214">
        <v>2170951</v>
      </c>
      <c r="BE214" t="s">
        <v>3801</v>
      </c>
      <c r="BF214" t="str">
        <f>HYPERLINK("http://dx.doi.org/10.1080/23311932.2023.2170951","http://dx.doi.org/10.1080/23311932.2023.2170951")</f>
        <v>http://dx.doi.org/10.1080/23311932.2023.2170951</v>
      </c>
      <c r="BG214" t="s">
        <v>74</v>
      </c>
      <c r="BH214" t="s">
        <v>74</v>
      </c>
      <c r="BI214">
        <v>18</v>
      </c>
      <c r="BJ214" t="s">
        <v>2678</v>
      </c>
      <c r="BK214" t="s">
        <v>102</v>
      </c>
      <c r="BL214" t="s">
        <v>2517</v>
      </c>
      <c r="BM214" t="s">
        <v>3802</v>
      </c>
      <c r="BN214" t="s">
        <v>74</v>
      </c>
      <c r="BO214" t="s">
        <v>126</v>
      </c>
      <c r="BP214" t="s">
        <v>74</v>
      </c>
      <c r="BQ214" t="s">
        <v>74</v>
      </c>
      <c r="BR214" t="s">
        <v>105</v>
      </c>
      <c r="BS214" t="s">
        <v>3803</v>
      </c>
      <c r="BT214" t="str">
        <f>HYPERLINK("https%3A%2F%2Fwww.webofscience.com%2Fwos%2Fwoscc%2Ffull-record%2FWOS:000945571200001","View Full Record in Web of Science")</f>
        <v>View Full Record in Web of Science</v>
      </c>
    </row>
    <row r="215" spans="1:72" x14ac:dyDescent="0.15">
      <c r="A215" t="s">
        <v>72</v>
      </c>
      <c r="B215" t="s">
        <v>3804</v>
      </c>
      <c r="C215" t="s">
        <v>74</v>
      </c>
      <c r="D215" t="s">
        <v>74</v>
      </c>
      <c r="E215" t="s">
        <v>74</v>
      </c>
      <c r="F215" t="s">
        <v>3805</v>
      </c>
      <c r="G215" t="s">
        <v>74</v>
      </c>
      <c r="H215" t="s">
        <v>74</v>
      </c>
      <c r="I215" t="s">
        <v>3806</v>
      </c>
      <c r="J215" t="s">
        <v>77</v>
      </c>
      <c r="K215" t="s">
        <v>74</v>
      </c>
      <c r="L215" t="s">
        <v>74</v>
      </c>
      <c r="M215" t="s">
        <v>78</v>
      </c>
      <c r="N215" t="s">
        <v>79</v>
      </c>
      <c r="O215" t="s">
        <v>74</v>
      </c>
      <c r="P215" t="s">
        <v>74</v>
      </c>
      <c r="Q215" t="s">
        <v>74</v>
      </c>
      <c r="R215" t="s">
        <v>74</v>
      </c>
      <c r="S215" t="s">
        <v>74</v>
      </c>
      <c r="T215" t="s">
        <v>3807</v>
      </c>
      <c r="U215" t="s">
        <v>3808</v>
      </c>
      <c r="V215" t="s">
        <v>3809</v>
      </c>
      <c r="W215" t="s">
        <v>3810</v>
      </c>
      <c r="X215" t="s">
        <v>3811</v>
      </c>
      <c r="Y215" t="s">
        <v>3812</v>
      </c>
      <c r="Z215" t="s">
        <v>3813</v>
      </c>
      <c r="AA215" t="s">
        <v>3814</v>
      </c>
      <c r="AB215" t="s">
        <v>3815</v>
      </c>
      <c r="AC215" t="s">
        <v>74</v>
      </c>
      <c r="AD215" t="s">
        <v>74</v>
      </c>
      <c r="AE215" t="s">
        <v>74</v>
      </c>
      <c r="AF215" t="s">
        <v>74</v>
      </c>
      <c r="AG215">
        <v>42</v>
      </c>
      <c r="AH215">
        <v>0</v>
      </c>
      <c r="AI215">
        <v>0</v>
      </c>
      <c r="AJ215">
        <v>10</v>
      </c>
      <c r="AK215">
        <v>27</v>
      </c>
      <c r="AL215" t="s">
        <v>92</v>
      </c>
      <c r="AM215" t="s">
        <v>93</v>
      </c>
      <c r="AN215" t="s">
        <v>94</v>
      </c>
      <c r="AO215" t="s">
        <v>95</v>
      </c>
      <c r="AP215" t="s">
        <v>96</v>
      </c>
      <c r="AQ215" t="s">
        <v>74</v>
      </c>
      <c r="AR215" t="s">
        <v>97</v>
      </c>
      <c r="AS215" t="s">
        <v>98</v>
      </c>
      <c r="AT215" t="s">
        <v>99</v>
      </c>
      <c r="AU215">
        <v>2023</v>
      </c>
      <c r="AV215">
        <v>30</v>
      </c>
      <c r="AW215">
        <v>1</v>
      </c>
      <c r="AX215" t="s">
        <v>74</v>
      </c>
      <c r="AY215" t="s">
        <v>74</v>
      </c>
      <c r="AZ215" t="s">
        <v>74</v>
      </c>
      <c r="BA215" t="s">
        <v>74</v>
      </c>
      <c r="BB215">
        <v>1</v>
      </c>
      <c r="BC215">
        <v>16</v>
      </c>
      <c r="BD215" t="s">
        <v>74</v>
      </c>
      <c r="BE215" t="s">
        <v>3816</v>
      </c>
      <c r="BF215" t="str">
        <f>HYPERLINK("http://dx.doi.org/10.1080/10717544.2022.2157519","http://dx.doi.org/10.1080/10717544.2022.2157519")</f>
        <v>http://dx.doi.org/10.1080/10717544.2022.2157519</v>
      </c>
      <c r="BG215" t="s">
        <v>74</v>
      </c>
      <c r="BH215" t="s">
        <v>74</v>
      </c>
      <c r="BI215">
        <v>16</v>
      </c>
      <c r="BJ215" t="s">
        <v>101</v>
      </c>
      <c r="BK215" t="s">
        <v>102</v>
      </c>
      <c r="BL215" t="s">
        <v>101</v>
      </c>
      <c r="BM215" t="s">
        <v>3817</v>
      </c>
      <c r="BN215">
        <v>36644796</v>
      </c>
      <c r="BO215" t="s">
        <v>104</v>
      </c>
      <c r="BP215" t="s">
        <v>74</v>
      </c>
      <c r="BQ215" t="s">
        <v>74</v>
      </c>
      <c r="BR215" t="s">
        <v>105</v>
      </c>
      <c r="BS215" t="s">
        <v>3818</v>
      </c>
      <c r="BT215" t="str">
        <f>HYPERLINK("https%3A%2F%2Fwww.webofscience.com%2Fwos%2Fwoscc%2Ffull-record%2FWOS:000913122100001","View Full Record in Web of Science")</f>
        <v>View Full Record in Web of Science</v>
      </c>
    </row>
    <row r="216" spans="1:72" x14ac:dyDescent="0.15">
      <c r="A216" t="s">
        <v>72</v>
      </c>
      <c r="B216" t="s">
        <v>3819</v>
      </c>
      <c r="C216" t="s">
        <v>74</v>
      </c>
      <c r="D216" t="s">
        <v>74</v>
      </c>
      <c r="E216" t="s">
        <v>74</v>
      </c>
      <c r="F216" t="s">
        <v>3820</v>
      </c>
      <c r="G216" t="s">
        <v>74</v>
      </c>
      <c r="H216" t="s">
        <v>74</v>
      </c>
      <c r="I216" t="s">
        <v>3821</v>
      </c>
      <c r="J216" t="s">
        <v>1055</v>
      </c>
      <c r="K216" t="s">
        <v>74</v>
      </c>
      <c r="L216" t="s">
        <v>74</v>
      </c>
      <c r="M216" t="s">
        <v>78</v>
      </c>
      <c r="N216" t="s">
        <v>79</v>
      </c>
      <c r="O216" t="s">
        <v>74</v>
      </c>
      <c r="P216" t="s">
        <v>74</v>
      </c>
      <c r="Q216" t="s">
        <v>74</v>
      </c>
      <c r="R216" t="s">
        <v>74</v>
      </c>
      <c r="S216" t="s">
        <v>74</v>
      </c>
      <c r="T216" t="s">
        <v>3822</v>
      </c>
      <c r="U216" t="s">
        <v>3823</v>
      </c>
      <c r="V216" t="s">
        <v>3824</v>
      </c>
      <c r="W216" t="s">
        <v>3825</v>
      </c>
      <c r="X216" t="s">
        <v>3826</v>
      </c>
      <c r="Y216" t="s">
        <v>3827</v>
      </c>
      <c r="Z216" t="s">
        <v>3828</v>
      </c>
      <c r="AA216" t="s">
        <v>74</v>
      </c>
      <c r="AB216" t="s">
        <v>74</v>
      </c>
      <c r="AC216" t="s">
        <v>3829</v>
      </c>
      <c r="AD216" t="s">
        <v>3829</v>
      </c>
      <c r="AE216" t="s">
        <v>3830</v>
      </c>
      <c r="AF216" t="s">
        <v>74</v>
      </c>
      <c r="AG216">
        <v>35</v>
      </c>
      <c r="AH216">
        <v>1</v>
      </c>
      <c r="AI216">
        <v>1</v>
      </c>
      <c r="AJ216">
        <v>17</v>
      </c>
      <c r="AK216">
        <v>39</v>
      </c>
      <c r="AL216" t="s">
        <v>92</v>
      </c>
      <c r="AM216" t="s">
        <v>93</v>
      </c>
      <c r="AN216" t="s">
        <v>94</v>
      </c>
      <c r="AO216" t="s">
        <v>1066</v>
      </c>
      <c r="AP216" t="s">
        <v>1067</v>
      </c>
      <c r="AQ216" t="s">
        <v>74</v>
      </c>
      <c r="AR216" t="s">
        <v>1068</v>
      </c>
      <c r="AS216" t="s">
        <v>1069</v>
      </c>
      <c r="AT216" t="s">
        <v>99</v>
      </c>
      <c r="AU216">
        <v>2023</v>
      </c>
      <c r="AV216">
        <v>22</v>
      </c>
      <c r="AW216">
        <v>1</v>
      </c>
      <c r="AX216" t="s">
        <v>74</v>
      </c>
      <c r="AY216" t="s">
        <v>74</v>
      </c>
      <c r="AZ216" t="s">
        <v>74</v>
      </c>
      <c r="BA216" t="s">
        <v>74</v>
      </c>
      <c r="BB216">
        <v>148</v>
      </c>
      <c r="BC216">
        <v>156</v>
      </c>
      <c r="BD216" t="s">
        <v>74</v>
      </c>
      <c r="BE216" t="s">
        <v>3831</v>
      </c>
      <c r="BF216" t="str">
        <f>HYPERLINK("http://dx.doi.org/10.1080/1828051X.2023.2166430","http://dx.doi.org/10.1080/1828051X.2023.2166430")</f>
        <v>http://dx.doi.org/10.1080/1828051X.2023.2166430</v>
      </c>
      <c r="BG216" t="s">
        <v>74</v>
      </c>
      <c r="BH216" t="s">
        <v>74</v>
      </c>
      <c r="BI216">
        <v>9</v>
      </c>
      <c r="BJ216" t="s">
        <v>1071</v>
      </c>
      <c r="BK216" t="s">
        <v>102</v>
      </c>
      <c r="BL216" t="s">
        <v>1072</v>
      </c>
      <c r="BM216" t="s">
        <v>3832</v>
      </c>
      <c r="BN216" t="s">
        <v>74</v>
      </c>
      <c r="BO216" t="s">
        <v>126</v>
      </c>
      <c r="BP216" t="s">
        <v>74</v>
      </c>
      <c r="BQ216" t="s">
        <v>74</v>
      </c>
      <c r="BR216" t="s">
        <v>105</v>
      </c>
      <c r="BS216" t="s">
        <v>3833</v>
      </c>
      <c r="BT216" t="str">
        <f>HYPERLINK("https%3A%2F%2Fwww.webofscience.com%2Fwos%2Fwoscc%2Ffull-record%2FWOS:000926134600001","View Full Record in Web of Science")</f>
        <v>View Full Record in Web of Science</v>
      </c>
    </row>
    <row r="217" spans="1:72" x14ac:dyDescent="0.15">
      <c r="A217" t="s">
        <v>72</v>
      </c>
      <c r="B217" t="s">
        <v>3834</v>
      </c>
      <c r="C217" t="s">
        <v>74</v>
      </c>
      <c r="D217" t="s">
        <v>74</v>
      </c>
      <c r="E217" t="s">
        <v>74</v>
      </c>
      <c r="F217" t="s">
        <v>3835</v>
      </c>
      <c r="G217" t="s">
        <v>74</v>
      </c>
      <c r="H217" t="s">
        <v>74</v>
      </c>
      <c r="I217" t="s">
        <v>3836</v>
      </c>
      <c r="J217" t="s">
        <v>3837</v>
      </c>
      <c r="K217" t="s">
        <v>74</v>
      </c>
      <c r="L217" t="s">
        <v>74</v>
      </c>
      <c r="M217" t="s">
        <v>78</v>
      </c>
      <c r="N217" t="s">
        <v>79</v>
      </c>
      <c r="O217" t="s">
        <v>74</v>
      </c>
      <c r="P217" t="s">
        <v>74</v>
      </c>
      <c r="Q217" t="s">
        <v>74</v>
      </c>
      <c r="R217" t="s">
        <v>74</v>
      </c>
      <c r="S217" t="s">
        <v>74</v>
      </c>
      <c r="T217" t="s">
        <v>3838</v>
      </c>
      <c r="U217" t="s">
        <v>3839</v>
      </c>
      <c r="V217" t="s">
        <v>3840</v>
      </c>
      <c r="W217" t="s">
        <v>3841</v>
      </c>
      <c r="X217" t="s">
        <v>3842</v>
      </c>
      <c r="Y217" t="s">
        <v>3843</v>
      </c>
      <c r="Z217" t="s">
        <v>3844</v>
      </c>
      <c r="AA217" t="s">
        <v>74</v>
      </c>
      <c r="AB217" t="s">
        <v>74</v>
      </c>
      <c r="AC217" t="s">
        <v>3845</v>
      </c>
      <c r="AD217" t="s">
        <v>3846</v>
      </c>
      <c r="AE217" t="s">
        <v>3847</v>
      </c>
      <c r="AF217" t="s">
        <v>74</v>
      </c>
      <c r="AG217">
        <v>18</v>
      </c>
      <c r="AH217">
        <v>0</v>
      </c>
      <c r="AI217">
        <v>0</v>
      </c>
      <c r="AJ217">
        <v>18</v>
      </c>
      <c r="AK217">
        <v>30</v>
      </c>
      <c r="AL217" t="s">
        <v>184</v>
      </c>
      <c r="AM217" t="s">
        <v>185</v>
      </c>
      <c r="AN217" t="s">
        <v>186</v>
      </c>
      <c r="AO217" t="s">
        <v>3848</v>
      </c>
      <c r="AP217" t="s">
        <v>3849</v>
      </c>
      <c r="AQ217" t="s">
        <v>74</v>
      </c>
      <c r="AR217" t="s">
        <v>3850</v>
      </c>
      <c r="AS217" t="s">
        <v>3851</v>
      </c>
      <c r="AT217" t="s">
        <v>99</v>
      </c>
      <c r="AU217">
        <v>2023</v>
      </c>
      <c r="AV217">
        <v>18</v>
      </c>
      <c r="AW217">
        <v>1</v>
      </c>
      <c r="AX217" t="s">
        <v>74</v>
      </c>
      <c r="AY217" t="s">
        <v>74</v>
      </c>
      <c r="AZ217" t="s">
        <v>74</v>
      </c>
      <c r="BA217" t="s">
        <v>74</v>
      </c>
      <c r="BB217" t="s">
        <v>74</v>
      </c>
      <c r="BC217" t="s">
        <v>74</v>
      </c>
      <c r="BD217">
        <v>2178085</v>
      </c>
      <c r="BE217" t="s">
        <v>3852</v>
      </c>
      <c r="BF217" t="str">
        <f>HYPERLINK("http://dx.doi.org/10.1080/15592324.2023.2178085","http://dx.doi.org/10.1080/15592324.2023.2178085")</f>
        <v>http://dx.doi.org/10.1080/15592324.2023.2178085</v>
      </c>
      <c r="BG217" t="s">
        <v>74</v>
      </c>
      <c r="BH217" t="s">
        <v>74</v>
      </c>
      <c r="BI217">
        <v>4</v>
      </c>
      <c r="BJ217" t="s">
        <v>3853</v>
      </c>
      <c r="BK217" t="s">
        <v>102</v>
      </c>
      <c r="BL217" t="s">
        <v>3853</v>
      </c>
      <c r="BM217" t="s">
        <v>3854</v>
      </c>
      <c r="BN217">
        <v>36780917</v>
      </c>
      <c r="BO217" t="s">
        <v>165</v>
      </c>
      <c r="BP217" t="s">
        <v>74</v>
      </c>
      <c r="BQ217" t="s">
        <v>74</v>
      </c>
      <c r="BR217" t="s">
        <v>105</v>
      </c>
      <c r="BS217" t="s">
        <v>3855</v>
      </c>
      <c r="BT217" t="str">
        <f>HYPERLINK("https%3A%2F%2Fwww.webofscience.com%2Fwos%2Fwoscc%2Ffull-record%2FWOS:000931920100001","View Full Record in Web of Science")</f>
        <v>View Full Record in Web of Science</v>
      </c>
    </row>
    <row r="218" spans="1:72" x14ac:dyDescent="0.15">
      <c r="A218" t="s">
        <v>72</v>
      </c>
      <c r="B218" t="s">
        <v>3856</v>
      </c>
      <c r="C218" t="s">
        <v>74</v>
      </c>
      <c r="D218" t="s">
        <v>74</v>
      </c>
      <c r="E218" t="s">
        <v>74</v>
      </c>
      <c r="F218" t="s">
        <v>3857</v>
      </c>
      <c r="G218" t="s">
        <v>74</v>
      </c>
      <c r="H218" t="s">
        <v>74</v>
      </c>
      <c r="I218" t="s">
        <v>3858</v>
      </c>
      <c r="J218" t="s">
        <v>563</v>
      </c>
      <c r="K218" t="s">
        <v>74</v>
      </c>
      <c r="L218" t="s">
        <v>74</v>
      </c>
      <c r="M218" t="s">
        <v>78</v>
      </c>
      <c r="N218" t="s">
        <v>171</v>
      </c>
      <c r="O218" t="s">
        <v>74</v>
      </c>
      <c r="P218" t="s">
        <v>74</v>
      </c>
      <c r="Q218" t="s">
        <v>74</v>
      </c>
      <c r="R218" t="s">
        <v>74</v>
      </c>
      <c r="S218" t="s">
        <v>74</v>
      </c>
      <c r="T218" t="s">
        <v>3859</v>
      </c>
      <c r="U218" t="s">
        <v>3860</v>
      </c>
      <c r="V218" t="s">
        <v>3861</v>
      </c>
      <c r="W218" t="s">
        <v>3862</v>
      </c>
      <c r="X218" t="s">
        <v>3863</v>
      </c>
      <c r="Y218" t="s">
        <v>3864</v>
      </c>
      <c r="Z218" t="s">
        <v>3865</v>
      </c>
      <c r="AA218" t="s">
        <v>3866</v>
      </c>
      <c r="AB218" t="s">
        <v>3867</v>
      </c>
      <c r="AC218" t="s">
        <v>74</v>
      </c>
      <c r="AD218" t="s">
        <v>74</v>
      </c>
      <c r="AE218" t="s">
        <v>74</v>
      </c>
      <c r="AF218" t="s">
        <v>74</v>
      </c>
      <c r="AG218">
        <v>35</v>
      </c>
      <c r="AH218">
        <v>1</v>
      </c>
      <c r="AI218">
        <v>1</v>
      </c>
      <c r="AJ218">
        <v>6</v>
      </c>
      <c r="AK218">
        <v>6</v>
      </c>
      <c r="AL218" t="s">
        <v>287</v>
      </c>
      <c r="AM218" t="s">
        <v>288</v>
      </c>
      <c r="AN218" t="s">
        <v>289</v>
      </c>
      <c r="AO218" t="s">
        <v>571</v>
      </c>
      <c r="AP218" t="s">
        <v>74</v>
      </c>
      <c r="AQ218" t="s">
        <v>74</v>
      </c>
      <c r="AR218" t="s">
        <v>572</v>
      </c>
      <c r="AS218" t="s">
        <v>573</v>
      </c>
      <c r="AT218" t="s">
        <v>99</v>
      </c>
      <c r="AU218">
        <v>2023</v>
      </c>
      <c r="AV218">
        <v>10</v>
      </c>
      <c r="AW218">
        <v>1</v>
      </c>
      <c r="AX218" t="s">
        <v>74</v>
      </c>
      <c r="AY218" t="s">
        <v>74</v>
      </c>
      <c r="AZ218" t="s">
        <v>74</v>
      </c>
      <c r="BA218" t="s">
        <v>74</v>
      </c>
      <c r="BB218" t="s">
        <v>74</v>
      </c>
      <c r="BC218" t="s">
        <v>74</v>
      </c>
      <c r="BD218">
        <v>2220213</v>
      </c>
      <c r="BE218" t="s">
        <v>3868</v>
      </c>
      <c r="BF218" t="str">
        <f>HYPERLINK("http://dx.doi.org/10.1080/23311983.2023.2220213","http://dx.doi.org/10.1080/23311983.2023.2220213")</f>
        <v>http://dx.doi.org/10.1080/23311983.2023.2220213</v>
      </c>
      <c r="BG218" t="s">
        <v>74</v>
      </c>
      <c r="BH218" t="s">
        <v>74</v>
      </c>
      <c r="BI218">
        <v>16</v>
      </c>
      <c r="BJ218" t="s">
        <v>575</v>
      </c>
      <c r="BK218" t="s">
        <v>211</v>
      </c>
      <c r="BL218" t="s">
        <v>576</v>
      </c>
      <c r="BM218" t="s">
        <v>3869</v>
      </c>
      <c r="BN218" t="s">
        <v>74</v>
      </c>
      <c r="BO218" t="s">
        <v>126</v>
      </c>
      <c r="BP218" t="s">
        <v>74</v>
      </c>
      <c r="BQ218" t="s">
        <v>74</v>
      </c>
      <c r="BR218" t="s">
        <v>105</v>
      </c>
      <c r="BS218" t="s">
        <v>3870</v>
      </c>
      <c r="BT218" t="str">
        <f>HYPERLINK("https%3A%2F%2Fwww.webofscience.com%2Fwos%2Fwoscc%2Ffull-record%2FWOS:001002121100001","View Full Record in Web of Science")</f>
        <v>View Full Record in Web of Science</v>
      </c>
    </row>
    <row r="219" spans="1:72" x14ac:dyDescent="0.15">
      <c r="A219" t="s">
        <v>72</v>
      </c>
      <c r="B219" t="s">
        <v>3871</v>
      </c>
      <c r="C219" t="s">
        <v>74</v>
      </c>
      <c r="D219" t="s">
        <v>74</v>
      </c>
      <c r="E219" t="s">
        <v>74</v>
      </c>
      <c r="F219" t="s">
        <v>3872</v>
      </c>
      <c r="G219" t="s">
        <v>74</v>
      </c>
      <c r="H219" t="s">
        <v>74</v>
      </c>
      <c r="I219" t="s">
        <v>3873</v>
      </c>
      <c r="J219" t="s">
        <v>1118</v>
      </c>
      <c r="K219" t="s">
        <v>74</v>
      </c>
      <c r="L219" t="s">
        <v>74</v>
      </c>
      <c r="M219" t="s">
        <v>78</v>
      </c>
      <c r="N219" t="s">
        <v>79</v>
      </c>
      <c r="O219" t="s">
        <v>74</v>
      </c>
      <c r="P219" t="s">
        <v>74</v>
      </c>
      <c r="Q219" t="s">
        <v>74</v>
      </c>
      <c r="R219" t="s">
        <v>74</v>
      </c>
      <c r="S219" t="s">
        <v>74</v>
      </c>
      <c r="T219" t="s">
        <v>3874</v>
      </c>
      <c r="U219" t="s">
        <v>3875</v>
      </c>
      <c r="V219" t="s">
        <v>3876</v>
      </c>
      <c r="W219" t="s">
        <v>3877</v>
      </c>
      <c r="X219" t="s">
        <v>3878</v>
      </c>
      <c r="Y219" t="s">
        <v>3879</v>
      </c>
      <c r="Z219" t="s">
        <v>3880</v>
      </c>
      <c r="AA219" t="s">
        <v>74</v>
      </c>
      <c r="AB219" t="s">
        <v>3881</v>
      </c>
      <c r="AC219" t="s">
        <v>74</v>
      </c>
      <c r="AD219" t="s">
        <v>74</v>
      </c>
      <c r="AE219" t="s">
        <v>74</v>
      </c>
      <c r="AF219" t="s">
        <v>74</v>
      </c>
      <c r="AG219">
        <v>54</v>
      </c>
      <c r="AH219">
        <v>0</v>
      </c>
      <c r="AI219">
        <v>0</v>
      </c>
      <c r="AJ219">
        <v>2</v>
      </c>
      <c r="AK219">
        <v>14</v>
      </c>
      <c r="AL219" t="s">
        <v>92</v>
      </c>
      <c r="AM219" t="s">
        <v>93</v>
      </c>
      <c r="AN219" t="s">
        <v>94</v>
      </c>
      <c r="AO219" t="s">
        <v>1130</v>
      </c>
      <c r="AP219" t="s">
        <v>1131</v>
      </c>
      <c r="AQ219" t="s">
        <v>74</v>
      </c>
      <c r="AR219" t="s">
        <v>1132</v>
      </c>
      <c r="AS219" t="s">
        <v>1133</v>
      </c>
      <c r="AT219" t="s">
        <v>99</v>
      </c>
      <c r="AU219">
        <v>2023</v>
      </c>
      <c r="AV219">
        <v>21</v>
      </c>
      <c r="AW219">
        <v>1</v>
      </c>
      <c r="AX219" t="s">
        <v>74</v>
      </c>
      <c r="AY219" t="s">
        <v>74</v>
      </c>
      <c r="AZ219" t="s">
        <v>74</v>
      </c>
      <c r="BA219" t="s">
        <v>74</v>
      </c>
      <c r="BB219">
        <v>93</v>
      </c>
      <c r="BC219">
        <v>100</v>
      </c>
      <c r="BD219" t="s">
        <v>74</v>
      </c>
      <c r="BE219" t="s">
        <v>3882</v>
      </c>
      <c r="BF219" t="str">
        <f>HYPERLINK("http://dx.doi.org/10.1080/19476337.2022.2162975","http://dx.doi.org/10.1080/19476337.2022.2162975")</f>
        <v>http://dx.doi.org/10.1080/19476337.2022.2162975</v>
      </c>
      <c r="BG219" t="s">
        <v>74</v>
      </c>
      <c r="BH219" t="s">
        <v>74</v>
      </c>
      <c r="BI219">
        <v>8</v>
      </c>
      <c r="BJ219" t="s">
        <v>192</v>
      </c>
      <c r="BK219" t="s">
        <v>102</v>
      </c>
      <c r="BL219" t="s">
        <v>192</v>
      </c>
      <c r="BM219" t="s">
        <v>3883</v>
      </c>
      <c r="BN219" t="s">
        <v>74</v>
      </c>
      <c r="BO219" t="s">
        <v>126</v>
      </c>
      <c r="BP219" t="s">
        <v>74</v>
      </c>
      <c r="BQ219" t="s">
        <v>74</v>
      </c>
      <c r="BR219" t="s">
        <v>105</v>
      </c>
      <c r="BS219" t="s">
        <v>3884</v>
      </c>
      <c r="BT219" t="str">
        <f>HYPERLINK("https%3A%2F%2Fwww.webofscience.com%2Fwos%2Fwoscc%2Ffull-record%2FWOS:000911882900001","View Full Record in Web of Science")</f>
        <v>View Full Record in Web of Science</v>
      </c>
    </row>
    <row r="220" spans="1:72" x14ac:dyDescent="0.15">
      <c r="A220" t="s">
        <v>72</v>
      </c>
      <c r="B220" t="s">
        <v>3885</v>
      </c>
      <c r="C220" t="s">
        <v>74</v>
      </c>
      <c r="D220" t="s">
        <v>74</v>
      </c>
      <c r="E220" t="s">
        <v>74</v>
      </c>
      <c r="F220" t="s">
        <v>3886</v>
      </c>
      <c r="G220" t="s">
        <v>74</v>
      </c>
      <c r="H220" t="s">
        <v>74</v>
      </c>
      <c r="I220" t="s">
        <v>3887</v>
      </c>
      <c r="J220" t="s">
        <v>359</v>
      </c>
      <c r="K220" t="s">
        <v>74</v>
      </c>
      <c r="L220" t="s">
        <v>74</v>
      </c>
      <c r="M220" t="s">
        <v>78</v>
      </c>
      <c r="N220" t="s">
        <v>79</v>
      </c>
      <c r="O220" t="s">
        <v>74</v>
      </c>
      <c r="P220" t="s">
        <v>74</v>
      </c>
      <c r="Q220" t="s">
        <v>74</v>
      </c>
      <c r="R220" t="s">
        <v>74</v>
      </c>
      <c r="S220" t="s">
        <v>74</v>
      </c>
      <c r="T220" t="s">
        <v>3888</v>
      </c>
      <c r="U220" t="s">
        <v>3889</v>
      </c>
      <c r="V220" t="s">
        <v>3890</v>
      </c>
      <c r="W220" t="s">
        <v>3891</v>
      </c>
      <c r="X220" t="s">
        <v>1400</v>
      </c>
      <c r="Y220" t="s">
        <v>3892</v>
      </c>
      <c r="Z220" t="s">
        <v>3893</v>
      </c>
      <c r="AA220" t="s">
        <v>3894</v>
      </c>
      <c r="AB220" t="s">
        <v>3895</v>
      </c>
      <c r="AC220" t="s">
        <v>74</v>
      </c>
      <c r="AD220" t="s">
        <v>74</v>
      </c>
      <c r="AE220" t="s">
        <v>74</v>
      </c>
      <c r="AF220" t="s">
        <v>74</v>
      </c>
      <c r="AG220">
        <v>71</v>
      </c>
      <c r="AH220">
        <v>0</v>
      </c>
      <c r="AI220">
        <v>0</v>
      </c>
      <c r="AJ220">
        <v>1</v>
      </c>
      <c r="AK220">
        <v>1</v>
      </c>
      <c r="AL220" t="s">
        <v>287</v>
      </c>
      <c r="AM220" t="s">
        <v>288</v>
      </c>
      <c r="AN220" t="s">
        <v>289</v>
      </c>
      <c r="AO220" t="s">
        <v>369</v>
      </c>
      <c r="AP220" t="s">
        <v>74</v>
      </c>
      <c r="AQ220" t="s">
        <v>74</v>
      </c>
      <c r="AR220" t="s">
        <v>370</v>
      </c>
      <c r="AS220" t="s">
        <v>371</v>
      </c>
      <c r="AT220" t="s">
        <v>99</v>
      </c>
      <c r="AU220">
        <v>2023</v>
      </c>
      <c r="AV220">
        <v>11</v>
      </c>
      <c r="AW220">
        <v>1</v>
      </c>
      <c r="AX220" t="s">
        <v>74</v>
      </c>
      <c r="AY220" t="s">
        <v>74</v>
      </c>
      <c r="AZ220" t="s">
        <v>74</v>
      </c>
      <c r="BA220" t="s">
        <v>74</v>
      </c>
      <c r="BB220" t="s">
        <v>74</v>
      </c>
      <c r="BC220" t="s">
        <v>74</v>
      </c>
      <c r="BD220">
        <v>2202963</v>
      </c>
      <c r="BE220" t="s">
        <v>3896</v>
      </c>
      <c r="BF220" t="str">
        <f>HYPERLINK("http://dx.doi.org/10.1080/23322039.2023.2202963","http://dx.doi.org/10.1080/23322039.2023.2202963")</f>
        <v>http://dx.doi.org/10.1080/23322039.2023.2202963</v>
      </c>
      <c r="BG220" t="s">
        <v>74</v>
      </c>
      <c r="BH220" t="s">
        <v>74</v>
      </c>
      <c r="BI220">
        <v>19</v>
      </c>
      <c r="BJ220" t="s">
        <v>373</v>
      </c>
      <c r="BK220" t="s">
        <v>211</v>
      </c>
      <c r="BL220" t="s">
        <v>295</v>
      </c>
      <c r="BM220" t="s">
        <v>3897</v>
      </c>
      <c r="BN220" t="s">
        <v>74</v>
      </c>
      <c r="BO220" t="s">
        <v>126</v>
      </c>
      <c r="BP220" t="s">
        <v>74</v>
      </c>
      <c r="BQ220" t="s">
        <v>74</v>
      </c>
      <c r="BR220" t="s">
        <v>105</v>
      </c>
      <c r="BS220" t="s">
        <v>3898</v>
      </c>
      <c r="BT220" t="str">
        <f>HYPERLINK("https%3A%2F%2Fwww.webofscience.com%2Fwos%2Fwoscc%2Ffull-record%2FWOS:000981243000001","View Full Record in Web of Science")</f>
        <v>View Full Record in Web of Science</v>
      </c>
    </row>
    <row r="221" spans="1:72" x14ac:dyDescent="0.15">
      <c r="A221" t="s">
        <v>72</v>
      </c>
      <c r="B221" t="s">
        <v>3899</v>
      </c>
      <c r="C221" t="s">
        <v>74</v>
      </c>
      <c r="D221" t="s">
        <v>74</v>
      </c>
      <c r="E221" t="s">
        <v>74</v>
      </c>
      <c r="F221" t="s">
        <v>3900</v>
      </c>
      <c r="G221" t="s">
        <v>74</v>
      </c>
      <c r="H221" t="s">
        <v>74</v>
      </c>
      <c r="I221" t="s">
        <v>3901</v>
      </c>
      <c r="J221" t="s">
        <v>2503</v>
      </c>
      <c r="K221" t="s">
        <v>74</v>
      </c>
      <c r="L221" t="s">
        <v>74</v>
      </c>
      <c r="M221" t="s">
        <v>78</v>
      </c>
      <c r="N221" t="s">
        <v>79</v>
      </c>
      <c r="O221" t="s">
        <v>74</v>
      </c>
      <c r="P221" t="s">
        <v>74</v>
      </c>
      <c r="Q221" t="s">
        <v>74</v>
      </c>
      <c r="R221" t="s">
        <v>74</v>
      </c>
      <c r="S221" t="s">
        <v>74</v>
      </c>
      <c r="T221" t="s">
        <v>3902</v>
      </c>
      <c r="U221" t="s">
        <v>74</v>
      </c>
      <c r="V221" t="s">
        <v>3903</v>
      </c>
      <c r="W221" t="s">
        <v>3904</v>
      </c>
      <c r="X221" t="s">
        <v>74</v>
      </c>
      <c r="Y221" t="s">
        <v>3905</v>
      </c>
      <c r="Z221" t="s">
        <v>3906</v>
      </c>
      <c r="AA221" t="s">
        <v>3907</v>
      </c>
      <c r="AB221" t="s">
        <v>74</v>
      </c>
      <c r="AC221" t="s">
        <v>74</v>
      </c>
      <c r="AD221" t="s">
        <v>74</v>
      </c>
      <c r="AE221" t="s">
        <v>74</v>
      </c>
      <c r="AF221" t="s">
        <v>74</v>
      </c>
      <c r="AG221">
        <v>45</v>
      </c>
      <c r="AH221">
        <v>0</v>
      </c>
      <c r="AI221">
        <v>0</v>
      </c>
      <c r="AJ221">
        <v>1</v>
      </c>
      <c r="AK221">
        <v>2</v>
      </c>
      <c r="AL221" t="s">
        <v>92</v>
      </c>
      <c r="AM221" t="s">
        <v>93</v>
      </c>
      <c r="AN221" t="s">
        <v>94</v>
      </c>
      <c r="AO221" t="s">
        <v>2511</v>
      </c>
      <c r="AP221" t="s">
        <v>2512</v>
      </c>
      <c r="AQ221" t="s">
        <v>74</v>
      </c>
      <c r="AR221" t="s">
        <v>2513</v>
      </c>
      <c r="AS221" t="s">
        <v>2514</v>
      </c>
      <c r="AT221" t="s">
        <v>99</v>
      </c>
      <c r="AU221">
        <v>2023</v>
      </c>
      <c r="AV221">
        <v>51</v>
      </c>
      <c r="AW221">
        <v>1</v>
      </c>
      <c r="AX221" t="s">
        <v>74</v>
      </c>
      <c r="AY221" t="s">
        <v>74</v>
      </c>
      <c r="AZ221" t="s">
        <v>74</v>
      </c>
      <c r="BA221" t="s">
        <v>74</v>
      </c>
      <c r="BB221">
        <v>242</v>
      </c>
      <c r="BC221">
        <v>255</v>
      </c>
      <c r="BD221" t="s">
        <v>74</v>
      </c>
      <c r="BE221" t="s">
        <v>3908</v>
      </c>
      <c r="BF221" t="str">
        <f>HYPERLINK("http://dx.doi.org/10.1080/09712119.2023.2185625","http://dx.doi.org/10.1080/09712119.2023.2185625")</f>
        <v>http://dx.doi.org/10.1080/09712119.2023.2185625</v>
      </c>
      <c r="BG221" t="s">
        <v>74</v>
      </c>
      <c r="BH221" t="s">
        <v>74</v>
      </c>
      <c r="BI221">
        <v>14</v>
      </c>
      <c r="BJ221" t="s">
        <v>2516</v>
      </c>
      <c r="BK221" t="s">
        <v>102</v>
      </c>
      <c r="BL221" t="s">
        <v>2517</v>
      </c>
      <c r="BM221" t="s">
        <v>3909</v>
      </c>
      <c r="BN221" t="s">
        <v>74</v>
      </c>
      <c r="BO221" t="s">
        <v>126</v>
      </c>
      <c r="BP221" t="s">
        <v>74</v>
      </c>
      <c r="BQ221" t="s">
        <v>74</v>
      </c>
      <c r="BR221" t="s">
        <v>105</v>
      </c>
      <c r="BS221" t="s">
        <v>3910</v>
      </c>
      <c r="BT221" t="str">
        <f>HYPERLINK("https%3A%2F%2Fwww.webofscience.com%2Fwos%2Fwoscc%2Ffull-record%2FWOS:000951560900001","View Full Record in Web of Science")</f>
        <v>View Full Record in Web of Science</v>
      </c>
    </row>
    <row r="222" spans="1:72" x14ac:dyDescent="0.15">
      <c r="A222" t="s">
        <v>72</v>
      </c>
      <c r="B222" t="s">
        <v>3911</v>
      </c>
      <c r="C222" t="s">
        <v>74</v>
      </c>
      <c r="D222" t="s">
        <v>74</v>
      </c>
      <c r="E222" t="s">
        <v>74</v>
      </c>
      <c r="F222" t="s">
        <v>3912</v>
      </c>
      <c r="G222" t="s">
        <v>74</v>
      </c>
      <c r="H222" t="s">
        <v>74</v>
      </c>
      <c r="I222" t="s">
        <v>3913</v>
      </c>
      <c r="J222" t="s">
        <v>2300</v>
      </c>
      <c r="K222" t="s">
        <v>74</v>
      </c>
      <c r="L222" t="s">
        <v>74</v>
      </c>
      <c r="M222" t="s">
        <v>78</v>
      </c>
      <c r="N222" t="s">
        <v>79</v>
      </c>
      <c r="O222" t="s">
        <v>74</v>
      </c>
      <c r="P222" t="s">
        <v>74</v>
      </c>
      <c r="Q222" t="s">
        <v>74</v>
      </c>
      <c r="R222" t="s">
        <v>74</v>
      </c>
      <c r="S222" t="s">
        <v>74</v>
      </c>
      <c r="T222" t="s">
        <v>3914</v>
      </c>
      <c r="U222" t="s">
        <v>3915</v>
      </c>
      <c r="V222" t="s">
        <v>3916</v>
      </c>
      <c r="W222" t="s">
        <v>3917</v>
      </c>
      <c r="X222" t="s">
        <v>3918</v>
      </c>
      <c r="Y222" t="s">
        <v>3919</v>
      </c>
      <c r="Z222" t="s">
        <v>3920</v>
      </c>
      <c r="AA222" t="s">
        <v>3921</v>
      </c>
      <c r="AB222" t="s">
        <v>3922</v>
      </c>
      <c r="AC222" t="s">
        <v>74</v>
      </c>
      <c r="AD222" t="s">
        <v>74</v>
      </c>
      <c r="AE222" t="s">
        <v>74</v>
      </c>
      <c r="AF222" t="s">
        <v>74</v>
      </c>
      <c r="AG222">
        <v>68</v>
      </c>
      <c r="AH222">
        <v>1</v>
      </c>
      <c r="AI222">
        <v>1</v>
      </c>
      <c r="AJ222">
        <v>3</v>
      </c>
      <c r="AK222">
        <v>11</v>
      </c>
      <c r="AL222" t="s">
        <v>92</v>
      </c>
      <c r="AM222" t="s">
        <v>93</v>
      </c>
      <c r="AN222" t="s">
        <v>94</v>
      </c>
      <c r="AO222" t="s">
        <v>74</v>
      </c>
      <c r="AP222" t="s">
        <v>2313</v>
      </c>
      <c r="AQ222" t="s">
        <v>74</v>
      </c>
      <c r="AR222" t="s">
        <v>2314</v>
      </c>
      <c r="AS222" t="s">
        <v>2315</v>
      </c>
      <c r="AT222" t="s">
        <v>99</v>
      </c>
      <c r="AU222">
        <v>2023</v>
      </c>
      <c r="AV222">
        <v>56</v>
      </c>
      <c r="AW222">
        <v>1</v>
      </c>
      <c r="AX222" t="s">
        <v>74</v>
      </c>
      <c r="AY222" t="s">
        <v>74</v>
      </c>
      <c r="AZ222" t="s">
        <v>74</v>
      </c>
      <c r="BA222" t="s">
        <v>74</v>
      </c>
      <c r="BB222">
        <v>100</v>
      </c>
      <c r="BC222">
        <v>114</v>
      </c>
      <c r="BD222" t="s">
        <v>74</v>
      </c>
      <c r="BE222" t="s">
        <v>3923</v>
      </c>
      <c r="BF222" t="str">
        <f>HYPERLINK("http://dx.doi.org/10.1080/22797254.2022.2161070","http://dx.doi.org/10.1080/22797254.2022.2161070")</f>
        <v>http://dx.doi.org/10.1080/22797254.2022.2161070</v>
      </c>
      <c r="BG222" t="s">
        <v>74</v>
      </c>
      <c r="BH222" t="s">
        <v>74</v>
      </c>
      <c r="BI222">
        <v>15</v>
      </c>
      <c r="BJ222" t="s">
        <v>2317</v>
      </c>
      <c r="BK222" t="s">
        <v>102</v>
      </c>
      <c r="BL222" t="s">
        <v>2317</v>
      </c>
      <c r="BM222" t="s">
        <v>3924</v>
      </c>
      <c r="BN222" t="s">
        <v>74</v>
      </c>
      <c r="BO222" t="s">
        <v>126</v>
      </c>
      <c r="BP222" t="s">
        <v>74</v>
      </c>
      <c r="BQ222" t="s">
        <v>74</v>
      </c>
      <c r="BR222" t="s">
        <v>105</v>
      </c>
      <c r="BS222" t="s">
        <v>3925</v>
      </c>
      <c r="BT222" t="str">
        <f>HYPERLINK("https%3A%2F%2Fwww.webofscience.com%2Fwos%2Fwoscc%2Ffull-record%2FWOS:000907885300001","View Full Record in Web of Science")</f>
        <v>View Full Record in Web of Science</v>
      </c>
    </row>
    <row r="223" spans="1:72" x14ac:dyDescent="0.15">
      <c r="A223" t="s">
        <v>72</v>
      </c>
      <c r="B223" t="s">
        <v>3926</v>
      </c>
      <c r="C223" t="s">
        <v>74</v>
      </c>
      <c r="D223" t="s">
        <v>74</v>
      </c>
      <c r="E223" t="s">
        <v>74</v>
      </c>
      <c r="F223" t="s">
        <v>3927</v>
      </c>
      <c r="G223" t="s">
        <v>74</v>
      </c>
      <c r="H223" t="s">
        <v>74</v>
      </c>
      <c r="I223" t="s">
        <v>3928</v>
      </c>
      <c r="J223" t="s">
        <v>524</v>
      </c>
      <c r="K223" t="s">
        <v>74</v>
      </c>
      <c r="L223" t="s">
        <v>74</v>
      </c>
      <c r="M223" t="s">
        <v>78</v>
      </c>
      <c r="N223" t="s">
        <v>79</v>
      </c>
      <c r="O223" t="s">
        <v>74</v>
      </c>
      <c r="P223" t="s">
        <v>74</v>
      </c>
      <c r="Q223" t="s">
        <v>74</v>
      </c>
      <c r="R223" t="s">
        <v>74</v>
      </c>
      <c r="S223" t="s">
        <v>74</v>
      </c>
      <c r="T223" t="s">
        <v>3929</v>
      </c>
      <c r="U223" t="s">
        <v>3930</v>
      </c>
      <c r="V223" t="s">
        <v>3931</v>
      </c>
      <c r="W223" t="s">
        <v>3932</v>
      </c>
      <c r="X223" t="s">
        <v>3933</v>
      </c>
      <c r="Y223" t="s">
        <v>3934</v>
      </c>
      <c r="Z223" t="s">
        <v>3935</v>
      </c>
      <c r="AA223" t="s">
        <v>3936</v>
      </c>
      <c r="AB223" t="s">
        <v>3937</v>
      </c>
      <c r="AC223" t="s">
        <v>3938</v>
      </c>
      <c r="AD223" t="s">
        <v>3939</v>
      </c>
      <c r="AE223" t="s">
        <v>3940</v>
      </c>
      <c r="AF223" t="s">
        <v>74</v>
      </c>
      <c r="AG223">
        <v>84</v>
      </c>
      <c r="AH223">
        <v>1</v>
      </c>
      <c r="AI223">
        <v>1</v>
      </c>
      <c r="AJ223">
        <v>29</v>
      </c>
      <c r="AK223">
        <v>29</v>
      </c>
      <c r="AL223" t="s">
        <v>92</v>
      </c>
      <c r="AM223" t="s">
        <v>93</v>
      </c>
      <c r="AN223" t="s">
        <v>94</v>
      </c>
      <c r="AO223" t="s">
        <v>537</v>
      </c>
      <c r="AP223" t="s">
        <v>538</v>
      </c>
      <c r="AQ223" t="s">
        <v>74</v>
      </c>
      <c r="AR223" t="s">
        <v>539</v>
      </c>
      <c r="AS223" t="s">
        <v>540</v>
      </c>
      <c r="AT223" t="s">
        <v>99</v>
      </c>
      <c r="AU223">
        <v>2023</v>
      </c>
      <c r="AV223">
        <v>16</v>
      </c>
      <c r="AW223">
        <v>1</v>
      </c>
      <c r="AX223" t="s">
        <v>74</v>
      </c>
      <c r="AY223" t="s">
        <v>74</v>
      </c>
      <c r="AZ223" t="s">
        <v>74</v>
      </c>
      <c r="BA223" t="s">
        <v>74</v>
      </c>
      <c r="BB223">
        <v>1853</v>
      </c>
      <c r="BC223">
        <v>1884</v>
      </c>
      <c r="BD223" t="s">
        <v>74</v>
      </c>
      <c r="BE223" t="s">
        <v>3941</v>
      </c>
      <c r="BF223" t="str">
        <f>HYPERLINK("http://dx.doi.org/10.1080/17538947.2023.2212918","http://dx.doi.org/10.1080/17538947.2023.2212918")</f>
        <v>http://dx.doi.org/10.1080/17538947.2023.2212918</v>
      </c>
      <c r="BG223" t="s">
        <v>74</v>
      </c>
      <c r="BH223" t="s">
        <v>74</v>
      </c>
      <c r="BI223">
        <v>32</v>
      </c>
      <c r="BJ223" t="s">
        <v>542</v>
      </c>
      <c r="BK223" t="s">
        <v>102</v>
      </c>
      <c r="BL223" t="s">
        <v>543</v>
      </c>
      <c r="BM223" t="s">
        <v>3942</v>
      </c>
      <c r="BN223" t="s">
        <v>74</v>
      </c>
      <c r="BO223" t="s">
        <v>126</v>
      </c>
      <c r="BP223" t="s">
        <v>74</v>
      </c>
      <c r="BQ223" t="s">
        <v>74</v>
      </c>
      <c r="BR223" t="s">
        <v>105</v>
      </c>
      <c r="BS223" t="s">
        <v>3943</v>
      </c>
      <c r="BT223" t="str">
        <f>HYPERLINK("https%3A%2F%2Fwww.webofscience.com%2Fwos%2Fwoscc%2Ffull-record%2FWOS:000993238500001","View Full Record in Web of Science")</f>
        <v>View Full Record in Web of Science</v>
      </c>
    </row>
    <row r="224" spans="1:72" x14ac:dyDescent="0.15">
      <c r="A224" t="s">
        <v>72</v>
      </c>
      <c r="B224" t="s">
        <v>3944</v>
      </c>
      <c r="C224" t="s">
        <v>74</v>
      </c>
      <c r="D224" t="s">
        <v>74</v>
      </c>
      <c r="E224" t="s">
        <v>74</v>
      </c>
      <c r="F224" t="s">
        <v>3945</v>
      </c>
      <c r="G224" t="s">
        <v>74</v>
      </c>
      <c r="H224" t="s">
        <v>74</v>
      </c>
      <c r="I224" t="s">
        <v>3946</v>
      </c>
      <c r="J224" t="s">
        <v>871</v>
      </c>
      <c r="K224" t="s">
        <v>74</v>
      </c>
      <c r="L224" t="s">
        <v>74</v>
      </c>
      <c r="M224" t="s">
        <v>78</v>
      </c>
      <c r="N224" t="s">
        <v>79</v>
      </c>
      <c r="O224" t="s">
        <v>74</v>
      </c>
      <c r="P224" t="s">
        <v>74</v>
      </c>
      <c r="Q224" t="s">
        <v>74</v>
      </c>
      <c r="R224" t="s">
        <v>74</v>
      </c>
      <c r="S224" t="s">
        <v>74</v>
      </c>
      <c r="T224" t="s">
        <v>3947</v>
      </c>
      <c r="U224" t="s">
        <v>3948</v>
      </c>
      <c r="V224" t="s">
        <v>3949</v>
      </c>
      <c r="W224" t="s">
        <v>3950</v>
      </c>
      <c r="X224" t="s">
        <v>3951</v>
      </c>
      <c r="Y224" t="s">
        <v>3952</v>
      </c>
      <c r="Z224" t="s">
        <v>3953</v>
      </c>
      <c r="AA224" t="s">
        <v>74</v>
      </c>
      <c r="AB224" t="s">
        <v>3954</v>
      </c>
      <c r="AC224" t="s">
        <v>74</v>
      </c>
      <c r="AD224" t="s">
        <v>74</v>
      </c>
      <c r="AE224" t="s">
        <v>74</v>
      </c>
      <c r="AF224" t="s">
        <v>74</v>
      </c>
      <c r="AG224">
        <v>41</v>
      </c>
      <c r="AH224">
        <v>1</v>
      </c>
      <c r="AI224">
        <v>1</v>
      </c>
      <c r="AJ224">
        <v>0</v>
      </c>
      <c r="AK224">
        <v>1</v>
      </c>
      <c r="AL224" t="s">
        <v>92</v>
      </c>
      <c r="AM224" t="s">
        <v>93</v>
      </c>
      <c r="AN224" t="s">
        <v>94</v>
      </c>
      <c r="AO224" t="s">
        <v>880</v>
      </c>
      <c r="AP224" t="s">
        <v>881</v>
      </c>
      <c r="AQ224" t="s">
        <v>74</v>
      </c>
      <c r="AR224" t="s">
        <v>882</v>
      </c>
      <c r="AS224" t="s">
        <v>883</v>
      </c>
      <c r="AT224" t="s">
        <v>99</v>
      </c>
      <c r="AU224">
        <v>2023</v>
      </c>
      <c r="AV224">
        <v>36</v>
      </c>
      <c r="AW224">
        <v>1</v>
      </c>
      <c r="AX224" t="s">
        <v>74</v>
      </c>
      <c r="AY224" t="s">
        <v>74</v>
      </c>
      <c r="AZ224" t="s">
        <v>74</v>
      </c>
      <c r="BA224" t="s">
        <v>74</v>
      </c>
      <c r="BB224" t="s">
        <v>74</v>
      </c>
      <c r="BC224" t="s">
        <v>74</v>
      </c>
      <c r="BD224">
        <v>2175659</v>
      </c>
      <c r="BE224" t="s">
        <v>3955</v>
      </c>
      <c r="BF224" t="str">
        <f>HYPERLINK("http://dx.doi.org/10.1080/14767058.2023.2175659","http://dx.doi.org/10.1080/14767058.2023.2175659")</f>
        <v>http://dx.doi.org/10.1080/14767058.2023.2175659</v>
      </c>
      <c r="BG224" t="s">
        <v>74</v>
      </c>
      <c r="BH224" t="s">
        <v>74</v>
      </c>
      <c r="BI224">
        <v>8</v>
      </c>
      <c r="BJ224" t="s">
        <v>885</v>
      </c>
      <c r="BK224" t="s">
        <v>102</v>
      </c>
      <c r="BL224" t="s">
        <v>885</v>
      </c>
      <c r="BM224" t="s">
        <v>3956</v>
      </c>
      <c r="BN224">
        <v>36755441</v>
      </c>
      <c r="BO224" t="s">
        <v>887</v>
      </c>
      <c r="BP224" t="s">
        <v>74</v>
      </c>
      <c r="BQ224" t="s">
        <v>74</v>
      </c>
      <c r="BR224" t="s">
        <v>105</v>
      </c>
      <c r="BS224" t="s">
        <v>3957</v>
      </c>
      <c r="BT224" t="str">
        <f>HYPERLINK("https%3A%2F%2Fwww.webofscience.com%2Fwos%2Fwoscc%2Ffull-record%2FWOS:000928850300001","View Full Record in Web of Science")</f>
        <v>View Full Record in Web of Science</v>
      </c>
    </row>
    <row r="225" spans="1:72" x14ac:dyDescent="0.15">
      <c r="A225" t="s">
        <v>72</v>
      </c>
      <c r="B225" t="s">
        <v>3958</v>
      </c>
      <c r="C225" t="s">
        <v>74</v>
      </c>
      <c r="D225" t="s">
        <v>74</v>
      </c>
      <c r="E225" t="s">
        <v>74</v>
      </c>
      <c r="F225" t="s">
        <v>3959</v>
      </c>
      <c r="G225" t="s">
        <v>74</v>
      </c>
      <c r="H225" t="s">
        <v>74</v>
      </c>
      <c r="I225" t="s">
        <v>3960</v>
      </c>
      <c r="J225" t="s">
        <v>3961</v>
      </c>
      <c r="K225" t="s">
        <v>74</v>
      </c>
      <c r="L225" t="s">
        <v>74</v>
      </c>
      <c r="M225" t="s">
        <v>78</v>
      </c>
      <c r="N225" t="s">
        <v>79</v>
      </c>
      <c r="O225" t="s">
        <v>74</v>
      </c>
      <c r="P225" t="s">
        <v>74</v>
      </c>
      <c r="Q225" t="s">
        <v>74</v>
      </c>
      <c r="R225" t="s">
        <v>74</v>
      </c>
      <c r="S225" t="s">
        <v>74</v>
      </c>
      <c r="T225" t="s">
        <v>3962</v>
      </c>
      <c r="U225" t="s">
        <v>3963</v>
      </c>
      <c r="V225" t="s">
        <v>3964</v>
      </c>
      <c r="W225" t="s">
        <v>3965</v>
      </c>
      <c r="X225" t="s">
        <v>3966</v>
      </c>
      <c r="Y225" t="s">
        <v>3967</v>
      </c>
      <c r="Z225" t="s">
        <v>3968</v>
      </c>
      <c r="AA225" t="s">
        <v>3969</v>
      </c>
      <c r="AB225" t="s">
        <v>3970</v>
      </c>
      <c r="AC225" t="s">
        <v>74</v>
      </c>
      <c r="AD225" t="s">
        <v>74</v>
      </c>
      <c r="AE225" t="s">
        <v>74</v>
      </c>
      <c r="AF225" t="s">
        <v>74</v>
      </c>
      <c r="AG225">
        <v>40</v>
      </c>
      <c r="AH225">
        <v>1</v>
      </c>
      <c r="AI225">
        <v>1</v>
      </c>
      <c r="AJ225">
        <v>17</v>
      </c>
      <c r="AK225">
        <v>29</v>
      </c>
      <c r="AL225" t="s">
        <v>184</v>
      </c>
      <c r="AM225" t="s">
        <v>185</v>
      </c>
      <c r="AN225" t="s">
        <v>186</v>
      </c>
      <c r="AO225" t="s">
        <v>3971</v>
      </c>
      <c r="AP225" t="s">
        <v>3972</v>
      </c>
      <c r="AQ225" t="s">
        <v>74</v>
      </c>
      <c r="AR225" t="s">
        <v>3973</v>
      </c>
      <c r="AS225" t="s">
        <v>3974</v>
      </c>
      <c r="AT225" t="s">
        <v>99</v>
      </c>
      <c r="AU225">
        <v>2023</v>
      </c>
      <c r="AV225">
        <v>18</v>
      </c>
      <c r="AW225">
        <v>1</v>
      </c>
      <c r="AX225" t="s">
        <v>74</v>
      </c>
      <c r="AY225" t="s">
        <v>74</v>
      </c>
      <c r="AZ225" t="s">
        <v>74</v>
      </c>
      <c r="BA225" t="s">
        <v>74</v>
      </c>
      <c r="BB225" t="s">
        <v>74</v>
      </c>
      <c r="BC225" t="s">
        <v>74</v>
      </c>
      <c r="BD225">
        <v>2165738</v>
      </c>
      <c r="BE225" t="s">
        <v>3975</v>
      </c>
      <c r="BF225" t="str">
        <f>HYPERLINK("http://dx.doi.org/10.1080/15567249.2023.2165738","http://dx.doi.org/10.1080/15567249.2023.2165738")</f>
        <v>http://dx.doi.org/10.1080/15567249.2023.2165738</v>
      </c>
      <c r="BG225" t="s">
        <v>74</v>
      </c>
      <c r="BH225" t="s">
        <v>74</v>
      </c>
      <c r="BI225">
        <v>22</v>
      </c>
      <c r="BJ225" t="s">
        <v>3976</v>
      </c>
      <c r="BK225" t="s">
        <v>102</v>
      </c>
      <c r="BL225" t="s">
        <v>3976</v>
      </c>
      <c r="BM225" t="s">
        <v>3977</v>
      </c>
      <c r="BN225" t="s">
        <v>74</v>
      </c>
      <c r="BO225" t="s">
        <v>74</v>
      </c>
      <c r="BP225" t="s">
        <v>74</v>
      </c>
      <c r="BQ225" t="s">
        <v>74</v>
      </c>
      <c r="BR225" t="s">
        <v>105</v>
      </c>
      <c r="BS225" t="s">
        <v>3978</v>
      </c>
      <c r="BT225" t="str">
        <f>HYPERLINK("https%3A%2F%2Fwww.webofscience.com%2Fwos%2Fwoscc%2Ffull-record%2FWOS:000919897900001","View Full Record in Web of Science")</f>
        <v>View Full Record in Web of Science</v>
      </c>
    </row>
    <row r="226" spans="1:72" x14ac:dyDescent="0.15">
      <c r="A226" t="s">
        <v>72</v>
      </c>
      <c r="B226" t="s">
        <v>3979</v>
      </c>
      <c r="C226" t="s">
        <v>74</v>
      </c>
      <c r="D226" t="s">
        <v>74</v>
      </c>
      <c r="E226" t="s">
        <v>74</v>
      </c>
      <c r="F226" t="s">
        <v>3980</v>
      </c>
      <c r="G226" t="s">
        <v>74</v>
      </c>
      <c r="H226" t="s">
        <v>74</v>
      </c>
      <c r="I226" t="s">
        <v>3981</v>
      </c>
      <c r="J226" t="s">
        <v>2191</v>
      </c>
      <c r="K226" t="s">
        <v>74</v>
      </c>
      <c r="L226" t="s">
        <v>74</v>
      </c>
      <c r="M226" t="s">
        <v>78</v>
      </c>
      <c r="N226" t="s">
        <v>79</v>
      </c>
      <c r="O226" t="s">
        <v>74</v>
      </c>
      <c r="P226" t="s">
        <v>74</v>
      </c>
      <c r="Q226" t="s">
        <v>74</v>
      </c>
      <c r="R226" t="s">
        <v>74</v>
      </c>
      <c r="S226" t="s">
        <v>74</v>
      </c>
      <c r="T226" t="s">
        <v>3982</v>
      </c>
      <c r="U226" t="s">
        <v>3983</v>
      </c>
      <c r="V226" t="s">
        <v>3984</v>
      </c>
      <c r="W226" t="s">
        <v>3985</v>
      </c>
      <c r="X226" t="s">
        <v>3986</v>
      </c>
      <c r="Y226" t="s">
        <v>3987</v>
      </c>
      <c r="Z226" t="s">
        <v>3988</v>
      </c>
      <c r="AA226" t="s">
        <v>74</v>
      </c>
      <c r="AB226" t="s">
        <v>74</v>
      </c>
      <c r="AC226" t="s">
        <v>74</v>
      </c>
      <c r="AD226" t="s">
        <v>74</v>
      </c>
      <c r="AE226" t="s">
        <v>74</v>
      </c>
      <c r="AF226" t="s">
        <v>74</v>
      </c>
      <c r="AG226">
        <v>32</v>
      </c>
      <c r="AH226">
        <v>0</v>
      </c>
      <c r="AI226">
        <v>0</v>
      </c>
      <c r="AJ226">
        <v>4</v>
      </c>
      <c r="AK226">
        <v>4</v>
      </c>
      <c r="AL226" t="s">
        <v>184</v>
      </c>
      <c r="AM226" t="s">
        <v>185</v>
      </c>
      <c r="AN226" t="s">
        <v>186</v>
      </c>
      <c r="AO226" t="s">
        <v>2202</v>
      </c>
      <c r="AP226" t="s">
        <v>74</v>
      </c>
      <c r="AQ226" t="s">
        <v>74</v>
      </c>
      <c r="AR226" t="s">
        <v>2191</v>
      </c>
      <c r="AS226" t="s">
        <v>2203</v>
      </c>
      <c r="AT226" t="s">
        <v>99</v>
      </c>
      <c r="AU226">
        <v>2023</v>
      </c>
      <c r="AV226">
        <v>12</v>
      </c>
      <c r="AW226">
        <v>1</v>
      </c>
      <c r="AX226" t="s">
        <v>74</v>
      </c>
      <c r="AY226" t="s">
        <v>74</v>
      </c>
      <c r="AZ226" t="s">
        <v>74</v>
      </c>
      <c r="BA226" t="s">
        <v>74</v>
      </c>
      <c r="BB226" t="s">
        <v>74</v>
      </c>
      <c r="BC226" t="s">
        <v>74</v>
      </c>
      <c r="BD226">
        <v>2238506</v>
      </c>
      <c r="BE226" t="s">
        <v>3989</v>
      </c>
      <c r="BF226" t="str">
        <f>HYPERLINK("http://dx.doi.org/10.1080/2162402X.2023.2238506","http://dx.doi.org/10.1080/2162402X.2023.2238506")</f>
        <v>http://dx.doi.org/10.1080/2162402X.2023.2238506</v>
      </c>
      <c r="BG226" t="s">
        <v>74</v>
      </c>
      <c r="BH226" t="s">
        <v>74</v>
      </c>
      <c r="BI226">
        <v>9</v>
      </c>
      <c r="BJ226" t="s">
        <v>2205</v>
      </c>
      <c r="BK226" t="s">
        <v>102</v>
      </c>
      <c r="BL226" t="s">
        <v>2205</v>
      </c>
      <c r="BM226" t="s">
        <v>3990</v>
      </c>
      <c r="BN226">
        <v>37485033</v>
      </c>
      <c r="BO226" t="s">
        <v>104</v>
      </c>
      <c r="BP226" t="s">
        <v>74</v>
      </c>
      <c r="BQ226" t="s">
        <v>74</v>
      </c>
      <c r="BR226" t="s">
        <v>105</v>
      </c>
      <c r="BS226" t="s">
        <v>3991</v>
      </c>
      <c r="BT226" t="str">
        <f>HYPERLINK("https%3A%2F%2Fwww.webofscience.com%2Fwos%2Fwoscc%2Ffull-record%2FWOS:001029625500001","View Full Record in Web of Science")</f>
        <v>View Full Record in Web of Science</v>
      </c>
    </row>
    <row r="227" spans="1:72" x14ac:dyDescent="0.15">
      <c r="A227" t="s">
        <v>72</v>
      </c>
      <c r="B227" t="s">
        <v>3992</v>
      </c>
      <c r="C227" t="s">
        <v>74</v>
      </c>
      <c r="D227" t="s">
        <v>74</v>
      </c>
      <c r="E227" t="s">
        <v>74</v>
      </c>
      <c r="F227" t="s">
        <v>3993</v>
      </c>
      <c r="G227" t="s">
        <v>74</v>
      </c>
      <c r="H227" t="s">
        <v>74</v>
      </c>
      <c r="I227" t="s">
        <v>3994</v>
      </c>
      <c r="J227" t="s">
        <v>3131</v>
      </c>
      <c r="K227" t="s">
        <v>74</v>
      </c>
      <c r="L227" t="s">
        <v>74</v>
      </c>
      <c r="M227" t="s">
        <v>78</v>
      </c>
      <c r="N227" t="s">
        <v>79</v>
      </c>
      <c r="O227" t="s">
        <v>74</v>
      </c>
      <c r="P227" t="s">
        <v>74</v>
      </c>
      <c r="Q227" t="s">
        <v>74</v>
      </c>
      <c r="R227" t="s">
        <v>74</v>
      </c>
      <c r="S227" t="s">
        <v>74</v>
      </c>
      <c r="T227" t="s">
        <v>3995</v>
      </c>
      <c r="U227" t="s">
        <v>3996</v>
      </c>
      <c r="V227" t="s">
        <v>3997</v>
      </c>
      <c r="W227" t="s">
        <v>3998</v>
      </c>
      <c r="X227" t="s">
        <v>3999</v>
      </c>
      <c r="Y227" t="s">
        <v>4000</v>
      </c>
      <c r="Z227" t="s">
        <v>4001</v>
      </c>
      <c r="AA227" t="s">
        <v>74</v>
      </c>
      <c r="AB227" t="s">
        <v>4002</v>
      </c>
      <c r="AC227" t="s">
        <v>74</v>
      </c>
      <c r="AD227" t="s">
        <v>74</v>
      </c>
      <c r="AE227" t="s">
        <v>74</v>
      </c>
      <c r="AF227" t="s">
        <v>74</v>
      </c>
      <c r="AG227">
        <v>24</v>
      </c>
      <c r="AH227">
        <v>1</v>
      </c>
      <c r="AI227">
        <v>1</v>
      </c>
      <c r="AJ227">
        <v>3</v>
      </c>
      <c r="AK227">
        <v>4</v>
      </c>
      <c r="AL227" t="s">
        <v>92</v>
      </c>
      <c r="AM227" t="s">
        <v>93</v>
      </c>
      <c r="AN227" t="s">
        <v>94</v>
      </c>
      <c r="AO227" t="s">
        <v>3142</v>
      </c>
      <c r="AP227" t="s">
        <v>3143</v>
      </c>
      <c r="AQ227" t="s">
        <v>74</v>
      </c>
      <c r="AR227" t="s">
        <v>3144</v>
      </c>
      <c r="AS227" t="s">
        <v>3145</v>
      </c>
      <c r="AT227" t="s">
        <v>99</v>
      </c>
      <c r="AU227">
        <v>2023</v>
      </c>
      <c r="AV227">
        <v>16</v>
      </c>
      <c r="AW227">
        <v>1</v>
      </c>
      <c r="AX227" t="s">
        <v>74</v>
      </c>
      <c r="AY227" t="s">
        <v>74</v>
      </c>
      <c r="AZ227" t="s">
        <v>74</v>
      </c>
      <c r="BA227" t="s">
        <v>74</v>
      </c>
      <c r="BB227">
        <v>1</v>
      </c>
      <c r="BC227">
        <v>10</v>
      </c>
      <c r="BD227" t="s">
        <v>74</v>
      </c>
      <c r="BE227" t="s">
        <v>4003</v>
      </c>
      <c r="BF227" t="str">
        <f>HYPERLINK("http://dx.doi.org/10.1080/19397038.2022.2159568","http://dx.doi.org/10.1080/19397038.2022.2159568")</f>
        <v>http://dx.doi.org/10.1080/19397038.2022.2159568</v>
      </c>
      <c r="BG227" t="s">
        <v>74</v>
      </c>
      <c r="BH227" t="s">
        <v>74</v>
      </c>
      <c r="BI227">
        <v>10</v>
      </c>
      <c r="BJ227" t="s">
        <v>3147</v>
      </c>
      <c r="BK227" t="s">
        <v>211</v>
      </c>
      <c r="BL227" t="s">
        <v>353</v>
      </c>
      <c r="BM227" t="s">
        <v>4004</v>
      </c>
      <c r="BN227" t="s">
        <v>74</v>
      </c>
      <c r="BO227" t="s">
        <v>126</v>
      </c>
      <c r="BP227" t="s">
        <v>74</v>
      </c>
      <c r="BQ227" t="s">
        <v>74</v>
      </c>
      <c r="BR227" t="s">
        <v>105</v>
      </c>
      <c r="BS227" t="s">
        <v>4005</v>
      </c>
      <c r="BT227" t="str">
        <f>HYPERLINK("https%3A%2F%2Fwww.webofscience.com%2Fwos%2Fwoscc%2Ffull-record%2FWOS:000900703300001","View Full Record in Web of Science")</f>
        <v>View Full Record in Web of Science</v>
      </c>
    </row>
    <row r="228" spans="1:72" x14ac:dyDescent="0.15">
      <c r="A228" t="s">
        <v>72</v>
      </c>
      <c r="B228" t="s">
        <v>4006</v>
      </c>
      <c r="C228" t="s">
        <v>74</v>
      </c>
      <c r="D228" t="s">
        <v>74</v>
      </c>
      <c r="E228" t="s">
        <v>74</v>
      </c>
      <c r="F228" t="s">
        <v>4007</v>
      </c>
      <c r="G228" t="s">
        <v>74</v>
      </c>
      <c r="H228" t="s">
        <v>74</v>
      </c>
      <c r="I228" t="s">
        <v>4008</v>
      </c>
      <c r="J228" t="s">
        <v>3347</v>
      </c>
      <c r="K228" t="s">
        <v>74</v>
      </c>
      <c r="L228" t="s">
        <v>74</v>
      </c>
      <c r="M228" t="s">
        <v>78</v>
      </c>
      <c r="N228" t="s">
        <v>79</v>
      </c>
      <c r="O228" t="s">
        <v>74</v>
      </c>
      <c r="P228" t="s">
        <v>74</v>
      </c>
      <c r="Q228" t="s">
        <v>74</v>
      </c>
      <c r="R228" t="s">
        <v>74</v>
      </c>
      <c r="S228" t="s">
        <v>74</v>
      </c>
      <c r="T228" t="s">
        <v>4009</v>
      </c>
      <c r="U228" t="s">
        <v>4010</v>
      </c>
      <c r="V228" t="s">
        <v>4011</v>
      </c>
      <c r="W228" t="s">
        <v>4012</v>
      </c>
      <c r="X228" t="s">
        <v>4013</v>
      </c>
      <c r="Y228" t="s">
        <v>4014</v>
      </c>
      <c r="Z228" t="s">
        <v>4015</v>
      </c>
      <c r="AA228" t="s">
        <v>74</v>
      </c>
      <c r="AB228" t="s">
        <v>4016</v>
      </c>
      <c r="AC228" t="s">
        <v>4017</v>
      </c>
      <c r="AD228" t="s">
        <v>4018</v>
      </c>
      <c r="AE228" t="s">
        <v>4019</v>
      </c>
      <c r="AF228" t="s">
        <v>74</v>
      </c>
      <c r="AG228">
        <v>83</v>
      </c>
      <c r="AH228">
        <v>0</v>
      </c>
      <c r="AI228">
        <v>0</v>
      </c>
      <c r="AJ228">
        <v>5</v>
      </c>
      <c r="AK228">
        <v>5</v>
      </c>
      <c r="AL228" t="s">
        <v>92</v>
      </c>
      <c r="AM228" t="s">
        <v>93</v>
      </c>
      <c r="AN228" t="s">
        <v>94</v>
      </c>
      <c r="AO228" t="s">
        <v>3359</v>
      </c>
      <c r="AP228" t="s">
        <v>3360</v>
      </c>
      <c r="AQ228" t="s">
        <v>74</v>
      </c>
      <c r="AR228" t="s">
        <v>3361</v>
      </c>
      <c r="AS228" t="s">
        <v>3362</v>
      </c>
      <c r="AT228" t="s">
        <v>99</v>
      </c>
      <c r="AU228">
        <v>2023</v>
      </c>
      <c r="AV228">
        <v>38</v>
      </c>
      <c r="AW228">
        <v>1</v>
      </c>
      <c r="AX228" t="s">
        <v>74</v>
      </c>
      <c r="AY228" t="s">
        <v>74</v>
      </c>
      <c r="AZ228" t="s">
        <v>74</v>
      </c>
      <c r="BA228" t="s">
        <v>74</v>
      </c>
      <c r="BB228" t="s">
        <v>74</v>
      </c>
      <c r="BC228" t="s">
        <v>74</v>
      </c>
      <c r="BD228">
        <v>2240283</v>
      </c>
      <c r="BE228" t="s">
        <v>4020</v>
      </c>
      <c r="BF228" t="str">
        <f>HYPERLINK("http://dx.doi.org/10.1080/10106049.2023.2240283","http://dx.doi.org/10.1080/10106049.2023.2240283")</f>
        <v>http://dx.doi.org/10.1080/10106049.2023.2240283</v>
      </c>
      <c r="BG228" t="s">
        <v>74</v>
      </c>
      <c r="BH228" t="s">
        <v>74</v>
      </c>
      <c r="BI228">
        <v>28</v>
      </c>
      <c r="BJ228" t="s">
        <v>3364</v>
      </c>
      <c r="BK228" t="s">
        <v>102</v>
      </c>
      <c r="BL228" t="s">
        <v>3365</v>
      </c>
      <c r="BM228" t="s">
        <v>4021</v>
      </c>
      <c r="BN228" t="s">
        <v>74</v>
      </c>
      <c r="BO228" t="s">
        <v>126</v>
      </c>
      <c r="BP228" t="s">
        <v>74</v>
      </c>
      <c r="BQ228" t="s">
        <v>74</v>
      </c>
      <c r="BR228" t="s">
        <v>105</v>
      </c>
      <c r="BS228" t="s">
        <v>4022</v>
      </c>
      <c r="BT228" t="str">
        <f>HYPERLINK("https%3A%2F%2Fwww.webofscience.com%2Fwos%2Fwoscc%2Ffull-record%2FWOS:001043468200001","View Full Record in Web of Science")</f>
        <v>View Full Record in Web of Science</v>
      </c>
    </row>
    <row r="229" spans="1:72" x14ac:dyDescent="0.15">
      <c r="A229" t="s">
        <v>72</v>
      </c>
      <c r="B229" t="s">
        <v>4023</v>
      </c>
      <c r="C229" t="s">
        <v>74</v>
      </c>
      <c r="D229" t="s">
        <v>74</v>
      </c>
      <c r="E229" t="s">
        <v>74</v>
      </c>
      <c r="F229" t="s">
        <v>4024</v>
      </c>
      <c r="G229" t="s">
        <v>74</v>
      </c>
      <c r="H229" t="s">
        <v>74</v>
      </c>
      <c r="I229" t="s">
        <v>4025</v>
      </c>
      <c r="J229" t="s">
        <v>1179</v>
      </c>
      <c r="K229" t="s">
        <v>74</v>
      </c>
      <c r="L229" t="s">
        <v>74</v>
      </c>
      <c r="M229" t="s">
        <v>78</v>
      </c>
      <c r="N229" t="s">
        <v>79</v>
      </c>
      <c r="O229" t="s">
        <v>74</v>
      </c>
      <c r="P229" t="s">
        <v>74</v>
      </c>
      <c r="Q229" t="s">
        <v>74</v>
      </c>
      <c r="R229" t="s">
        <v>74</v>
      </c>
      <c r="S229" t="s">
        <v>74</v>
      </c>
      <c r="T229" t="s">
        <v>4026</v>
      </c>
      <c r="U229" t="s">
        <v>4027</v>
      </c>
      <c r="V229" t="s">
        <v>4028</v>
      </c>
      <c r="W229" t="s">
        <v>4029</v>
      </c>
      <c r="X229" t="s">
        <v>4030</v>
      </c>
      <c r="Y229" t="s">
        <v>4031</v>
      </c>
      <c r="Z229" t="s">
        <v>4032</v>
      </c>
      <c r="AA229" t="s">
        <v>74</v>
      </c>
      <c r="AB229" t="s">
        <v>74</v>
      </c>
      <c r="AC229" t="s">
        <v>74</v>
      </c>
      <c r="AD229" t="s">
        <v>74</v>
      </c>
      <c r="AE229" t="s">
        <v>74</v>
      </c>
      <c r="AF229" t="s">
        <v>74</v>
      </c>
      <c r="AG229">
        <v>33</v>
      </c>
      <c r="AH229">
        <v>0</v>
      </c>
      <c r="AI229">
        <v>0</v>
      </c>
      <c r="AJ229">
        <v>0</v>
      </c>
      <c r="AK229">
        <v>0</v>
      </c>
      <c r="AL229" t="s">
        <v>1188</v>
      </c>
      <c r="AM229" t="s">
        <v>93</v>
      </c>
      <c r="AN229" t="s">
        <v>1189</v>
      </c>
      <c r="AO229" t="s">
        <v>1190</v>
      </c>
      <c r="AP229" t="s">
        <v>74</v>
      </c>
      <c r="AQ229" t="s">
        <v>74</v>
      </c>
      <c r="AR229" t="s">
        <v>1191</v>
      </c>
      <c r="AS229" t="s">
        <v>1192</v>
      </c>
      <c r="AT229" t="s">
        <v>99</v>
      </c>
      <c r="AU229">
        <v>2023</v>
      </c>
      <c r="AV229">
        <v>10</v>
      </c>
      <c r="AW229">
        <v>1</v>
      </c>
      <c r="AX229" t="s">
        <v>74</v>
      </c>
      <c r="AY229" t="s">
        <v>74</v>
      </c>
      <c r="AZ229" t="s">
        <v>74</v>
      </c>
      <c r="BA229" t="s">
        <v>74</v>
      </c>
      <c r="BB229">
        <v>750</v>
      </c>
      <c r="BC229">
        <v>762</v>
      </c>
      <c r="BD229" t="s">
        <v>74</v>
      </c>
      <c r="BE229" t="s">
        <v>4033</v>
      </c>
      <c r="BF229" t="str">
        <f>HYPERLINK("http://dx.doi.org/10.1080/21681376.2023.2241545","http://dx.doi.org/10.1080/21681376.2023.2241545")</f>
        <v>http://dx.doi.org/10.1080/21681376.2023.2241545</v>
      </c>
      <c r="BG229" t="s">
        <v>74</v>
      </c>
      <c r="BH229" t="s">
        <v>74</v>
      </c>
      <c r="BI229">
        <v>13</v>
      </c>
      <c r="BJ229" t="s">
        <v>1194</v>
      </c>
      <c r="BK229" t="s">
        <v>211</v>
      </c>
      <c r="BL229" t="s">
        <v>1194</v>
      </c>
      <c r="BM229" t="s">
        <v>4034</v>
      </c>
      <c r="BN229" t="s">
        <v>74</v>
      </c>
      <c r="BO229" t="s">
        <v>126</v>
      </c>
      <c r="BP229" t="s">
        <v>74</v>
      </c>
      <c r="BQ229" t="s">
        <v>74</v>
      </c>
      <c r="BR229" t="s">
        <v>105</v>
      </c>
      <c r="BS229" t="s">
        <v>4035</v>
      </c>
      <c r="BT229" t="str">
        <f>HYPERLINK("https%3A%2F%2Fwww.webofscience.com%2Fwos%2Fwoscc%2Ffull-record%2FWOS:001064847100001","View Full Record in Web of Science")</f>
        <v>View Full Record in Web of Science</v>
      </c>
    </row>
    <row r="230" spans="1:72" x14ac:dyDescent="0.15">
      <c r="A230" t="s">
        <v>72</v>
      </c>
      <c r="B230" t="s">
        <v>4036</v>
      </c>
      <c r="C230" t="s">
        <v>74</v>
      </c>
      <c r="D230" t="s">
        <v>74</v>
      </c>
      <c r="E230" t="s">
        <v>74</v>
      </c>
      <c r="F230" t="s">
        <v>4037</v>
      </c>
      <c r="G230" t="s">
        <v>74</v>
      </c>
      <c r="H230" t="s">
        <v>74</v>
      </c>
      <c r="I230" t="s">
        <v>4038</v>
      </c>
      <c r="J230" t="s">
        <v>379</v>
      </c>
      <c r="K230" t="s">
        <v>74</v>
      </c>
      <c r="L230" t="s">
        <v>74</v>
      </c>
      <c r="M230" t="s">
        <v>78</v>
      </c>
      <c r="N230" t="s">
        <v>79</v>
      </c>
      <c r="O230" t="s">
        <v>74</v>
      </c>
      <c r="P230" t="s">
        <v>74</v>
      </c>
      <c r="Q230" t="s">
        <v>74</v>
      </c>
      <c r="R230" t="s">
        <v>74</v>
      </c>
      <c r="S230" t="s">
        <v>74</v>
      </c>
      <c r="T230" t="s">
        <v>4039</v>
      </c>
      <c r="U230" t="s">
        <v>4040</v>
      </c>
      <c r="V230" t="s">
        <v>4041</v>
      </c>
      <c r="W230" t="s">
        <v>4042</v>
      </c>
      <c r="X230" t="s">
        <v>4043</v>
      </c>
      <c r="Y230" t="s">
        <v>4044</v>
      </c>
      <c r="Z230" t="s">
        <v>4045</v>
      </c>
      <c r="AA230" t="s">
        <v>4046</v>
      </c>
      <c r="AB230" t="s">
        <v>4047</v>
      </c>
      <c r="AC230" t="s">
        <v>74</v>
      </c>
      <c r="AD230" t="s">
        <v>74</v>
      </c>
      <c r="AE230" t="s">
        <v>74</v>
      </c>
      <c r="AF230" t="s">
        <v>74</v>
      </c>
      <c r="AG230">
        <v>32</v>
      </c>
      <c r="AH230">
        <v>0</v>
      </c>
      <c r="AI230">
        <v>0</v>
      </c>
      <c r="AJ230">
        <v>2</v>
      </c>
      <c r="AK230">
        <v>2</v>
      </c>
      <c r="AL230" t="s">
        <v>287</v>
      </c>
      <c r="AM230" t="s">
        <v>288</v>
      </c>
      <c r="AN230" t="s">
        <v>289</v>
      </c>
      <c r="AO230" t="s">
        <v>392</v>
      </c>
      <c r="AP230" t="s">
        <v>74</v>
      </c>
      <c r="AQ230" t="s">
        <v>74</v>
      </c>
      <c r="AR230" t="s">
        <v>393</v>
      </c>
      <c r="AS230" t="s">
        <v>394</v>
      </c>
      <c r="AT230" t="s">
        <v>99</v>
      </c>
      <c r="AU230">
        <v>2023</v>
      </c>
      <c r="AV230">
        <v>9</v>
      </c>
      <c r="AW230">
        <v>1</v>
      </c>
      <c r="AX230" t="s">
        <v>74</v>
      </c>
      <c r="AY230" t="s">
        <v>74</v>
      </c>
      <c r="AZ230" t="s">
        <v>74</v>
      </c>
      <c r="BA230" t="s">
        <v>74</v>
      </c>
      <c r="BB230" t="s">
        <v>74</v>
      </c>
      <c r="BC230" t="s">
        <v>74</v>
      </c>
      <c r="BD230">
        <v>2204633</v>
      </c>
      <c r="BE230" t="s">
        <v>4048</v>
      </c>
      <c r="BF230" t="str">
        <f>HYPERLINK("http://dx.doi.org/10.1080/23311886.2023.2204633","http://dx.doi.org/10.1080/23311886.2023.2204633")</f>
        <v>http://dx.doi.org/10.1080/23311886.2023.2204633</v>
      </c>
      <c r="BG230" t="s">
        <v>74</v>
      </c>
      <c r="BH230" t="s">
        <v>74</v>
      </c>
      <c r="BI230">
        <v>22</v>
      </c>
      <c r="BJ230" t="s">
        <v>396</v>
      </c>
      <c r="BK230" t="s">
        <v>211</v>
      </c>
      <c r="BL230" t="s">
        <v>397</v>
      </c>
      <c r="BM230" t="s">
        <v>4049</v>
      </c>
      <c r="BN230" t="s">
        <v>74</v>
      </c>
      <c r="BO230" t="s">
        <v>126</v>
      </c>
      <c r="BP230" t="s">
        <v>74</v>
      </c>
      <c r="BQ230" t="s">
        <v>74</v>
      </c>
      <c r="BR230" t="s">
        <v>105</v>
      </c>
      <c r="BS230" t="s">
        <v>4050</v>
      </c>
      <c r="BT230" t="str">
        <f>HYPERLINK("https%3A%2F%2Fwww.webofscience.com%2Fwos%2Fwoscc%2Ffull-record%2FWOS:000974661700001","View Full Record in Web of Science")</f>
        <v>View Full Record in Web of Science</v>
      </c>
    </row>
    <row r="231" spans="1:72" x14ac:dyDescent="0.15">
      <c r="A231" t="s">
        <v>72</v>
      </c>
      <c r="B231" t="s">
        <v>4051</v>
      </c>
      <c r="C231" t="s">
        <v>74</v>
      </c>
      <c r="D231" t="s">
        <v>74</v>
      </c>
      <c r="E231" t="s">
        <v>74</v>
      </c>
      <c r="F231" t="s">
        <v>4052</v>
      </c>
      <c r="G231" t="s">
        <v>74</v>
      </c>
      <c r="H231" t="s">
        <v>74</v>
      </c>
      <c r="I231" t="s">
        <v>4053</v>
      </c>
      <c r="J231" t="s">
        <v>1359</v>
      </c>
      <c r="K231" t="s">
        <v>74</v>
      </c>
      <c r="L231" t="s">
        <v>74</v>
      </c>
      <c r="M231" t="s">
        <v>78</v>
      </c>
      <c r="N231" t="s">
        <v>79</v>
      </c>
      <c r="O231" t="s">
        <v>74</v>
      </c>
      <c r="P231" t="s">
        <v>74</v>
      </c>
      <c r="Q231" t="s">
        <v>74</v>
      </c>
      <c r="R231" t="s">
        <v>74</v>
      </c>
      <c r="S231" t="s">
        <v>74</v>
      </c>
      <c r="T231" t="s">
        <v>4054</v>
      </c>
      <c r="U231" t="s">
        <v>4055</v>
      </c>
      <c r="V231" t="s">
        <v>4056</v>
      </c>
      <c r="W231" t="s">
        <v>4057</v>
      </c>
      <c r="X231" t="s">
        <v>4058</v>
      </c>
      <c r="Y231" t="s">
        <v>4059</v>
      </c>
      <c r="Z231" t="s">
        <v>4060</v>
      </c>
      <c r="AA231" t="s">
        <v>74</v>
      </c>
      <c r="AB231" t="s">
        <v>4061</v>
      </c>
      <c r="AC231" t="s">
        <v>4062</v>
      </c>
      <c r="AD231" t="s">
        <v>4062</v>
      </c>
      <c r="AE231" t="s">
        <v>4063</v>
      </c>
      <c r="AF231" t="s">
        <v>74</v>
      </c>
      <c r="AG231">
        <v>46</v>
      </c>
      <c r="AH231">
        <v>0</v>
      </c>
      <c r="AI231">
        <v>0</v>
      </c>
      <c r="AJ231">
        <v>0</v>
      </c>
      <c r="AK231">
        <v>0</v>
      </c>
      <c r="AL231" t="s">
        <v>92</v>
      </c>
      <c r="AM231" t="s">
        <v>93</v>
      </c>
      <c r="AN231" t="s">
        <v>94</v>
      </c>
      <c r="AO231" t="s">
        <v>1370</v>
      </c>
      <c r="AP231" t="s">
        <v>1371</v>
      </c>
      <c r="AQ231" t="s">
        <v>74</v>
      </c>
      <c r="AR231" t="s">
        <v>1372</v>
      </c>
      <c r="AS231" t="s">
        <v>1373</v>
      </c>
      <c r="AT231" t="s">
        <v>99</v>
      </c>
      <c r="AU231">
        <v>2023</v>
      </c>
      <c r="AV231">
        <v>40</v>
      </c>
      <c r="AW231">
        <v>1</v>
      </c>
      <c r="AX231" t="s">
        <v>74</v>
      </c>
      <c r="AY231" t="s">
        <v>74</v>
      </c>
      <c r="AZ231" t="s">
        <v>74</v>
      </c>
      <c r="BA231" t="s">
        <v>74</v>
      </c>
      <c r="BB231" t="s">
        <v>74</v>
      </c>
      <c r="BC231" t="s">
        <v>74</v>
      </c>
      <c r="BD231">
        <v>2234666</v>
      </c>
      <c r="BE231" t="s">
        <v>4064</v>
      </c>
      <c r="BF231" t="str">
        <f>HYPERLINK("http://dx.doi.org/10.1080/02656736.2023.2234666","http://dx.doi.org/10.1080/02656736.2023.2234666")</f>
        <v>http://dx.doi.org/10.1080/02656736.2023.2234666</v>
      </c>
      <c r="BG231" t="s">
        <v>74</v>
      </c>
      <c r="BH231" t="s">
        <v>74</v>
      </c>
      <c r="BI231">
        <v>10</v>
      </c>
      <c r="BJ231" t="s">
        <v>1375</v>
      </c>
      <c r="BK231" t="s">
        <v>102</v>
      </c>
      <c r="BL231" t="s">
        <v>1375</v>
      </c>
      <c r="BM231" t="s">
        <v>4065</v>
      </c>
      <c r="BN231">
        <v>37487574</v>
      </c>
      <c r="BO231" t="s">
        <v>126</v>
      </c>
      <c r="BP231" t="s">
        <v>74</v>
      </c>
      <c r="BQ231" t="s">
        <v>74</v>
      </c>
      <c r="BR231" t="s">
        <v>105</v>
      </c>
      <c r="BS231" t="s">
        <v>4066</v>
      </c>
      <c r="BT231" t="str">
        <f>HYPERLINK("https%3A%2F%2Fwww.webofscience.com%2Fwos%2Fwoscc%2Ffull-record%2FWOS:001034233500001","View Full Record in Web of Science")</f>
        <v>View Full Record in Web of Science</v>
      </c>
    </row>
    <row r="232" spans="1:72" x14ac:dyDescent="0.15">
      <c r="A232" t="s">
        <v>72</v>
      </c>
      <c r="B232" t="s">
        <v>4067</v>
      </c>
      <c r="C232" t="s">
        <v>74</v>
      </c>
      <c r="D232" t="s">
        <v>74</v>
      </c>
      <c r="E232" t="s">
        <v>74</v>
      </c>
      <c r="F232" t="s">
        <v>4068</v>
      </c>
      <c r="G232" t="s">
        <v>74</v>
      </c>
      <c r="H232" t="s">
        <v>74</v>
      </c>
      <c r="I232" t="s">
        <v>4069</v>
      </c>
      <c r="J232" t="s">
        <v>717</v>
      </c>
      <c r="K232" t="s">
        <v>74</v>
      </c>
      <c r="L232" t="s">
        <v>74</v>
      </c>
      <c r="M232" t="s">
        <v>78</v>
      </c>
      <c r="N232" t="s">
        <v>79</v>
      </c>
      <c r="O232" t="s">
        <v>74</v>
      </c>
      <c r="P232" t="s">
        <v>74</v>
      </c>
      <c r="Q232" t="s">
        <v>74</v>
      </c>
      <c r="R232" t="s">
        <v>74</v>
      </c>
      <c r="S232" t="s">
        <v>74</v>
      </c>
      <c r="T232" t="s">
        <v>4070</v>
      </c>
      <c r="U232" t="s">
        <v>74</v>
      </c>
      <c r="V232" t="s">
        <v>4071</v>
      </c>
      <c r="W232" t="s">
        <v>4072</v>
      </c>
      <c r="X232" t="s">
        <v>4073</v>
      </c>
      <c r="Y232" t="s">
        <v>4074</v>
      </c>
      <c r="Z232" t="s">
        <v>4075</v>
      </c>
      <c r="AA232" t="s">
        <v>4076</v>
      </c>
      <c r="AB232" t="s">
        <v>4077</v>
      </c>
      <c r="AC232" t="s">
        <v>74</v>
      </c>
      <c r="AD232" t="s">
        <v>74</v>
      </c>
      <c r="AE232" t="s">
        <v>74</v>
      </c>
      <c r="AF232" t="s">
        <v>74</v>
      </c>
      <c r="AG232">
        <v>27</v>
      </c>
      <c r="AH232">
        <v>0</v>
      </c>
      <c r="AI232">
        <v>0</v>
      </c>
      <c r="AJ232">
        <v>3</v>
      </c>
      <c r="AK232">
        <v>3</v>
      </c>
      <c r="AL232" t="s">
        <v>287</v>
      </c>
      <c r="AM232" t="s">
        <v>288</v>
      </c>
      <c r="AN232" t="s">
        <v>289</v>
      </c>
      <c r="AO232" t="s">
        <v>727</v>
      </c>
      <c r="AP232" t="s">
        <v>74</v>
      </c>
      <c r="AQ232" t="s">
        <v>74</v>
      </c>
      <c r="AR232" t="s">
        <v>728</v>
      </c>
      <c r="AS232" t="s">
        <v>729</v>
      </c>
      <c r="AT232" t="s">
        <v>99</v>
      </c>
      <c r="AU232">
        <v>2023</v>
      </c>
      <c r="AV232">
        <v>10</v>
      </c>
      <c r="AW232">
        <v>1</v>
      </c>
      <c r="AX232" t="s">
        <v>74</v>
      </c>
      <c r="AY232" t="s">
        <v>74</v>
      </c>
      <c r="AZ232" t="s">
        <v>74</v>
      </c>
      <c r="BA232" t="s">
        <v>74</v>
      </c>
      <c r="BB232" t="s">
        <v>74</v>
      </c>
      <c r="BC232" t="s">
        <v>74</v>
      </c>
      <c r="BD232">
        <v>2218154</v>
      </c>
      <c r="BE232" t="s">
        <v>4078</v>
      </c>
      <c r="BF232" t="str">
        <f>HYPERLINK("http://dx.doi.org/10.1080/2331186X.2023.2218154","http://dx.doi.org/10.1080/2331186X.2023.2218154")</f>
        <v>http://dx.doi.org/10.1080/2331186X.2023.2218154</v>
      </c>
      <c r="BG232" t="s">
        <v>74</v>
      </c>
      <c r="BH232" t="s">
        <v>74</v>
      </c>
      <c r="BI232">
        <v>11</v>
      </c>
      <c r="BJ232" t="s">
        <v>271</v>
      </c>
      <c r="BK232" t="s">
        <v>211</v>
      </c>
      <c r="BL232" t="s">
        <v>271</v>
      </c>
      <c r="BM232" t="s">
        <v>4079</v>
      </c>
      <c r="BN232" t="s">
        <v>74</v>
      </c>
      <c r="BO232" t="s">
        <v>126</v>
      </c>
      <c r="BP232" t="s">
        <v>74</v>
      </c>
      <c r="BQ232" t="s">
        <v>74</v>
      </c>
      <c r="BR232" t="s">
        <v>105</v>
      </c>
      <c r="BS232" t="s">
        <v>4080</v>
      </c>
      <c r="BT232" t="str">
        <f>HYPERLINK("https%3A%2F%2Fwww.webofscience.com%2Fwos%2Fwoscc%2Ffull-record%2FWOS:000998895500001","View Full Record in Web of Science")</f>
        <v>View Full Record in Web of Science</v>
      </c>
    </row>
    <row r="233" spans="1:72" x14ac:dyDescent="0.15">
      <c r="A233" t="s">
        <v>72</v>
      </c>
      <c r="B233" t="s">
        <v>4081</v>
      </c>
      <c r="C233" t="s">
        <v>74</v>
      </c>
      <c r="D233" t="s">
        <v>74</v>
      </c>
      <c r="E233" t="s">
        <v>74</v>
      </c>
      <c r="F233" t="s">
        <v>4082</v>
      </c>
      <c r="G233" t="s">
        <v>74</v>
      </c>
      <c r="H233" t="s">
        <v>74</v>
      </c>
      <c r="I233" t="s">
        <v>4083</v>
      </c>
      <c r="J233" t="s">
        <v>3347</v>
      </c>
      <c r="K233" t="s">
        <v>74</v>
      </c>
      <c r="L233" t="s">
        <v>74</v>
      </c>
      <c r="M233" t="s">
        <v>78</v>
      </c>
      <c r="N233" t="s">
        <v>79</v>
      </c>
      <c r="O233" t="s">
        <v>74</v>
      </c>
      <c r="P233" t="s">
        <v>74</v>
      </c>
      <c r="Q233" t="s">
        <v>74</v>
      </c>
      <c r="R233" t="s">
        <v>74</v>
      </c>
      <c r="S233" t="s">
        <v>74</v>
      </c>
      <c r="T233" t="s">
        <v>4084</v>
      </c>
      <c r="U233" t="s">
        <v>74</v>
      </c>
      <c r="V233" t="s">
        <v>4085</v>
      </c>
      <c r="W233" t="s">
        <v>4086</v>
      </c>
      <c r="X233" t="s">
        <v>4087</v>
      </c>
      <c r="Y233" t="s">
        <v>4088</v>
      </c>
      <c r="Z233" t="s">
        <v>4089</v>
      </c>
      <c r="AA233" t="s">
        <v>74</v>
      </c>
      <c r="AB233" t="s">
        <v>74</v>
      </c>
      <c r="AC233" t="s">
        <v>4090</v>
      </c>
      <c r="AD233" t="s">
        <v>4091</v>
      </c>
      <c r="AE233" t="s">
        <v>4092</v>
      </c>
      <c r="AF233" t="s">
        <v>74</v>
      </c>
      <c r="AG233">
        <v>48</v>
      </c>
      <c r="AH233">
        <v>0</v>
      </c>
      <c r="AI233">
        <v>0</v>
      </c>
      <c r="AJ233">
        <v>6</v>
      </c>
      <c r="AK233">
        <v>6</v>
      </c>
      <c r="AL233" t="s">
        <v>92</v>
      </c>
      <c r="AM233" t="s">
        <v>93</v>
      </c>
      <c r="AN233" t="s">
        <v>94</v>
      </c>
      <c r="AO233" t="s">
        <v>3359</v>
      </c>
      <c r="AP233" t="s">
        <v>3360</v>
      </c>
      <c r="AQ233" t="s">
        <v>74</v>
      </c>
      <c r="AR233" t="s">
        <v>3361</v>
      </c>
      <c r="AS233" t="s">
        <v>3362</v>
      </c>
      <c r="AT233" t="s">
        <v>99</v>
      </c>
      <c r="AU233">
        <v>2023</v>
      </c>
      <c r="AV233">
        <v>38</v>
      </c>
      <c r="AW233">
        <v>1</v>
      </c>
      <c r="AX233" t="s">
        <v>74</v>
      </c>
      <c r="AY233" t="s">
        <v>74</v>
      </c>
      <c r="AZ233" t="s">
        <v>74</v>
      </c>
      <c r="BA233" t="s">
        <v>74</v>
      </c>
      <c r="BB233" t="s">
        <v>74</v>
      </c>
      <c r="BC233" t="s">
        <v>74</v>
      </c>
      <c r="BD233">
        <v>2252762</v>
      </c>
      <c r="BE233" t="s">
        <v>4093</v>
      </c>
      <c r="BF233" t="str">
        <f>HYPERLINK("http://dx.doi.org/10.1080/10106049.2023.2252762","http://dx.doi.org/10.1080/10106049.2023.2252762")</f>
        <v>http://dx.doi.org/10.1080/10106049.2023.2252762</v>
      </c>
      <c r="BG233" t="s">
        <v>74</v>
      </c>
      <c r="BH233" t="s">
        <v>74</v>
      </c>
      <c r="BI233">
        <v>22</v>
      </c>
      <c r="BJ233" t="s">
        <v>3364</v>
      </c>
      <c r="BK233" t="s">
        <v>102</v>
      </c>
      <c r="BL233" t="s">
        <v>3365</v>
      </c>
      <c r="BM233" t="s">
        <v>4094</v>
      </c>
      <c r="BN233" t="s">
        <v>74</v>
      </c>
      <c r="BO233" t="s">
        <v>126</v>
      </c>
      <c r="BP233" t="s">
        <v>74</v>
      </c>
      <c r="BQ233" t="s">
        <v>74</v>
      </c>
      <c r="BR233" t="s">
        <v>105</v>
      </c>
      <c r="BS233" t="s">
        <v>4095</v>
      </c>
      <c r="BT233" t="str">
        <f>HYPERLINK("https%3A%2F%2Fwww.webofscience.com%2Fwos%2Fwoscc%2Ffull-record%2FWOS:001060064700001","View Full Record in Web of Science")</f>
        <v>View Full Record in Web of Science</v>
      </c>
    </row>
    <row r="234" spans="1:72" x14ac:dyDescent="0.15">
      <c r="A234" t="s">
        <v>72</v>
      </c>
      <c r="B234" t="s">
        <v>4096</v>
      </c>
      <c r="C234" t="s">
        <v>74</v>
      </c>
      <c r="D234" t="s">
        <v>74</v>
      </c>
      <c r="E234" t="s">
        <v>74</v>
      </c>
      <c r="F234" t="s">
        <v>4097</v>
      </c>
      <c r="G234" t="s">
        <v>74</v>
      </c>
      <c r="H234" t="s">
        <v>74</v>
      </c>
      <c r="I234" t="s">
        <v>4098</v>
      </c>
      <c r="J234" t="s">
        <v>1294</v>
      </c>
      <c r="K234" t="s">
        <v>74</v>
      </c>
      <c r="L234" t="s">
        <v>74</v>
      </c>
      <c r="M234" t="s">
        <v>78</v>
      </c>
      <c r="N234" t="s">
        <v>79</v>
      </c>
      <c r="O234" t="s">
        <v>74</v>
      </c>
      <c r="P234" t="s">
        <v>74</v>
      </c>
      <c r="Q234" t="s">
        <v>74</v>
      </c>
      <c r="R234" t="s">
        <v>74</v>
      </c>
      <c r="S234" t="s">
        <v>74</v>
      </c>
      <c r="T234" t="s">
        <v>4099</v>
      </c>
      <c r="U234" t="s">
        <v>4100</v>
      </c>
      <c r="V234" t="s">
        <v>4101</v>
      </c>
      <c r="W234" t="s">
        <v>4102</v>
      </c>
      <c r="X234" t="s">
        <v>4103</v>
      </c>
      <c r="Y234" t="s">
        <v>4104</v>
      </c>
      <c r="Z234" t="s">
        <v>4105</v>
      </c>
      <c r="AA234" t="s">
        <v>4106</v>
      </c>
      <c r="AB234" t="s">
        <v>74</v>
      </c>
      <c r="AC234" t="s">
        <v>74</v>
      </c>
      <c r="AD234" t="s">
        <v>74</v>
      </c>
      <c r="AE234" t="s">
        <v>74</v>
      </c>
      <c r="AF234" t="s">
        <v>74</v>
      </c>
      <c r="AG234">
        <v>45</v>
      </c>
      <c r="AH234">
        <v>5</v>
      </c>
      <c r="AI234">
        <v>5</v>
      </c>
      <c r="AJ234">
        <v>41</v>
      </c>
      <c r="AK234">
        <v>57</v>
      </c>
      <c r="AL234" t="s">
        <v>92</v>
      </c>
      <c r="AM234" t="s">
        <v>93</v>
      </c>
      <c r="AN234" t="s">
        <v>94</v>
      </c>
      <c r="AO234" t="s">
        <v>1304</v>
      </c>
      <c r="AP234" t="s">
        <v>1305</v>
      </c>
      <c r="AQ234" t="s">
        <v>74</v>
      </c>
      <c r="AR234" t="s">
        <v>1306</v>
      </c>
      <c r="AS234" t="s">
        <v>1307</v>
      </c>
      <c r="AT234" t="s">
        <v>99</v>
      </c>
      <c r="AU234">
        <v>2023</v>
      </c>
      <c r="AV234">
        <v>61</v>
      </c>
      <c r="AW234">
        <v>1</v>
      </c>
      <c r="AX234" t="s">
        <v>74</v>
      </c>
      <c r="AY234" t="s">
        <v>74</v>
      </c>
      <c r="AZ234" t="s">
        <v>74</v>
      </c>
      <c r="BA234" t="s">
        <v>74</v>
      </c>
      <c r="BB234">
        <v>427</v>
      </c>
      <c r="BC234">
        <v>436</v>
      </c>
      <c r="BD234" t="s">
        <v>74</v>
      </c>
      <c r="BE234" t="s">
        <v>4107</v>
      </c>
      <c r="BF234" t="str">
        <f>HYPERLINK("http://dx.doi.org/10.1080/13880209.2023.2174145","http://dx.doi.org/10.1080/13880209.2023.2174145")</f>
        <v>http://dx.doi.org/10.1080/13880209.2023.2174145</v>
      </c>
      <c r="BG234" t="s">
        <v>74</v>
      </c>
      <c r="BH234" t="s">
        <v>74</v>
      </c>
      <c r="BI234">
        <v>10</v>
      </c>
      <c r="BJ234" t="s">
        <v>1309</v>
      </c>
      <c r="BK234" t="s">
        <v>102</v>
      </c>
      <c r="BL234" t="s">
        <v>1309</v>
      </c>
      <c r="BM234" t="s">
        <v>4108</v>
      </c>
      <c r="BN234">
        <v>36772833</v>
      </c>
      <c r="BO234" t="s">
        <v>104</v>
      </c>
      <c r="BP234" t="s">
        <v>74</v>
      </c>
      <c r="BQ234" t="s">
        <v>74</v>
      </c>
      <c r="BR234" t="s">
        <v>105</v>
      </c>
      <c r="BS234" t="s">
        <v>4109</v>
      </c>
      <c r="BT234" t="str">
        <f>HYPERLINK("https%3A%2F%2Fwww.webofscience.com%2Fwos%2Fwoscc%2Ffull-record%2FWOS:000931931900001","View Full Record in Web of Science")</f>
        <v>View Full Record in Web of Science</v>
      </c>
    </row>
    <row r="235" spans="1:72" x14ac:dyDescent="0.15">
      <c r="A235" t="s">
        <v>72</v>
      </c>
      <c r="B235" t="s">
        <v>4110</v>
      </c>
      <c r="C235" t="s">
        <v>74</v>
      </c>
      <c r="D235" t="s">
        <v>74</v>
      </c>
      <c r="E235" t="s">
        <v>74</v>
      </c>
      <c r="F235" t="s">
        <v>4111</v>
      </c>
      <c r="G235" t="s">
        <v>74</v>
      </c>
      <c r="H235" t="s">
        <v>74</v>
      </c>
      <c r="I235" t="s">
        <v>4112</v>
      </c>
      <c r="J235" t="s">
        <v>736</v>
      </c>
      <c r="K235" t="s">
        <v>74</v>
      </c>
      <c r="L235" t="s">
        <v>74</v>
      </c>
      <c r="M235" t="s">
        <v>78</v>
      </c>
      <c r="N235" t="s">
        <v>79</v>
      </c>
      <c r="O235" t="s">
        <v>74</v>
      </c>
      <c r="P235" t="s">
        <v>74</v>
      </c>
      <c r="Q235" t="s">
        <v>74</v>
      </c>
      <c r="R235" t="s">
        <v>74</v>
      </c>
      <c r="S235" t="s">
        <v>74</v>
      </c>
      <c r="T235" t="s">
        <v>4113</v>
      </c>
      <c r="U235" t="s">
        <v>4114</v>
      </c>
      <c r="V235" t="s">
        <v>4115</v>
      </c>
      <c r="W235" t="s">
        <v>4116</v>
      </c>
      <c r="X235" t="s">
        <v>4117</v>
      </c>
      <c r="Y235" t="s">
        <v>4118</v>
      </c>
      <c r="Z235" t="s">
        <v>4119</v>
      </c>
      <c r="AA235" t="s">
        <v>74</v>
      </c>
      <c r="AB235" t="s">
        <v>4120</v>
      </c>
      <c r="AC235" t="s">
        <v>4121</v>
      </c>
      <c r="AD235" t="s">
        <v>4122</v>
      </c>
      <c r="AE235" t="s">
        <v>4123</v>
      </c>
      <c r="AF235" t="s">
        <v>74</v>
      </c>
      <c r="AG235">
        <v>45</v>
      </c>
      <c r="AH235">
        <v>4</v>
      </c>
      <c r="AI235">
        <v>4</v>
      </c>
      <c r="AJ235">
        <v>14</v>
      </c>
      <c r="AK235">
        <v>14</v>
      </c>
      <c r="AL235" t="s">
        <v>92</v>
      </c>
      <c r="AM235" t="s">
        <v>93</v>
      </c>
      <c r="AN235" t="s">
        <v>94</v>
      </c>
      <c r="AO235" t="s">
        <v>74</v>
      </c>
      <c r="AP235" t="s">
        <v>748</v>
      </c>
      <c r="AQ235" t="s">
        <v>74</v>
      </c>
      <c r="AR235" t="s">
        <v>749</v>
      </c>
      <c r="AS235" t="s">
        <v>750</v>
      </c>
      <c r="AT235" t="s">
        <v>99</v>
      </c>
      <c r="AU235">
        <v>2023</v>
      </c>
      <c r="AV235">
        <v>12</v>
      </c>
      <c r="AW235">
        <v>1</v>
      </c>
      <c r="AX235" t="s">
        <v>74</v>
      </c>
      <c r="AY235" t="s">
        <v>74</v>
      </c>
      <c r="AZ235" t="s">
        <v>74</v>
      </c>
      <c r="BA235" t="s">
        <v>74</v>
      </c>
      <c r="BB235" t="s">
        <v>74</v>
      </c>
      <c r="BC235" t="s">
        <v>74</v>
      </c>
      <c r="BD235">
        <v>2151381</v>
      </c>
      <c r="BE235" t="s">
        <v>4124</v>
      </c>
      <c r="BF235" t="str">
        <f>HYPERLINK("http://dx.doi.org/10.1080/22221751.2022.2151381","http://dx.doi.org/10.1080/22221751.2022.2151381")</f>
        <v>http://dx.doi.org/10.1080/22221751.2022.2151381</v>
      </c>
      <c r="BG235" t="s">
        <v>74</v>
      </c>
      <c r="BH235" t="s">
        <v>74</v>
      </c>
      <c r="BI235">
        <v>9</v>
      </c>
      <c r="BJ235" t="s">
        <v>752</v>
      </c>
      <c r="BK235" t="s">
        <v>102</v>
      </c>
      <c r="BL235" t="s">
        <v>752</v>
      </c>
      <c r="BM235" t="s">
        <v>4125</v>
      </c>
      <c r="BN235">
        <v>36444724</v>
      </c>
      <c r="BO235" t="s">
        <v>104</v>
      </c>
      <c r="BP235" t="s">
        <v>74</v>
      </c>
      <c r="BQ235" t="s">
        <v>74</v>
      </c>
      <c r="BR235" t="s">
        <v>105</v>
      </c>
      <c r="BS235" t="s">
        <v>4126</v>
      </c>
      <c r="BT235" t="str">
        <f>HYPERLINK("https%3A%2F%2Fwww.webofscience.com%2Fwos%2Fwoscc%2Ffull-record%2FWOS:000905262700001","View Full Record in Web of Science")</f>
        <v>View Full Record in Web of Science</v>
      </c>
    </row>
    <row r="236" spans="1:72" x14ac:dyDescent="0.15">
      <c r="A236" t="s">
        <v>72</v>
      </c>
      <c r="B236" t="s">
        <v>4127</v>
      </c>
      <c r="C236" t="s">
        <v>74</v>
      </c>
      <c r="D236" t="s">
        <v>74</v>
      </c>
      <c r="E236" t="s">
        <v>74</v>
      </c>
      <c r="F236" t="s">
        <v>4128</v>
      </c>
      <c r="G236" t="s">
        <v>74</v>
      </c>
      <c r="H236" t="s">
        <v>74</v>
      </c>
      <c r="I236" t="s">
        <v>4129</v>
      </c>
      <c r="J236" t="s">
        <v>4130</v>
      </c>
      <c r="K236" t="s">
        <v>74</v>
      </c>
      <c r="L236" t="s">
        <v>74</v>
      </c>
      <c r="M236" t="s">
        <v>78</v>
      </c>
      <c r="N236" t="s">
        <v>79</v>
      </c>
      <c r="O236" t="s">
        <v>74</v>
      </c>
      <c r="P236" t="s">
        <v>74</v>
      </c>
      <c r="Q236" t="s">
        <v>74</v>
      </c>
      <c r="R236" t="s">
        <v>74</v>
      </c>
      <c r="S236" t="s">
        <v>74</v>
      </c>
      <c r="T236" t="s">
        <v>4131</v>
      </c>
      <c r="U236" t="s">
        <v>4132</v>
      </c>
      <c r="V236" t="s">
        <v>4133</v>
      </c>
      <c r="W236" t="s">
        <v>4134</v>
      </c>
      <c r="X236" t="s">
        <v>4135</v>
      </c>
      <c r="Y236" t="s">
        <v>4136</v>
      </c>
      <c r="Z236" t="s">
        <v>4137</v>
      </c>
      <c r="AA236" t="s">
        <v>74</v>
      </c>
      <c r="AB236" t="s">
        <v>74</v>
      </c>
      <c r="AC236" t="s">
        <v>4138</v>
      </c>
      <c r="AD236" t="s">
        <v>4139</v>
      </c>
      <c r="AE236" t="s">
        <v>4140</v>
      </c>
      <c r="AF236" t="s">
        <v>74</v>
      </c>
      <c r="AG236">
        <v>41</v>
      </c>
      <c r="AH236">
        <v>0</v>
      </c>
      <c r="AI236">
        <v>0</v>
      </c>
      <c r="AJ236">
        <v>5</v>
      </c>
      <c r="AK236">
        <v>5</v>
      </c>
      <c r="AL236" t="s">
        <v>92</v>
      </c>
      <c r="AM236" t="s">
        <v>93</v>
      </c>
      <c r="AN236" t="s">
        <v>94</v>
      </c>
      <c r="AO236" t="s">
        <v>4141</v>
      </c>
      <c r="AP236" t="s">
        <v>4142</v>
      </c>
      <c r="AQ236" t="s">
        <v>74</v>
      </c>
      <c r="AR236" t="s">
        <v>4130</v>
      </c>
      <c r="AS236" t="s">
        <v>4143</v>
      </c>
      <c r="AT236" t="s">
        <v>99</v>
      </c>
      <c r="AU236">
        <v>2023</v>
      </c>
      <c r="AV236">
        <v>56</v>
      </c>
      <c r="AW236">
        <v>1</v>
      </c>
      <c r="AX236" t="s">
        <v>74</v>
      </c>
      <c r="AY236" t="s">
        <v>74</v>
      </c>
      <c r="AZ236" t="s">
        <v>74</v>
      </c>
      <c r="BA236" t="s">
        <v>74</v>
      </c>
      <c r="BB236" t="s">
        <v>74</v>
      </c>
      <c r="BC236" t="s">
        <v>74</v>
      </c>
      <c r="BD236">
        <v>2244695</v>
      </c>
      <c r="BE236" t="s">
        <v>4144</v>
      </c>
      <c r="BF236" t="str">
        <f>HYPERLINK("http://dx.doi.org/10.1080/08916934.2023.2244695","http://dx.doi.org/10.1080/08916934.2023.2244695")</f>
        <v>http://dx.doi.org/10.1080/08916934.2023.2244695</v>
      </c>
      <c r="BG236" t="s">
        <v>74</v>
      </c>
      <c r="BH236" t="s">
        <v>74</v>
      </c>
      <c r="BI236">
        <v>12</v>
      </c>
      <c r="BJ236" t="s">
        <v>1425</v>
      </c>
      <c r="BK236" t="s">
        <v>102</v>
      </c>
      <c r="BL236" t="s">
        <v>1425</v>
      </c>
      <c r="BM236" t="s">
        <v>4145</v>
      </c>
      <c r="BN236">
        <v>37584152</v>
      </c>
      <c r="BO236" t="s">
        <v>126</v>
      </c>
      <c r="BP236" t="s">
        <v>74</v>
      </c>
      <c r="BQ236" t="s">
        <v>74</v>
      </c>
      <c r="BR236" t="s">
        <v>105</v>
      </c>
      <c r="BS236" t="s">
        <v>4146</v>
      </c>
      <c r="BT236" t="str">
        <f>HYPERLINK("https%3A%2F%2Fwww.webofscience.com%2Fwos%2Fwoscc%2Ffull-record%2FWOS:001048393200001","View Full Record in Web of Science")</f>
        <v>View Full Record in Web of Science</v>
      </c>
    </row>
    <row r="237" spans="1:72" x14ac:dyDescent="0.15">
      <c r="A237" t="s">
        <v>72</v>
      </c>
      <c r="B237" t="s">
        <v>4147</v>
      </c>
      <c r="C237" t="s">
        <v>74</v>
      </c>
      <c r="D237" t="s">
        <v>74</v>
      </c>
      <c r="E237" t="s">
        <v>74</v>
      </c>
      <c r="F237" t="s">
        <v>4148</v>
      </c>
      <c r="G237" t="s">
        <v>74</v>
      </c>
      <c r="H237" t="s">
        <v>74</v>
      </c>
      <c r="I237" t="s">
        <v>4149</v>
      </c>
      <c r="J237" t="s">
        <v>170</v>
      </c>
      <c r="K237" t="s">
        <v>74</v>
      </c>
      <c r="L237" t="s">
        <v>74</v>
      </c>
      <c r="M237" t="s">
        <v>78</v>
      </c>
      <c r="N237" t="s">
        <v>79</v>
      </c>
      <c r="O237" t="s">
        <v>74</v>
      </c>
      <c r="P237" t="s">
        <v>74</v>
      </c>
      <c r="Q237" t="s">
        <v>74</v>
      </c>
      <c r="R237" t="s">
        <v>74</v>
      </c>
      <c r="S237" t="s">
        <v>74</v>
      </c>
      <c r="T237" t="s">
        <v>4150</v>
      </c>
      <c r="U237" t="s">
        <v>4151</v>
      </c>
      <c r="V237" t="s">
        <v>4152</v>
      </c>
      <c r="W237" t="s">
        <v>4153</v>
      </c>
      <c r="X237" t="s">
        <v>4154</v>
      </c>
      <c r="Y237" t="s">
        <v>4155</v>
      </c>
      <c r="Z237" t="s">
        <v>4156</v>
      </c>
      <c r="AA237" t="s">
        <v>74</v>
      </c>
      <c r="AB237" t="s">
        <v>74</v>
      </c>
      <c r="AC237" t="s">
        <v>4157</v>
      </c>
      <c r="AD237" t="s">
        <v>4158</v>
      </c>
      <c r="AE237" t="s">
        <v>4159</v>
      </c>
      <c r="AF237" t="s">
        <v>74</v>
      </c>
      <c r="AG237">
        <v>75</v>
      </c>
      <c r="AH237">
        <v>3</v>
      </c>
      <c r="AI237">
        <v>3</v>
      </c>
      <c r="AJ237">
        <v>29</v>
      </c>
      <c r="AK237">
        <v>74</v>
      </c>
      <c r="AL237" t="s">
        <v>184</v>
      </c>
      <c r="AM237" t="s">
        <v>185</v>
      </c>
      <c r="AN237" t="s">
        <v>186</v>
      </c>
      <c r="AO237" t="s">
        <v>187</v>
      </c>
      <c r="AP237" t="s">
        <v>188</v>
      </c>
      <c r="AQ237" t="s">
        <v>74</v>
      </c>
      <c r="AR237" t="s">
        <v>189</v>
      </c>
      <c r="AS237" t="s">
        <v>190</v>
      </c>
      <c r="AT237" t="s">
        <v>99</v>
      </c>
      <c r="AU237">
        <v>2023</v>
      </c>
      <c r="AV237">
        <v>26</v>
      </c>
      <c r="AW237">
        <v>1</v>
      </c>
      <c r="AX237" t="s">
        <v>74</v>
      </c>
      <c r="AY237" t="s">
        <v>74</v>
      </c>
      <c r="AZ237" t="s">
        <v>74</v>
      </c>
      <c r="BA237" t="s">
        <v>74</v>
      </c>
      <c r="BB237">
        <v>49</v>
      </c>
      <c r="BC237">
        <v>64</v>
      </c>
      <c r="BD237" t="s">
        <v>74</v>
      </c>
      <c r="BE237" t="s">
        <v>4160</v>
      </c>
      <c r="BF237" t="str">
        <f>HYPERLINK("http://dx.doi.org/10.1080/10942912.2022.2153863","http://dx.doi.org/10.1080/10942912.2022.2153863")</f>
        <v>http://dx.doi.org/10.1080/10942912.2022.2153863</v>
      </c>
      <c r="BG237" t="s">
        <v>74</v>
      </c>
      <c r="BH237" t="s">
        <v>74</v>
      </c>
      <c r="BI237">
        <v>16</v>
      </c>
      <c r="BJ237" t="s">
        <v>192</v>
      </c>
      <c r="BK237" t="s">
        <v>102</v>
      </c>
      <c r="BL237" t="s">
        <v>192</v>
      </c>
      <c r="BM237" t="s">
        <v>4161</v>
      </c>
      <c r="BN237" t="s">
        <v>74</v>
      </c>
      <c r="BO237" t="s">
        <v>126</v>
      </c>
      <c r="BP237" t="s">
        <v>74</v>
      </c>
      <c r="BQ237" t="s">
        <v>74</v>
      </c>
      <c r="BR237" t="s">
        <v>105</v>
      </c>
      <c r="BS237" t="s">
        <v>4162</v>
      </c>
      <c r="BT237" t="str">
        <f>HYPERLINK("https%3A%2F%2Fwww.webofscience.com%2Fwos%2Fwoscc%2Ffull-record%2FWOS:000893725400001","View Full Record in Web of Science")</f>
        <v>View Full Record in Web of Science</v>
      </c>
    </row>
    <row r="238" spans="1:72" x14ac:dyDescent="0.15">
      <c r="A238" t="s">
        <v>72</v>
      </c>
      <c r="B238" t="s">
        <v>4163</v>
      </c>
      <c r="C238" t="s">
        <v>74</v>
      </c>
      <c r="D238" t="s">
        <v>74</v>
      </c>
      <c r="E238" t="s">
        <v>74</v>
      </c>
      <c r="F238" t="s">
        <v>4164</v>
      </c>
      <c r="G238" t="s">
        <v>74</v>
      </c>
      <c r="H238" t="s">
        <v>74</v>
      </c>
      <c r="I238" t="s">
        <v>4165</v>
      </c>
      <c r="J238" t="s">
        <v>1980</v>
      </c>
      <c r="K238" t="s">
        <v>74</v>
      </c>
      <c r="L238" t="s">
        <v>74</v>
      </c>
      <c r="M238" t="s">
        <v>78</v>
      </c>
      <c r="N238" t="s">
        <v>79</v>
      </c>
      <c r="O238" t="s">
        <v>74</v>
      </c>
      <c r="P238" t="s">
        <v>74</v>
      </c>
      <c r="Q238" t="s">
        <v>74</v>
      </c>
      <c r="R238" t="s">
        <v>74</v>
      </c>
      <c r="S238" t="s">
        <v>74</v>
      </c>
      <c r="T238" t="s">
        <v>4166</v>
      </c>
      <c r="U238" t="s">
        <v>4167</v>
      </c>
      <c r="V238" t="s">
        <v>4168</v>
      </c>
      <c r="W238" t="s">
        <v>4169</v>
      </c>
      <c r="X238" t="s">
        <v>4170</v>
      </c>
      <c r="Y238" t="s">
        <v>4171</v>
      </c>
      <c r="Z238" t="s">
        <v>4172</v>
      </c>
      <c r="AA238" t="s">
        <v>4173</v>
      </c>
      <c r="AB238" t="s">
        <v>4174</v>
      </c>
      <c r="AC238" t="s">
        <v>74</v>
      </c>
      <c r="AD238" t="s">
        <v>74</v>
      </c>
      <c r="AE238" t="s">
        <v>74</v>
      </c>
      <c r="AF238" t="s">
        <v>74</v>
      </c>
      <c r="AG238">
        <v>59</v>
      </c>
      <c r="AH238">
        <v>0</v>
      </c>
      <c r="AI238">
        <v>0</v>
      </c>
      <c r="AJ238">
        <v>10</v>
      </c>
      <c r="AK238">
        <v>20</v>
      </c>
      <c r="AL238" t="s">
        <v>184</v>
      </c>
      <c r="AM238" t="s">
        <v>185</v>
      </c>
      <c r="AN238" t="s">
        <v>186</v>
      </c>
      <c r="AO238" t="s">
        <v>1990</v>
      </c>
      <c r="AP238" t="s">
        <v>1991</v>
      </c>
      <c r="AQ238" t="s">
        <v>74</v>
      </c>
      <c r="AR238" t="s">
        <v>1980</v>
      </c>
      <c r="AS238" t="s">
        <v>1992</v>
      </c>
      <c r="AT238" t="s">
        <v>99</v>
      </c>
      <c r="AU238">
        <v>2023</v>
      </c>
      <c r="AV238">
        <v>14</v>
      </c>
      <c r="AW238">
        <v>1</v>
      </c>
      <c r="AX238" t="s">
        <v>74</v>
      </c>
      <c r="AY238" t="s">
        <v>74</v>
      </c>
      <c r="AZ238" t="s">
        <v>74</v>
      </c>
      <c r="BA238" t="s">
        <v>74</v>
      </c>
      <c r="BB238" t="s">
        <v>74</v>
      </c>
      <c r="BC238" t="s">
        <v>74</v>
      </c>
      <c r="BD238">
        <v>2171691</v>
      </c>
      <c r="BE238" t="s">
        <v>4175</v>
      </c>
      <c r="BF238" t="str">
        <f>HYPERLINK("http://dx.doi.org/10.1080/21505594.2023.2171691","http://dx.doi.org/10.1080/21505594.2023.2171691")</f>
        <v>http://dx.doi.org/10.1080/21505594.2023.2171691</v>
      </c>
      <c r="BG238" t="s">
        <v>74</v>
      </c>
      <c r="BH238" t="s">
        <v>74</v>
      </c>
      <c r="BI238">
        <v>16</v>
      </c>
      <c r="BJ238" t="s">
        <v>752</v>
      </c>
      <c r="BK238" t="s">
        <v>102</v>
      </c>
      <c r="BL238" t="s">
        <v>752</v>
      </c>
      <c r="BM238" t="s">
        <v>4176</v>
      </c>
      <c r="BN238">
        <v>36694288</v>
      </c>
      <c r="BO238" t="s">
        <v>165</v>
      </c>
      <c r="BP238" t="s">
        <v>74</v>
      </c>
      <c r="BQ238" t="s">
        <v>74</v>
      </c>
      <c r="BR238" t="s">
        <v>105</v>
      </c>
      <c r="BS238" t="s">
        <v>4177</v>
      </c>
      <c r="BT238" t="str">
        <f>HYPERLINK("https%3A%2F%2Fwww.webofscience.com%2Fwos%2Fwoscc%2Ffull-record%2FWOS:000928532800001","View Full Record in Web of Science")</f>
        <v>View Full Record in Web of Science</v>
      </c>
    </row>
    <row r="239" spans="1:72" x14ac:dyDescent="0.15">
      <c r="A239" t="s">
        <v>72</v>
      </c>
      <c r="B239" t="s">
        <v>4178</v>
      </c>
      <c r="C239" t="s">
        <v>74</v>
      </c>
      <c r="D239" t="s">
        <v>74</v>
      </c>
      <c r="E239" t="s">
        <v>74</v>
      </c>
      <c r="F239" t="s">
        <v>4179</v>
      </c>
      <c r="G239" t="s">
        <v>74</v>
      </c>
      <c r="H239" t="s">
        <v>74</v>
      </c>
      <c r="I239" t="s">
        <v>4180</v>
      </c>
      <c r="J239" t="s">
        <v>2664</v>
      </c>
      <c r="K239" t="s">
        <v>74</v>
      </c>
      <c r="L239" t="s">
        <v>74</v>
      </c>
      <c r="M239" t="s">
        <v>78</v>
      </c>
      <c r="N239" t="s">
        <v>79</v>
      </c>
      <c r="O239" t="s">
        <v>74</v>
      </c>
      <c r="P239" t="s">
        <v>74</v>
      </c>
      <c r="Q239" t="s">
        <v>74</v>
      </c>
      <c r="R239" t="s">
        <v>74</v>
      </c>
      <c r="S239" t="s">
        <v>74</v>
      </c>
      <c r="T239" t="s">
        <v>4181</v>
      </c>
      <c r="U239" t="s">
        <v>4182</v>
      </c>
      <c r="V239" t="s">
        <v>4183</v>
      </c>
      <c r="W239" t="s">
        <v>4184</v>
      </c>
      <c r="X239" t="s">
        <v>4185</v>
      </c>
      <c r="Y239" t="s">
        <v>4186</v>
      </c>
      <c r="Z239" t="s">
        <v>4187</v>
      </c>
      <c r="AA239" t="s">
        <v>74</v>
      </c>
      <c r="AB239" t="s">
        <v>74</v>
      </c>
      <c r="AC239" t="s">
        <v>74</v>
      </c>
      <c r="AD239" t="s">
        <v>74</v>
      </c>
      <c r="AE239" t="s">
        <v>74</v>
      </c>
      <c r="AF239" t="s">
        <v>74</v>
      </c>
      <c r="AG239">
        <v>65</v>
      </c>
      <c r="AH239">
        <v>0</v>
      </c>
      <c r="AI239">
        <v>0</v>
      </c>
      <c r="AJ239">
        <v>3</v>
      </c>
      <c r="AK239">
        <v>3</v>
      </c>
      <c r="AL239" t="s">
        <v>287</v>
      </c>
      <c r="AM239" t="s">
        <v>288</v>
      </c>
      <c r="AN239" t="s">
        <v>289</v>
      </c>
      <c r="AO239" t="s">
        <v>2674</v>
      </c>
      <c r="AP239" t="s">
        <v>74</v>
      </c>
      <c r="AQ239" t="s">
        <v>74</v>
      </c>
      <c r="AR239" t="s">
        <v>2675</v>
      </c>
      <c r="AS239" t="s">
        <v>2676</v>
      </c>
      <c r="AT239" t="s">
        <v>99</v>
      </c>
      <c r="AU239">
        <v>2023</v>
      </c>
      <c r="AV239">
        <v>9</v>
      </c>
      <c r="AW239">
        <v>1</v>
      </c>
      <c r="AX239" t="s">
        <v>74</v>
      </c>
      <c r="AY239" t="s">
        <v>74</v>
      </c>
      <c r="AZ239" t="s">
        <v>74</v>
      </c>
      <c r="BA239" t="s">
        <v>74</v>
      </c>
      <c r="BB239" t="s">
        <v>74</v>
      </c>
      <c r="BC239" t="s">
        <v>74</v>
      </c>
      <c r="BD239">
        <v>2238981</v>
      </c>
      <c r="BE239" t="s">
        <v>4188</v>
      </c>
      <c r="BF239" t="str">
        <f>HYPERLINK("http://dx.doi.org/10.1080/23311932.2023.2238981","http://dx.doi.org/10.1080/23311932.2023.2238981")</f>
        <v>http://dx.doi.org/10.1080/23311932.2023.2238981</v>
      </c>
      <c r="BG239" t="s">
        <v>74</v>
      </c>
      <c r="BH239" t="s">
        <v>74</v>
      </c>
      <c r="BI239">
        <v>29</v>
      </c>
      <c r="BJ239" t="s">
        <v>2678</v>
      </c>
      <c r="BK239" t="s">
        <v>102</v>
      </c>
      <c r="BL239" t="s">
        <v>2517</v>
      </c>
      <c r="BM239" t="s">
        <v>4189</v>
      </c>
      <c r="BN239" t="s">
        <v>74</v>
      </c>
      <c r="BO239" t="s">
        <v>126</v>
      </c>
      <c r="BP239" t="s">
        <v>74</v>
      </c>
      <c r="BQ239" t="s">
        <v>74</v>
      </c>
      <c r="BR239" t="s">
        <v>105</v>
      </c>
      <c r="BS239" t="s">
        <v>4190</v>
      </c>
      <c r="BT239" t="str">
        <f>HYPERLINK("https%3A%2F%2Fwww.webofscience.com%2Fwos%2Fwoscc%2Ffull-record%2FWOS:001038601300001","View Full Record in Web of Science")</f>
        <v>View Full Record in Web of Science</v>
      </c>
    </row>
    <row r="240" spans="1:72" x14ac:dyDescent="0.15">
      <c r="A240" t="s">
        <v>72</v>
      </c>
      <c r="B240" t="s">
        <v>4191</v>
      </c>
      <c r="C240" t="s">
        <v>74</v>
      </c>
      <c r="D240" t="s">
        <v>74</v>
      </c>
      <c r="E240" t="s">
        <v>74</v>
      </c>
      <c r="F240" t="s">
        <v>4192</v>
      </c>
      <c r="G240" t="s">
        <v>74</v>
      </c>
      <c r="H240" t="s">
        <v>74</v>
      </c>
      <c r="I240" t="s">
        <v>4193</v>
      </c>
      <c r="J240" t="s">
        <v>524</v>
      </c>
      <c r="K240" t="s">
        <v>74</v>
      </c>
      <c r="L240" t="s">
        <v>74</v>
      </c>
      <c r="M240" t="s">
        <v>78</v>
      </c>
      <c r="N240" t="s">
        <v>79</v>
      </c>
      <c r="O240" t="s">
        <v>74</v>
      </c>
      <c r="P240" t="s">
        <v>74</v>
      </c>
      <c r="Q240" t="s">
        <v>74</v>
      </c>
      <c r="R240" t="s">
        <v>74</v>
      </c>
      <c r="S240" t="s">
        <v>74</v>
      </c>
      <c r="T240" t="s">
        <v>4194</v>
      </c>
      <c r="U240" t="s">
        <v>4195</v>
      </c>
      <c r="V240" t="s">
        <v>4196</v>
      </c>
      <c r="W240" t="s">
        <v>4197</v>
      </c>
      <c r="X240" t="s">
        <v>4198</v>
      </c>
      <c r="Y240" t="s">
        <v>4199</v>
      </c>
      <c r="Z240" t="s">
        <v>4200</v>
      </c>
      <c r="AA240" t="s">
        <v>4201</v>
      </c>
      <c r="AB240" t="s">
        <v>74</v>
      </c>
      <c r="AC240" t="s">
        <v>74</v>
      </c>
      <c r="AD240" t="s">
        <v>74</v>
      </c>
      <c r="AE240" t="s">
        <v>74</v>
      </c>
      <c r="AF240" t="s">
        <v>74</v>
      </c>
      <c r="AG240">
        <v>37</v>
      </c>
      <c r="AH240">
        <v>0</v>
      </c>
      <c r="AI240">
        <v>0</v>
      </c>
      <c r="AJ240">
        <v>2</v>
      </c>
      <c r="AK240">
        <v>2</v>
      </c>
      <c r="AL240" t="s">
        <v>92</v>
      </c>
      <c r="AM240" t="s">
        <v>93</v>
      </c>
      <c r="AN240" t="s">
        <v>94</v>
      </c>
      <c r="AO240" t="s">
        <v>537</v>
      </c>
      <c r="AP240" t="s">
        <v>538</v>
      </c>
      <c r="AQ240" t="s">
        <v>74</v>
      </c>
      <c r="AR240" t="s">
        <v>539</v>
      </c>
      <c r="AS240" t="s">
        <v>540</v>
      </c>
      <c r="AT240" t="s">
        <v>99</v>
      </c>
      <c r="AU240">
        <v>2023</v>
      </c>
      <c r="AV240">
        <v>16</v>
      </c>
      <c r="AW240">
        <v>1</v>
      </c>
      <c r="AX240" t="s">
        <v>74</v>
      </c>
      <c r="AY240" t="s">
        <v>74</v>
      </c>
      <c r="AZ240" t="s">
        <v>74</v>
      </c>
      <c r="BA240" t="s">
        <v>74</v>
      </c>
      <c r="BB240">
        <v>3239</v>
      </c>
      <c r="BC240">
        <v>3267</v>
      </c>
      <c r="BD240" t="s">
        <v>74</v>
      </c>
      <c r="BE240" t="s">
        <v>4202</v>
      </c>
      <c r="BF240" t="str">
        <f>HYPERLINK("http://dx.doi.org/10.1080/17538947.2023.2246937","http://dx.doi.org/10.1080/17538947.2023.2246937")</f>
        <v>http://dx.doi.org/10.1080/17538947.2023.2246937</v>
      </c>
      <c r="BG240" t="s">
        <v>74</v>
      </c>
      <c r="BH240" t="s">
        <v>74</v>
      </c>
      <c r="BI240">
        <v>29</v>
      </c>
      <c r="BJ240" t="s">
        <v>542</v>
      </c>
      <c r="BK240" t="s">
        <v>102</v>
      </c>
      <c r="BL240" t="s">
        <v>543</v>
      </c>
      <c r="BM240" t="s">
        <v>4203</v>
      </c>
      <c r="BN240" t="s">
        <v>74</v>
      </c>
      <c r="BO240" t="s">
        <v>126</v>
      </c>
      <c r="BP240" t="s">
        <v>74</v>
      </c>
      <c r="BQ240" t="s">
        <v>74</v>
      </c>
      <c r="BR240" t="s">
        <v>105</v>
      </c>
      <c r="BS240" t="s">
        <v>4204</v>
      </c>
      <c r="BT240" t="str">
        <f>HYPERLINK("https%3A%2F%2Fwww.webofscience.com%2Fwos%2Fwoscc%2Ffull-record%2FWOS:001049067200001","View Full Record in Web of Science")</f>
        <v>View Full Record in Web of Science</v>
      </c>
    </row>
    <row r="241" spans="1:72" x14ac:dyDescent="0.15">
      <c r="A241" t="s">
        <v>72</v>
      </c>
      <c r="B241" t="s">
        <v>4205</v>
      </c>
      <c r="C241" t="s">
        <v>74</v>
      </c>
      <c r="D241" t="s">
        <v>74</v>
      </c>
      <c r="E241" t="s">
        <v>74</v>
      </c>
      <c r="F241" t="s">
        <v>4206</v>
      </c>
      <c r="G241" t="s">
        <v>74</v>
      </c>
      <c r="H241" t="s">
        <v>74</v>
      </c>
      <c r="I241" t="s">
        <v>4207</v>
      </c>
      <c r="J241" t="s">
        <v>2243</v>
      </c>
      <c r="K241" t="s">
        <v>74</v>
      </c>
      <c r="L241" t="s">
        <v>74</v>
      </c>
      <c r="M241" t="s">
        <v>78</v>
      </c>
      <c r="N241" t="s">
        <v>79</v>
      </c>
      <c r="O241" t="s">
        <v>74</v>
      </c>
      <c r="P241" t="s">
        <v>74</v>
      </c>
      <c r="Q241" t="s">
        <v>74</v>
      </c>
      <c r="R241" t="s">
        <v>74</v>
      </c>
      <c r="S241" t="s">
        <v>74</v>
      </c>
      <c r="T241" t="s">
        <v>4208</v>
      </c>
      <c r="U241" t="s">
        <v>4209</v>
      </c>
      <c r="V241" t="s">
        <v>4210</v>
      </c>
      <c r="W241" t="s">
        <v>4211</v>
      </c>
      <c r="X241" t="s">
        <v>4212</v>
      </c>
      <c r="Y241" t="s">
        <v>4213</v>
      </c>
      <c r="Z241" t="s">
        <v>4214</v>
      </c>
      <c r="AA241" t="s">
        <v>4215</v>
      </c>
      <c r="AB241" t="s">
        <v>74</v>
      </c>
      <c r="AC241" t="s">
        <v>74</v>
      </c>
      <c r="AD241" t="s">
        <v>74</v>
      </c>
      <c r="AE241" t="s">
        <v>74</v>
      </c>
      <c r="AF241" t="s">
        <v>74</v>
      </c>
      <c r="AG241">
        <v>42</v>
      </c>
      <c r="AH241">
        <v>0</v>
      </c>
      <c r="AI241">
        <v>0</v>
      </c>
      <c r="AJ241">
        <v>7</v>
      </c>
      <c r="AK241">
        <v>9</v>
      </c>
      <c r="AL241" t="s">
        <v>184</v>
      </c>
      <c r="AM241" t="s">
        <v>185</v>
      </c>
      <c r="AN241" t="s">
        <v>186</v>
      </c>
      <c r="AO241" t="s">
        <v>2256</v>
      </c>
      <c r="AP241" t="s">
        <v>2257</v>
      </c>
      <c r="AQ241" t="s">
        <v>74</v>
      </c>
      <c r="AR241" t="s">
        <v>2258</v>
      </c>
      <c r="AS241" t="s">
        <v>2259</v>
      </c>
      <c r="AT241" t="s">
        <v>99</v>
      </c>
      <c r="AU241">
        <v>2023</v>
      </c>
      <c r="AV241">
        <v>18</v>
      </c>
      <c r="AW241">
        <v>1</v>
      </c>
      <c r="AX241" t="s">
        <v>74</v>
      </c>
      <c r="AY241" t="s">
        <v>74</v>
      </c>
      <c r="AZ241" t="s">
        <v>74</v>
      </c>
      <c r="BA241" t="s">
        <v>74</v>
      </c>
      <c r="BB241" t="s">
        <v>74</v>
      </c>
      <c r="BC241" t="s">
        <v>74</v>
      </c>
      <c r="BD241">
        <v>2192324</v>
      </c>
      <c r="BE241" t="s">
        <v>4216</v>
      </c>
      <c r="BF241" t="str">
        <f>HYPERLINK("http://dx.doi.org/10.1080/15592294.2023.2192324","http://dx.doi.org/10.1080/15592294.2023.2192324")</f>
        <v>http://dx.doi.org/10.1080/15592294.2023.2192324</v>
      </c>
      <c r="BG241" t="s">
        <v>74</v>
      </c>
      <c r="BH241" t="s">
        <v>74</v>
      </c>
      <c r="BI241">
        <v>12</v>
      </c>
      <c r="BJ241" t="s">
        <v>2261</v>
      </c>
      <c r="BK241" t="s">
        <v>102</v>
      </c>
      <c r="BL241" t="s">
        <v>2261</v>
      </c>
      <c r="BM241" t="s">
        <v>4217</v>
      </c>
      <c r="BN241">
        <v>36945837</v>
      </c>
      <c r="BO241" t="s">
        <v>104</v>
      </c>
      <c r="BP241" t="s">
        <v>74</v>
      </c>
      <c r="BQ241" t="s">
        <v>74</v>
      </c>
      <c r="BR241" t="s">
        <v>105</v>
      </c>
      <c r="BS241" t="s">
        <v>4218</v>
      </c>
      <c r="BT241" t="str">
        <f>HYPERLINK("https%3A%2F%2Fwww.webofscience.com%2Fwos%2Fwoscc%2Ffull-record%2FWOS:000951089500001","View Full Record in Web of Science")</f>
        <v>View Full Record in Web of Science</v>
      </c>
    </row>
    <row r="242" spans="1:72" x14ac:dyDescent="0.15">
      <c r="A242" t="s">
        <v>72</v>
      </c>
      <c r="B242" t="s">
        <v>4219</v>
      </c>
      <c r="C242" t="s">
        <v>74</v>
      </c>
      <c r="D242" t="s">
        <v>74</v>
      </c>
      <c r="E242" t="s">
        <v>74</v>
      </c>
      <c r="F242" t="s">
        <v>4220</v>
      </c>
      <c r="G242" t="s">
        <v>74</v>
      </c>
      <c r="H242" t="s">
        <v>74</v>
      </c>
      <c r="I242" t="s">
        <v>4221</v>
      </c>
      <c r="J242" t="s">
        <v>4222</v>
      </c>
      <c r="K242" t="s">
        <v>74</v>
      </c>
      <c r="L242" t="s">
        <v>74</v>
      </c>
      <c r="M242" t="s">
        <v>78</v>
      </c>
      <c r="N242" t="s">
        <v>79</v>
      </c>
      <c r="O242" t="s">
        <v>74</v>
      </c>
      <c r="P242" t="s">
        <v>74</v>
      </c>
      <c r="Q242" t="s">
        <v>74</v>
      </c>
      <c r="R242" t="s">
        <v>74</v>
      </c>
      <c r="S242" t="s">
        <v>74</v>
      </c>
      <c r="T242" t="s">
        <v>4223</v>
      </c>
      <c r="U242" t="s">
        <v>4224</v>
      </c>
      <c r="V242" t="s">
        <v>4225</v>
      </c>
      <c r="W242" t="s">
        <v>4226</v>
      </c>
      <c r="X242" t="s">
        <v>4227</v>
      </c>
      <c r="Y242" t="s">
        <v>4228</v>
      </c>
      <c r="Z242" t="s">
        <v>4229</v>
      </c>
      <c r="AA242" t="s">
        <v>74</v>
      </c>
      <c r="AB242" t="s">
        <v>74</v>
      </c>
      <c r="AC242" t="s">
        <v>4230</v>
      </c>
      <c r="AD242" t="s">
        <v>4230</v>
      </c>
      <c r="AE242" t="s">
        <v>4230</v>
      </c>
      <c r="AF242" t="s">
        <v>74</v>
      </c>
      <c r="AG242">
        <v>48</v>
      </c>
      <c r="AH242">
        <v>0</v>
      </c>
      <c r="AI242">
        <v>0</v>
      </c>
      <c r="AJ242">
        <v>2</v>
      </c>
      <c r="AK242">
        <v>2</v>
      </c>
      <c r="AL242" t="s">
        <v>92</v>
      </c>
      <c r="AM242" t="s">
        <v>93</v>
      </c>
      <c r="AN242" t="s">
        <v>94</v>
      </c>
      <c r="AO242" t="s">
        <v>4231</v>
      </c>
      <c r="AP242" t="s">
        <v>4232</v>
      </c>
      <c r="AQ242" t="s">
        <v>74</v>
      </c>
      <c r="AR242" t="s">
        <v>4233</v>
      </c>
      <c r="AS242" t="s">
        <v>4234</v>
      </c>
      <c r="AT242" t="s">
        <v>99</v>
      </c>
      <c r="AU242">
        <v>2023</v>
      </c>
      <c r="AV242">
        <v>20</v>
      </c>
      <c r="AW242">
        <v>1</v>
      </c>
      <c r="AX242" t="s">
        <v>74</v>
      </c>
      <c r="AY242" t="s">
        <v>74</v>
      </c>
      <c r="AZ242" t="s">
        <v>74</v>
      </c>
      <c r="BA242" t="s">
        <v>74</v>
      </c>
      <c r="BB242" t="s">
        <v>74</v>
      </c>
      <c r="BC242" t="s">
        <v>74</v>
      </c>
      <c r="BD242">
        <v>2248267</v>
      </c>
      <c r="BE242" t="s">
        <v>4235</v>
      </c>
      <c r="BF242" t="str">
        <f>HYPERLINK("http://dx.doi.org/10.1080/1547691X.2023.2248267","http://dx.doi.org/10.1080/1547691X.2023.2248267")</f>
        <v>http://dx.doi.org/10.1080/1547691X.2023.2248267</v>
      </c>
      <c r="BG242" t="s">
        <v>74</v>
      </c>
      <c r="BH242" t="s">
        <v>74</v>
      </c>
      <c r="BI242">
        <v>13</v>
      </c>
      <c r="BJ242" t="s">
        <v>4236</v>
      </c>
      <c r="BK242" t="s">
        <v>102</v>
      </c>
      <c r="BL242" t="s">
        <v>4236</v>
      </c>
      <c r="BM242" t="s">
        <v>4237</v>
      </c>
      <c r="BN242">
        <v>37667858</v>
      </c>
      <c r="BO242" t="s">
        <v>126</v>
      </c>
      <c r="BP242" t="s">
        <v>74</v>
      </c>
      <c r="BQ242" t="s">
        <v>74</v>
      </c>
      <c r="BR242" t="s">
        <v>105</v>
      </c>
      <c r="BS242" t="s">
        <v>4238</v>
      </c>
      <c r="BT242" t="str">
        <f>HYPERLINK("https%3A%2F%2Fwww.webofscience.com%2Fwos%2Fwoscc%2Ffull-record%2FWOS:001058764300001","View Full Record in Web of Science")</f>
        <v>View Full Record in Web of Science</v>
      </c>
    </row>
    <row r="243" spans="1:72" x14ac:dyDescent="0.15">
      <c r="A243" t="s">
        <v>72</v>
      </c>
      <c r="B243" t="s">
        <v>4239</v>
      </c>
      <c r="C243" t="s">
        <v>74</v>
      </c>
      <c r="D243" t="s">
        <v>74</v>
      </c>
      <c r="E243" t="s">
        <v>74</v>
      </c>
      <c r="F243" t="s">
        <v>4240</v>
      </c>
      <c r="G243" t="s">
        <v>74</v>
      </c>
      <c r="H243" t="s">
        <v>74</v>
      </c>
      <c r="I243" t="s">
        <v>4241</v>
      </c>
      <c r="J243" t="s">
        <v>2978</v>
      </c>
      <c r="K243" t="s">
        <v>74</v>
      </c>
      <c r="L243" t="s">
        <v>74</v>
      </c>
      <c r="M243" t="s">
        <v>78</v>
      </c>
      <c r="N243" t="s">
        <v>79</v>
      </c>
      <c r="O243" t="s">
        <v>74</v>
      </c>
      <c r="P243" t="s">
        <v>74</v>
      </c>
      <c r="Q243" t="s">
        <v>74</v>
      </c>
      <c r="R243" t="s">
        <v>74</v>
      </c>
      <c r="S243" t="s">
        <v>74</v>
      </c>
      <c r="T243" t="s">
        <v>74</v>
      </c>
      <c r="U243" t="s">
        <v>4242</v>
      </c>
      <c r="V243" t="s">
        <v>74</v>
      </c>
      <c r="W243" t="s">
        <v>4243</v>
      </c>
      <c r="X243" t="s">
        <v>4244</v>
      </c>
      <c r="Y243" t="s">
        <v>4245</v>
      </c>
      <c r="Z243" t="s">
        <v>4246</v>
      </c>
      <c r="AA243" t="s">
        <v>4247</v>
      </c>
      <c r="AB243" t="s">
        <v>4248</v>
      </c>
      <c r="AC243" t="s">
        <v>74</v>
      </c>
      <c r="AD243" t="s">
        <v>74</v>
      </c>
      <c r="AE243" t="s">
        <v>74</v>
      </c>
      <c r="AF243" t="s">
        <v>74</v>
      </c>
      <c r="AG243">
        <v>20</v>
      </c>
      <c r="AH243">
        <v>0</v>
      </c>
      <c r="AI243">
        <v>0</v>
      </c>
      <c r="AJ243">
        <v>1</v>
      </c>
      <c r="AK243">
        <v>1</v>
      </c>
      <c r="AL243" t="s">
        <v>92</v>
      </c>
      <c r="AM243" t="s">
        <v>93</v>
      </c>
      <c r="AN243" t="s">
        <v>94</v>
      </c>
      <c r="AO243" t="s">
        <v>2989</v>
      </c>
      <c r="AP243" t="s">
        <v>2990</v>
      </c>
      <c r="AQ243" t="s">
        <v>74</v>
      </c>
      <c r="AR243" t="s">
        <v>2991</v>
      </c>
      <c r="AS243" t="s">
        <v>2992</v>
      </c>
      <c r="AT243" t="s">
        <v>99</v>
      </c>
      <c r="AU243">
        <v>2023</v>
      </c>
      <c r="AV243">
        <v>26</v>
      </c>
      <c r="AW243">
        <v>1</v>
      </c>
      <c r="AX243" t="s">
        <v>74</v>
      </c>
      <c r="AY243" t="s">
        <v>74</v>
      </c>
      <c r="AZ243" t="s">
        <v>74</v>
      </c>
      <c r="BA243" t="s">
        <v>74</v>
      </c>
      <c r="BB243">
        <v>503</v>
      </c>
      <c r="BC243">
        <v>508</v>
      </c>
      <c r="BD243" t="s">
        <v>74</v>
      </c>
      <c r="BE243" t="s">
        <v>4249</v>
      </c>
      <c r="BF243" t="str">
        <f>HYPERLINK("http://dx.doi.org/10.1080/13696998.2023.2194804","http://dx.doi.org/10.1080/13696998.2023.2194804")</f>
        <v>http://dx.doi.org/10.1080/13696998.2023.2194804</v>
      </c>
      <c r="BG243" t="s">
        <v>74</v>
      </c>
      <c r="BH243" t="s">
        <v>74</v>
      </c>
      <c r="BI243">
        <v>6</v>
      </c>
      <c r="BJ243" t="s">
        <v>2994</v>
      </c>
      <c r="BK243" t="s">
        <v>102</v>
      </c>
      <c r="BL243" t="s">
        <v>2995</v>
      </c>
      <c r="BM243" t="s">
        <v>4250</v>
      </c>
      <c r="BN243">
        <v>36951399</v>
      </c>
      <c r="BO243" t="s">
        <v>4251</v>
      </c>
      <c r="BP243" t="s">
        <v>74</v>
      </c>
      <c r="BQ243" t="s">
        <v>74</v>
      </c>
      <c r="BR243" t="s">
        <v>105</v>
      </c>
      <c r="BS243" t="s">
        <v>4252</v>
      </c>
      <c r="BT243" t="str">
        <f>HYPERLINK("https%3A%2F%2Fwww.webofscience.com%2Fwos%2Fwoscc%2Ffull-record%2FWOS:000962652400001","View Full Record in Web of Science")</f>
        <v>View Full Record in Web of Science</v>
      </c>
    </row>
    <row r="244" spans="1:72" x14ac:dyDescent="0.15">
      <c r="A244" t="s">
        <v>72</v>
      </c>
      <c r="B244" t="s">
        <v>4253</v>
      </c>
      <c r="C244" t="s">
        <v>74</v>
      </c>
      <c r="D244" t="s">
        <v>74</v>
      </c>
      <c r="E244" t="s">
        <v>74</v>
      </c>
      <c r="F244" t="s">
        <v>4254</v>
      </c>
      <c r="G244" t="s">
        <v>74</v>
      </c>
      <c r="H244" t="s">
        <v>74</v>
      </c>
      <c r="I244" t="s">
        <v>4255</v>
      </c>
      <c r="J244" t="s">
        <v>1179</v>
      </c>
      <c r="K244" t="s">
        <v>74</v>
      </c>
      <c r="L244" t="s">
        <v>74</v>
      </c>
      <c r="M244" t="s">
        <v>78</v>
      </c>
      <c r="N244" t="s">
        <v>79</v>
      </c>
      <c r="O244" t="s">
        <v>74</v>
      </c>
      <c r="P244" t="s">
        <v>74</v>
      </c>
      <c r="Q244" t="s">
        <v>74</v>
      </c>
      <c r="R244" t="s">
        <v>74</v>
      </c>
      <c r="S244" t="s">
        <v>74</v>
      </c>
      <c r="T244" t="s">
        <v>4256</v>
      </c>
      <c r="U244" t="s">
        <v>4257</v>
      </c>
      <c r="V244" t="s">
        <v>4258</v>
      </c>
      <c r="W244" t="s">
        <v>4259</v>
      </c>
      <c r="X244" t="s">
        <v>4260</v>
      </c>
      <c r="Y244" t="s">
        <v>4261</v>
      </c>
      <c r="Z244" t="s">
        <v>4262</v>
      </c>
      <c r="AA244" t="s">
        <v>74</v>
      </c>
      <c r="AB244" t="s">
        <v>4263</v>
      </c>
      <c r="AC244" t="s">
        <v>4264</v>
      </c>
      <c r="AD244" t="s">
        <v>4265</v>
      </c>
      <c r="AE244" t="s">
        <v>4266</v>
      </c>
      <c r="AF244" t="s">
        <v>74</v>
      </c>
      <c r="AG244">
        <v>61</v>
      </c>
      <c r="AH244">
        <v>2</v>
      </c>
      <c r="AI244">
        <v>2</v>
      </c>
      <c r="AJ244">
        <v>10</v>
      </c>
      <c r="AK244">
        <v>16</v>
      </c>
      <c r="AL244" t="s">
        <v>1188</v>
      </c>
      <c r="AM244" t="s">
        <v>93</v>
      </c>
      <c r="AN244" t="s">
        <v>1189</v>
      </c>
      <c r="AO244" t="s">
        <v>1190</v>
      </c>
      <c r="AP244" t="s">
        <v>74</v>
      </c>
      <c r="AQ244" t="s">
        <v>74</v>
      </c>
      <c r="AR244" t="s">
        <v>1191</v>
      </c>
      <c r="AS244" t="s">
        <v>1192</v>
      </c>
      <c r="AT244" t="s">
        <v>99</v>
      </c>
      <c r="AU244">
        <v>2023</v>
      </c>
      <c r="AV244">
        <v>10</v>
      </c>
      <c r="AW244">
        <v>1</v>
      </c>
      <c r="AX244" t="s">
        <v>74</v>
      </c>
      <c r="AY244" t="s">
        <v>74</v>
      </c>
      <c r="AZ244" t="s">
        <v>74</v>
      </c>
      <c r="BA244" t="s">
        <v>74</v>
      </c>
      <c r="BB244">
        <v>33</v>
      </c>
      <c r="BC244">
        <v>51</v>
      </c>
      <c r="BD244" t="s">
        <v>74</v>
      </c>
      <c r="BE244" t="s">
        <v>4267</v>
      </c>
      <c r="BF244" t="str">
        <f>HYPERLINK("http://dx.doi.org/10.1080/21681376.2022.2157324","http://dx.doi.org/10.1080/21681376.2022.2157324")</f>
        <v>http://dx.doi.org/10.1080/21681376.2022.2157324</v>
      </c>
      <c r="BG244" t="s">
        <v>74</v>
      </c>
      <c r="BH244" t="s">
        <v>74</v>
      </c>
      <c r="BI244">
        <v>19</v>
      </c>
      <c r="BJ244" t="s">
        <v>1194</v>
      </c>
      <c r="BK244" t="s">
        <v>211</v>
      </c>
      <c r="BL244" t="s">
        <v>1194</v>
      </c>
      <c r="BM244" t="s">
        <v>4268</v>
      </c>
      <c r="BN244" t="s">
        <v>74</v>
      </c>
      <c r="BO244" t="s">
        <v>104</v>
      </c>
      <c r="BP244" t="s">
        <v>74</v>
      </c>
      <c r="BQ244" t="s">
        <v>74</v>
      </c>
      <c r="BR244" t="s">
        <v>105</v>
      </c>
      <c r="BS244" t="s">
        <v>4269</v>
      </c>
      <c r="BT244" t="str">
        <f>HYPERLINK("https%3A%2F%2Fwww.webofscience.com%2Fwos%2Fwoscc%2Ffull-record%2FWOS:000913819000001","View Full Record in Web of Science")</f>
        <v>View Full Record in Web of Science</v>
      </c>
    </row>
    <row r="245" spans="1:72" x14ac:dyDescent="0.15">
      <c r="A245" t="s">
        <v>72</v>
      </c>
      <c r="B245" t="s">
        <v>4270</v>
      </c>
      <c r="C245" t="s">
        <v>74</v>
      </c>
      <c r="D245" t="s">
        <v>74</v>
      </c>
      <c r="E245" t="s">
        <v>74</v>
      </c>
      <c r="F245" t="s">
        <v>4271</v>
      </c>
      <c r="G245" t="s">
        <v>74</v>
      </c>
      <c r="H245" t="s">
        <v>74</v>
      </c>
      <c r="I245" t="s">
        <v>4272</v>
      </c>
      <c r="J245" t="s">
        <v>1337</v>
      </c>
      <c r="K245" t="s">
        <v>74</v>
      </c>
      <c r="L245" t="s">
        <v>74</v>
      </c>
      <c r="M245" t="s">
        <v>78</v>
      </c>
      <c r="N245" t="s">
        <v>79</v>
      </c>
      <c r="O245" t="s">
        <v>74</v>
      </c>
      <c r="P245" t="s">
        <v>74</v>
      </c>
      <c r="Q245" t="s">
        <v>74</v>
      </c>
      <c r="R245" t="s">
        <v>74</v>
      </c>
      <c r="S245" t="s">
        <v>74</v>
      </c>
      <c r="T245" t="s">
        <v>4273</v>
      </c>
      <c r="U245" t="s">
        <v>4274</v>
      </c>
      <c r="V245" t="s">
        <v>4275</v>
      </c>
      <c r="W245" t="s">
        <v>4276</v>
      </c>
      <c r="X245" t="s">
        <v>74</v>
      </c>
      <c r="Y245" t="s">
        <v>4277</v>
      </c>
      <c r="Z245" t="s">
        <v>4278</v>
      </c>
      <c r="AA245" t="s">
        <v>74</v>
      </c>
      <c r="AB245" t="s">
        <v>74</v>
      </c>
      <c r="AC245" t="s">
        <v>4279</v>
      </c>
      <c r="AD245" t="s">
        <v>4279</v>
      </c>
      <c r="AE245" t="s">
        <v>4279</v>
      </c>
      <c r="AF245" t="s">
        <v>74</v>
      </c>
      <c r="AG245">
        <v>43</v>
      </c>
      <c r="AH245">
        <v>0</v>
      </c>
      <c r="AI245">
        <v>0</v>
      </c>
      <c r="AJ245">
        <v>3</v>
      </c>
      <c r="AK245">
        <v>3</v>
      </c>
      <c r="AL245" t="s">
        <v>184</v>
      </c>
      <c r="AM245" t="s">
        <v>185</v>
      </c>
      <c r="AN245" t="s">
        <v>186</v>
      </c>
      <c r="AO245" t="s">
        <v>1348</v>
      </c>
      <c r="AP245" t="s">
        <v>1349</v>
      </c>
      <c r="AQ245" t="s">
        <v>74</v>
      </c>
      <c r="AR245" t="s">
        <v>1350</v>
      </c>
      <c r="AS245" t="s">
        <v>1351</v>
      </c>
      <c r="AT245" t="s">
        <v>99</v>
      </c>
      <c r="AU245">
        <v>2023</v>
      </c>
      <c r="AV245">
        <v>24</v>
      </c>
      <c r="AW245">
        <v>1</v>
      </c>
      <c r="AX245" t="s">
        <v>74</v>
      </c>
      <c r="AY245" t="s">
        <v>74</v>
      </c>
      <c r="AZ245" t="s">
        <v>74</v>
      </c>
      <c r="BA245" t="s">
        <v>74</v>
      </c>
      <c r="BB245" t="s">
        <v>74</v>
      </c>
      <c r="BC245" t="s">
        <v>74</v>
      </c>
      <c r="BD245">
        <v>2249174</v>
      </c>
      <c r="BE245" t="s">
        <v>4280</v>
      </c>
      <c r="BF245" t="str">
        <f>HYPERLINK("http://dx.doi.org/10.1080/15384047.2023.2249174","http://dx.doi.org/10.1080/15384047.2023.2249174")</f>
        <v>http://dx.doi.org/10.1080/15384047.2023.2249174</v>
      </c>
      <c r="BG245" t="s">
        <v>74</v>
      </c>
      <c r="BH245" t="s">
        <v>74</v>
      </c>
      <c r="BI245">
        <v>14</v>
      </c>
      <c r="BJ245" t="s">
        <v>1353</v>
      </c>
      <c r="BK245" t="s">
        <v>102</v>
      </c>
      <c r="BL245" t="s">
        <v>1353</v>
      </c>
      <c r="BM245" t="s">
        <v>4281</v>
      </c>
      <c r="BN245">
        <v>37639643</v>
      </c>
      <c r="BO245" t="s">
        <v>126</v>
      </c>
      <c r="BP245" t="s">
        <v>74</v>
      </c>
      <c r="BQ245" t="s">
        <v>74</v>
      </c>
      <c r="BR245" t="s">
        <v>105</v>
      </c>
      <c r="BS245" t="s">
        <v>4282</v>
      </c>
      <c r="BT245" t="str">
        <f>HYPERLINK("https%3A%2F%2Fwww.webofscience.com%2Fwos%2Fwoscc%2Ffull-record%2FWOS:001056806600001","View Full Record in Web of Science")</f>
        <v>View Full Record in Web of Science</v>
      </c>
    </row>
    <row r="246" spans="1:72" x14ac:dyDescent="0.15">
      <c r="A246" t="s">
        <v>72</v>
      </c>
      <c r="B246" t="s">
        <v>4283</v>
      </c>
      <c r="C246" t="s">
        <v>74</v>
      </c>
      <c r="D246" t="s">
        <v>74</v>
      </c>
      <c r="E246" t="s">
        <v>74</v>
      </c>
      <c r="F246" t="s">
        <v>4284</v>
      </c>
      <c r="G246" t="s">
        <v>74</v>
      </c>
      <c r="H246" t="s">
        <v>74</v>
      </c>
      <c r="I246" t="s">
        <v>4285</v>
      </c>
      <c r="J246" t="s">
        <v>497</v>
      </c>
      <c r="K246" t="s">
        <v>74</v>
      </c>
      <c r="L246" t="s">
        <v>74</v>
      </c>
      <c r="M246" t="s">
        <v>78</v>
      </c>
      <c r="N246" t="s">
        <v>79</v>
      </c>
      <c r="O246" t="s">
        <v>74</v>
      </c>
      <c r="P246" t="s">
        <v>74</v>
      </c>
      <c r="Q246" t="s">
        <v>74</v>
      </c>
      <c r="R246" t="s">
        <v>74</v>
      </c>
      <c r="S246" t="s">
        <v>74</v>
      </c>
      <c r="T246" t="s">
        <v>4286</v>
      </c>
      <c r="U246" t="s">
        <v>4287</v>
      </c>
      <c r="V246" t="s">
        <v>4288</v>
      </c>
      <c r="W246" t="s">
        <v>4289</v>
      </c>
      <c r="X246" t="s">
        <v>4290</v>
      </c>
      <c r="Y246" t="s">
        <v>4291</v>
      </c>
      <c r="Z246" t="s">
        <v>4292</v>
      </c>
      <c r="AA246" t="s">
        <v>4293</v>
      </c>
      <c r="AB246" t="s">
        <v>4294</v>
      </c>
      <c r="AC246" t="s">
        <v>74</v>
      </c>
      <c r="AD246" t="s">
        <v>74</v>
      </c>
      <c r="AE246" t="s">
        <v>74</v>
      </c>
      <c r="AF246" t="s">
        <v>74</v>
      </c>
      <c r="AG246">
        <v>52</v>
      </c>
      <c r="AH246">
        <v>0</v>
      </c>
      <c r="AI246">
        <v>0</v>
      </c>
      <c r="AJ246">
        <v>36</v>
      </c>
      <c r="AK246">
        <v>59</v>
      </c>
      <c r="AL246" t="s">
        <v>92</v>
      </c>
      <c r="AM246" t="s">
        <v>93</v>
      </c>
      <c r="AN246" t="s">
        <v>94</v>
      </c>
      <c r="AO246" t="s">
        <v>510</v>
      </c>
      <c r="AP246" t="s">
        <v>511</v>
      </c>
      <c r="AQ246" t="s">
        <v>74</v>
      </c>
      <c r="AR246" t="s">
        <v>512</v>
      </c>
      <c r="AS246" t="s">
        <v>513</v>
      </c>
      <c r="AT246" t="s">
        <v>99</v>
      </c>
      <c r="AU246">
        <v>2023</v>
      </c>
      <c r="AV246">
        <v>18</v>
      </c>
      <c r="AW246">
        <v>1</v>
      </c>
      <c r="AX246" t="s">
        <v>74</v>
      </c>
      <c r="AY246" t="s">
        <v>74</v>
      </c>
      <c r="AZ246" t="s">
        <v>74</v>
      </c>
      <c r="BA246" t="s">
        <v>74</v>
      </c>
      <c r="BB246" t="s">
        <v>74</v>
      </c>
      <c r="BC246" t="s">
        <v>74</v>
      </c>
      <c r="BD246" t="s">
        <v>4295</v>
      </c>
      <c r="BE246" t="s">
        <v>4296</v>
      </c>
      <c r="BF246" t="str">
        <f>HYPERLINK("http://dx.doi.org/10.1080/17452759.2022.2150652","http://dx.doi.org/10.1080/17452759.2022.2150652")</f>
        <v>http://dx.doi.org/10.1080/17452759.2022.2150652</v>
      </c>
      <c r="BG246" t="s">
        <v>74</v>
      </c>
      <c r="BH246" t="s">
        <v>74</v>
      </c>
      <c r="BI246">
        <v>16</v>
      </c>
      <c r="BJ246" t="s">
        <v>516</v>
      </c>
      <c r="BK246" t="s">
        <v>102</v>
      </c>
      <c r="BL246" t="s">
        <v>517</v>
      </c>
      <c r="BM246" t="s">
        <v>4297</v>
      </c>
      <c r="BN246" t="s">
        <v>74</v>
      </c>
      <c r="BO246" t="s">
        <v>126</v>
      </c>
      <c r="BP246" t="s">
        <v>74</v>
      </c>
      <c r="BQ246" t="s">
        <v>74</v>
      </c>
      <c r="BR246" t="s">
        <v>105</v>
      </c>
      <c r="BS246" t="s">
        <v>4298</v>
      </c>
      <c r="BT246" t="str">
        <f>HYPERLINK("https%3A%2F%2Fwww.webofscience.com%2Fwos%2Fwoscc%2Ffull-record%2FWOS:000917774400001","View Full Record in Web of Science")</f>
        <v>View Full Record in Web of Science</v>
      </c>
    </row>
    <row r="247" spans="1:72" x14ac:dyDescent="0.15">
      <c r="A247" t="s">
        <v>72</v>
      </c>
      <c r="B247" t="s">
        <v>4299</v>
      </c>
      <c r="C247" t="s">
        <v>74</v>
      </c>
      <c r="D247" t="s">
        <v>74</v>
      </c>
      <c r="E247" t="s">
        <v>74</v>
      </c>
      <c r="F247" t="s">
        <v>4300</v>
      </c>
      <c r="G247" t="s">
        <v>74</v>
      </c>
      <c r="H247" t="s">
        <v>74</v>
      </c>
      <c r="I247" t="s">
        <v>4301</v>
      </c>
      <c r="J247" t="s">
        <v>736</v>
      </c>
      <c r="K247" t="s">
        <v>74</v>
      </c>
      <c r="L247" t="s">
        <v>74</v>
      </c>
      <c r="M247" t="s">
        <v>78</v>
      </c>
      <c r="N247" t="s">
        <v>79</v>
      </c>
      <c r="O247" t="s">
        <v>74</v>
      </c>
      <c r="P247" t="s">
        <v>74</v>
      </c>
      <c r="Q247" t="s">
        <v>74</v>
      </c>
      <c r="R247" t="s">
        <v>74</v>
      </c>
      <c r="S247" t="s">
        <v>74</v>
      </c>
      <c r="T247" t="s">
        <v>4302</v>
      </c>
      <c r="U247" t="s">
        <v>4303</v>
      </c>
      <c r="V247" t="s">
        <v>4304</v>
      </c>
      <c r="W247" t="s">
        <v>4305</v>
      </c>
      <c r="X247" t="s">
        <v>4154</v>
      </c>
      <c r="Y247" t="s">
        <v>4306</v>
      </c>
      <c r="Z247" t="s">
        <v>4307</v>
      </c>
      <c r="AA247" t="s">
        <v>74</v>
      </c>
      <c r="AB247" t="s">
        <v>74</v>
      </c>
      <c r="AC247" t="s">
        <v>74</v>
      </c>
      <c r="AD247" t="s">
        <v>74</v>
      </c>
      <c r="AE247" t="s">
        <v>74</v>
      </c>
      <c r="AF247" t="s">
        <v>74</v>
      </c>
      <c r="AG247">
        <v>53</v>
      </c>
      <c r="AH247">
        <v>0</v>
      </c>
      <c r="AI247">
        <v>0</v>
      </c>
      <c r="AJ247">
        <v>13</v>
      </c>
      <c r="AK247">
        <v>13</v>
      </c>
      <c r="AL247" t="s">
        <v>92</v>
      </c>
      <c r="AM247" t="s">
        <v>93</v>
      </c>
      <c r="AN247" t="s">
        <v>94</v>
      </c>
      <c r="AO247" t="s">
        <v>74</v>
      </c>
      <c r="AP247" t="s">
        <v>748</v>
      </c>
      <c r="AQ247" t="s">
        <v>74</v>
      </c>
      <c r="AR247" t="s">
        <v>749</v>
      </c>
      <c r="AS247" t="s">
        <v>750</v>
      </c>
      <c r="AT247" t="s">
        <v>99</v>
      </c>
      <c r="AU247">
        <v>2023</v>
      </c>
      <c r="AV247">
        <v>12</v>
      </c>
      <c r="AW247">
        <v>1</v>
      </c>
      <c r="AX247" t="s">
        <v>74</v>
      </c>
      <c r="AY247" t="s">
        <v>74</v>
      </c>
      <c r="AZ247" t="s">
        <v>74</v>
      </c>
      <c r="BA247" t="s">
        <v>74</v>
      </c>
      <c r="BB247" t="s">
        <v>74</v>
      </c>
      <c r="BC247" t="s">
        <v>74</v>
      </c>
      <c r="BD247">
        <v>2207688</v>
      </c>
      <c r="BE247" t="s">
        <v>4308</v>
      </c>
      <c r="BF247" t="str">
        <f>HYPERLINK("http://dx.doi.org/10.1080/22221751.2023.2207688","http://dx.doi.org/10.1080/22221751.2023.2207688")</f>
        <v>http://dx.doi.org/10.1080/22221751.2023.2207688</v>
      </c>
      <c r="BG247" t="s">
        <v>74</v>
      </c>
      <c r="BH247" t="s">
        <v>74</v>
      </c>
      <c r="BI247">
        <v>16</v>
      </c>
      <c r="BJ247" t="s">
        <v>752</v>
      </c>
      <c r="BK247" t="s">
        <v>102</v>
      </c>
      <c r="BL247" t="s">
        <v>752</v>
      </c>
      <c r="BM247" t="s">
        <v>4309</v>
      </c>
      <c r="BN247">
        <v>37125733</v>
      </c>
      <c r="BO247" t="s">
        <v>104</v>
      </c>
      <c r="BP247" t="s">
        <v>74</v>
      </c>
      <c r="BQ247" t="s">
        <v>74</v>
      </c>
      <c r="BR247" t="s">
        <v>105</v>
      </c>
      <c r="BS247" t="s">
        <v>4310</v>
      </c>
      <c r="BT247" t="str">
        <f>HYPERLINK("https%3A%2F%2Fwww.webofscience.com%2Fwos%2Fwoscc%2Ffull-record%2FWOS:000989134600001","View Full Record in Web of Science")</f>
        <v>View Full Record in Web of Science</v>
      </c>
    </row>
    <row r="248" spans="1:72" x14ac:dyDescent="0.15">
      <c r="A248" t="s">
        <v>72</v>
      </c>
      <c r="B248" t="s">
        <v>4311</v>
      </c>
      <c r="C248" t="s">
        <v>74</v>
      </c>
      <c r="D248" t="s">
        <v>74</v>
      </c>
      <c r="E248" t="s">
        <v>74</v>
      </c>
      <c r="F248" t="s">
        <v>4312</v>
      </c>
      <c r="G248" t="s">
        <v>74</v>
      </c>
      <c r="H248" t="s">
        <v>74</v>
      </c>
      <c r="I248" t="s">
        <v>4313</v>
      </c>
      <c r="J248" t="s">
        <v>1910</v>
      </c>
      <c r="K248" t="s">
        <v>74</v>
      </c>
      <c r="L248" t="s">
        <v>74</v>
      </c>
      <c r="M248" t="s">
        <v>78</v>
      </c>
      <c r="N248" t="s">
        <v>79</v>
      </c>
      <c r="O248" t="s">
        <v>74</v>
      </c>
      <c r="P248" t="s">
        <v>74</v>
      </c>
      <c r="Q248" t="s">
        <v>74</v>
      </c>
      <c r="R248" t="s">
        <v>74</v>
      </c>
      <c r="S248" t="s">
        <v>74</v>
      </c>
      <c r="T248" t="s">
        <v>4314</v>
      </c>
      <c r="U248" t="s">
        <v>4315</v>
      </c>
      <c r="V248" t="s">
        <v>4316</v>
      </c>
      <c r="W248" t="s">
        <v>4317</v>
      </c>
      <c r="X248" t="s">
        <v>3211</v>
      </c>
      <c r="Y248" t="s">
        <v>4318</v>
      </c>
      <c r="Z248" t="s">
        <v>4319</v>
      </c>
      <c r="AA248" t="s">
        <v>74</v>
      </c>
      <c r="AB248" t="s">
        <v>74</v>
      </c>
      <c r="AC248" t="s">
        <v>4320</v>
      </c>
      <c r="AD248" t="s">
        <v>74</v>
      </c>
      <c r="AE248" t="s">
        <v>4321</v>
      </c>
      <c r="AF248" t="s">
        <v>74</v>
      </c>
      <c r="AG248">
        <v>78</v>
      </c>
      <c r="AH248">
        <v>0</v>
      </c>
      <c r="AI248">
        <v>0</v>
      </c>
      <c r="AJ248">
        <v>4</v>
      </c>
      <c r="AK248">
        <v>4</v>
      </c>
      <c r="AL248" t="s">
        <v>92</v>
      </c>
      <c r="AM248" t="s">
        <v>93</v>
      </c>
      <c r="AN248" t="s">
        <v>94</v>
      </c>
      <c r="AO248" t="s">
        <v>1921</v>
      </c>
      <c r="AP248" t="s">
        <v>1922</v>
      </c>
      <c r="AQ248" t="s">
        <v>74</v>
      </c>
      <c r="AR248" t="s">
        <v>1910</v>
      </c>
      <c r="AS248" t="s">
        <v>1923</v>
      </c>
      <c r="AT248" t="s">
        <v>99</v>
      </c>
      <c r="AU248">
        <v>2023</v>
      </c>
      <c r="AV248">
        <v>45</v>
      </c>
      <c r="AW248">
        <v>1</v>
      </c>
      <c r="AX248" t="s">
        <v>74</v>
      </c>
      <c r="AY248" t="s">
        <v>74</v>
      </c>
      <c r="AZ248" t="s">
        <v>74</v>
      </c>
      <c r="BA248" t="s">
        <v>74</v>
      </c>
      <c r="BB248" t="s">
        <v>74</v>
      </c>
      <c r="BC248" t="s">
        <v>74</v>
      </c>
      <c r="BD248">
        <v>2188966</v>
      </c>
      <c r="BE248" t="s">
        <v>4322</v>
      </c>
      <c r="BF248" t="str">
        <f>HYPERLINK("http://dx.doi.org/10.1080/0886022X.2023.2188966","http://dx.doi.org/10.1080/0886022X.2023.2188966")</f>
        <v>http://dx.doi.org/10.1080/0886022X.2023.2188966</v>
      </c>
      <c r="BG248" t="s">
        <v>74</v>
      </c>
      <c r="BH248" t="s">
        <v>74</v>
      </c>
      <c r="BI248">
        <v>13</v>
      </c>
      <c r="BJ248" t="s">
        <v>1925</v>
      </c>
      <c r="BK248" t="s">
        <v>102</v>
      </c>
      <c r="BL248" t="s">
        <v>1925</v>
      </c>
      <c r="BM248" t="s">
        <v>4323</v>
      </c>
      <c r="BN248">
        <v>37563795</v>
      </c>
      <c r="BO248" t="s">
        <v>165</v>
      </c>
      <c r="BP248" t="s">
        <v>74</v>
      </c>
      <c r="BQ248" t="s">
        <v>74</v>
      </c>
      <c r="BR248" t="s">
        <v>105</v>
      </c>
      <c r="BS248" t="s">
        <v>4324</v>
      </c>
      <c r="BT248" t="str">
        <f>HYPERLINK("https%3A%2F%2Fwww.webofscience.com%2Fwos%2Fwoscc%2Ffull-record%2FWOS:001045954000001","View Full Record in Web of Science")</f>
        <v>View Full Record in Web of Science</v>
      </c>
    </row>
    <row r="249" spans="1:72" x14ac:dyDescent="0.15">
      <c r="A249" t="s">
        <v>72</v>
      </c>
      <c r="B249" t="s">
        <v>4325</v>
      </c>
      <c r="C249" t="s">
        <v>74</v>
      </c>
      <c r="D249" t="s">
        <v>74</v>
      </c>
      <c r="E249" t="s">
        <v>74</v>
      </c>
      <c r="F249" t="s">
        <v>4326</v>
      </c>
      <c r="G249" t="s">
        <v>74</v>
      </c>
      <c r="H249" t="s">
        <v>74</v>
      </c>
      <c r="I249" t="s">
        <v>4327</v>
      </c>
      <c r="J249" t="s">
        <v>1443</v>
      </c>
      <c r="K249" t="s">
        <v>74</v>
      </c>
      <c r="L249" t="s">
        <v>74</v>
      </c>
      <c r="M249" t="s">
        <v>78</v>
      </c>
      <c r="N249" t="s">
        <v>79</v>
      </c>
      <c r="O249" t="s">
        <v>74</v>
      </c>
      <c r="P249" t="s">
        <v>74</v>
      </c>
      <c r="Q249" t="s">
        <v>74</v>
      </c>
      <c r="R249" t="s">
        <v>74</v>
      </c>
      <c r="S249" t="s">
        <v>74</v>
      </c>
      <c r="T249" t="s">
        <v>4328</v>
      </c>
      <c r="U249" t="s">
        <v>4329</v>
      </c>
      <c r="V249" t="s">
        <v>4330</v>
      </c>
      <c r="W249" t="s">
        <v>4331</v>
      </c>
      <c r="X249" t="s">
        <v>4332</v>
      </c>
      <c r="Y249" t="s">
        <v>4333</v>
      </c>
      <c r="Z249" t="s">
        <v>4334</v>
      </c>
      <c r="AA249" t="s">
        <v>74</v>
      </c>
      <c r="AB249" t="s">
        <v>74</v>
      </c>
      <c r="AC249" t="s">
        <v>4335</v>
      </c>
      <c r="AD249" t="s">
        <v>4336</v>
      </c>
      <c r="AE249" t="s">
        <v>4337</v>
      </c>
      <c r="AF249" t="s">
        <v>74</v>
      </c>
      <c r="AG249">
        <v>52</v>
      </c>
      <c r="AH249">
        <v>0</v>
      </c>
      <c r="AI249">
        <v>0</v>
      </c>
      <c r="AJ249">
        <v>8</v>
      </c>
      <c r="AK249">
        <v>8</v>
      </c>
      <c r="AL249" t="s">
        <v>92</v>
      </c>
      <c r="AM249" t="s">
        <v>93</v>
      </c>
      <c r="AN249" t="s">
        <v>94</v>
      </c>
      <c r="AO249" t="s">
        <v>1447</v>
      </c>
      <c r="AP249" t="s">
        <v>1448</v>
      </c>
      <c r="AQ249" t="s">
        <v>74</v>
      </c>
      <c r="AR249" t="s">
        <v>1449</v>
      </c>
      <c r="AS249" t="s">
        <v>1450</v>
      </c>
      <c r="AT249" t="s">
        <v>99</v>
      </c>
      <c r="AU249">
        <v>2023</v>
      </c>
      <c r="AV249">
        <v>38</v>
      </c>
      <c r="AW249">
        <v>1</v>
      </c>
      <c r="AX249" t="s">
        <v>74</v>
      </c>
      <c r="AY249" t="s">
        <v>74</v>
      </c>
      <c r="AZ249" t="s">
        <v>74</v>
      </c>
      <c r="BA249" t="s">
        <v>74</v>
      </c>
      <c r="BB249" t="s">
        <v>74</v>
      </c>
      <c r="BC249" t="s">
        <v>74</v>
      </c>
      <c r="BD249">
        <v>2247579</v>
      </c>
      <c r="BE249" t="s">
        <v>4338</v>
      </c>
      <c r="BF249" t="str">
        <f>HYPERLINK("http://dx.doi.org/10.1080/14756366.2023.2247579","http://dx.doi.org/10.1080/14756366.2023.2247579")</f>
        <v>http://dx.doi.org/10.1080/14756366.2023.2247579</v>
      </c>
      <c r="BG249" t="s">
        <v>74</v>
      </c>
      <c r="BH249" t="s">
        <v>74</v>
      </c>
      <c r="BI249">
        <v>16</v>
      </c>
      <c r="BJ249" t="s">
        <v>1452</v>
      </c>
      <c r="BK249" t="s">
        <v>1472</v>
      </c>
      <c r="BL249" t="s">
        <v>1453</v>
      </c>
      <c r="BM249" t="s">
        <v>4339</v>
      </c>
      <c r="BN249">
        <v>37587873</v>
      </c>
      <c r="BO249" t="s">
        <v>4340</v>
      </c>
      <c r="BP249" t="s">
        <v>74</v>
      </c>
      <c r="BQ249" t="s">
        <v>74</v>
      </c>
      <c r="BR249" t="s">
        <v>105</v>
      </c>
      <c r="BS249" t="s">
        <v>4341</v>
      </c>
      <c r="BT249" t="str">
        <f>HYPERLINK("https%3A%2F%2Fwww.webofscience.com%2Fwos%2Fwoscc%2Ffull-record%2FWOS:001049749300001","View Full Record in Web of Science")</f>
        <v>View Full Record in Web of Science</v>
      </c>
    </row>
    <row r="250" spans="1:72" x14ac:dyDescent="0.15">
      <c r="A250" t="s">
        <v>72</v>
      </c>
      <c r="B250" t="s">
        <v>4342</v>
      </c>
      <c r="C250" t="s">
        <v>74</v>
      </c>
      <c r="D250" t="s">
        <v>74</v>
      </c>
      <c r="E250" t="s">
        <v>74</v>
      </c>
      <c r="F250" t="s">
        <v>4343</v>
      </c>
      <c r="G250" t="s">
        <v>74</v>
      </c>
      <c r="H250" t="s">
        <v>74</v>
      </c>
      <c r="I250" t="s">
        <v>4344</v>
      </c>
      <c r="J250" t="s">
        <v>1613</v>
      </c>
      <c r="K250" t="s">
        <v>74</v>
      </c>
      <c r="L250" t="s">
        <v>74</v>
      </c>
      <c r="M250" t="s">
        <v>78</v>
      </c>
      <c r="N250" t="s">
        <v>79</v>
      </c>
      <c r="O250" t="s">
        <v>74</v>
      </c>
      <c r="P250" t="s">
        <v>74</v>
      </c>
      <c r="Q250" t="s">
        <v>74</v>
      </c>
      <c r="R250" t="s">
        <v>74</v>
      </c>
      <c r="S250" t="s">
        <v>74</v>
      </c>
      <c r="T250" t="s">
        <v>4345</v>
      </c>
      <c r="U250" t="s">
        <v>4346</v>
      </c>
      <c r="V250" t="s">
        <v>4347</v>
      </c>
      <c r="W250" t="s">
        <v>4348</v>
      </c>
      <c r="X250" t="s">
        <v>4349</v>
      </c>
      <c r="Y250" t="s">
        <v>4350</v>
      </c>
      <c r="Z250" t="s">
        <v>4351</v>
      </c>
      <c r="AA250" t="s">
        <v>4352</v>
      </c>
      <c r="AB250" t="s">
        <v>4353</v>
      </c>
      <c r="AC250" t="s">
        <v>74</v>
      </c>
      <c r="AD250" t="s">
        <v>74</v>
      </c>
      <c r="AE250" t="s">
        <v>74</v>
      </c>
      <c r="AF250" t="s">
        <v>74</v>
      </c>
      <c r="AG250">
        <v>44</v>
      </c>
      <c r="AH250">
        <v>0</v>
      </c>
      <c r="AI250">
        <v>0</v>
      </c>
      <c r="AJ250">
        <v>17</v>
      </c>
      <c r="AK250">
        <v>20</v>
      </c>
      <c r="AL250" t="s">
        <v>184</v>
      </c>
      <c r="AM250" t="s">
        <v>185</v>
      </c>
      <c r="AN250" t="s">
        <v>186</v>
      </c>
      <c r="AO250" t="s">
        <v>1621</v>
      </c>
      <c r="AP250" t="s">
        <v>1622</v>
      </c>
      <c r="AQ250" t="s">
        <v>74</v>
      </c>
      <c r="AR250" t="s">
        <v>1613</v>
      </c>
      <c r="AS250" t="s">
        <v>1623</v>
      </c>
      <c r="AT250" t="s">
        <v>99</v>
      </c>
      <c r="AU250">
        <v>2023</v>
      </c>
      <c r="AV250">
        <v>15</v>
      </c>
      <c r="AW250">
        <v>1</v>
      </c>
      <c r="AX250" t="s">
        <v>74</v>
      </c>
      <c r="AY250" t="s">
        <v>74</v>
      </c>
      <c r="AZ250" t="s">
        <v>74</v>
      </c>
      <c r="BA250" t="s">
        <v>74</v>
      </c>
      <c r="BB250" t="s">
        <v>74</v>
      </c>
      <c r="BC250" t="s">
        <v>74</v>
      </c>
      <c r="BD250">
        <v>2193115</v>
      </c>
      <c r="BE250" t="s">
        <v>4354</v>
      </c>
      <c r="BF250" t="str">
        <f>HYPERLINK("http://dx.doi.org/10.1080/19490976.2023.2193115","http://dx.doi.org/10.1080/19490976.2023.2193115")</f>
        <v>http://dx.doi.org/10.1080/19490976.2023.2193115</v>
      </c>
      <c r="BG250" t="s">
        <v>74</v>
      </c>
      <c r="BH250" t="s">
        <v>74</v>
      </c>
      <c r="BI250">
        <v>19</v>
      </c>
      <c r="BJ250" t="s">
        <v>1625</v>
      </c>
      <c r="BK250" t="s">
        <v>102</v>
      </c>
      <c r="BL250" t="s">
        <v>1625</v>
      </c>
      <c r="BM250" t="s">
        <v>4355</v>
      </c>
      <c r="BN250">
        <v>36945126</v>
      </c>
      <c r="BO250" t="s">
        <v>104</v>
      </c>
      <c r="BP250" t="s">
        <v>74</v>
      </c>
      <c r="BQ250" t="s">
        <v>74</v>
      </c>
      <c r="BR250" t="s">
        <v>105</v>
      </c>
      <c r="BS250" t="s">
        <v>4356</v>
      </c>
      <c r="BT250" t="str">
        <f>HYPERLINK("https%3A%2F%2Fwww.webofscience.com%2Fwos%2Fwoscc%2Ffull-record%2FWOS:000951313000001","View Full Record in Web of Science")</f>
        <v>View Full Record in Web of Science</v>
      </c>
    </row>
    <row r="251" spans="1:72" x14ac:dyDescent="0.15">
      <c r="A251" t="s">
        <v>72</v>
      </c>
      <c r="B251" t="s">
        <v>4357</v>
      </c>
      <c r="C251" t="s">
        <v>74</v>
      </c>
      <c r="D251" t="s">
        <v>74</v>
      </c>
      <c r="E251" t="s">
        <v>74</v>
      </c>
      <c r="F251" t="s">
        <v>4358</v>
      </c>
      <c r="G251" t="s">
        <v>74</v>
      </c>
      <c r="H251" t="s">
        <v>74</v>
      </c>
      <c r="I251" t="s">
        <v>4359</v>
      </c>
      <c r="J251" t="s">
        <v>3347</v>
      </c>
      <c r="K251" t="s">
        <v>74</v>
      </c>
      <c r="L251" t="s">
        <v>74</v>
      </c>
      <c r="M251" t="s">
        <v>78</v>
      </c>
      <c r="N251" t="s">
        <v>79</v>
      </c>
      <c r="O251" t="s">
        <v>74</v>
      </c>
      <c r="P251" t="s">
        <v>74</v>
      </c>
      <c r="Q251" t="s">
        <v>74</v>
      </c>
      <c r="R251" t="s">
        <v>74</v>
      </c>
      <c r="S251" t="s">
        <v>74</v>
      </c>
      <c r="T251" t="s">
        <v>4360</v>
      </c>
      <c r="U251" t="s">
        <v>4361</v>
      </c>
      <c r="V251" t="s">
        <v>4362</v>
      </c>
      <c r="W251" t="s">
        <v>4363</v>
      </c>
      <c r="X251" t="s">
        <v>4364</v>
      </c>
      <c r="Y251" t="s">
        <v>4365</v>
      </c>
      <c r="Z251" t="s">
        <v>4366</v>
      </c>
      <c r="AA251" t="s">
        <v>4367</v>
      </c>
      <c r="AB251" t="s">
        <v>4368</v>
      </c>
      <c r="AC251" t="s">
        <v>74</v>
      </c>
      <c r="AD251" t="s">
        <v>74</v>
      </c>
      <c r="AE251" t="s">
        <v>74</v>
      </c>
      <c r="AF251" t="s">
        <v>74</v>
      </c>
      <c r="AG251">
        <v>55</v>
      </c>
      <c r="AH251">
        <v>0</v>
      </c>
      <c r="AI251">
        <v>0</v>
      </c>
      <c r="AJ251">
        <v>33</v>
      </c>
      <c r="AK251">
        <v>37</v>
      </c>
      <c r="AL251" t="s">
        <v>92</v>
      </c>
      <c r="AM251" t="s">
        <v>93</v>
      </c>
      <c r="AN251" t="s">
        <v>94</v>
      </c>
      <c r="AO251" t="s">
        <v>3359</v>
      </c>
      <c r="AP251" t="s">
        <v>3360</v>
      </c>
      <c r="AQ251" t="s">
        <v>74</v>
      </c>
      <c r="AR251" t="s">
        <v>3361</v>
      </c>
      <c r="AS251" t="s">
        <v>3362</v>
      </c>
      <c r="AT251" t="s">
        <v>99</v>
      </c>
      <c r="AU251">
        <v>2023</v>
      </c>
      <c r="AV251">
        <v>38</v>
      </c>
      <c r="AW251">
        <v>1</v>
      </c>
      <c r="AX251" t="s">
        <v>74</v>
      </c>
      <c r="AY251" t="s">
        <v>74</v>
      </c>
      <c r="AZ251" t="s">
        <v>74</v>
      </c>
      <c r="BA251" t="s">
        <v>74</v>
      </c>
      <c r="BB251" t="s">
        <v>74</v>
      </c>
      <c r="BC251" t="s">
        <v>74</v>
      </c>
      <c r="BD251">
        <v>2184501</v>
      </c>
      <c r="BE251" t="s">
        <v>4369</v>
      </c>
      <c r="BF251" t="str">
        <f>HYPERLINK("http://dx.doi.org/10.1080/10106049.2023.2184501","http://dx.doi.org/10.1080/10106049.2023.2184501")</f>
        <v>http://dx.doi.org/10.1080/10106049.2023.2184501</v>
      </c>
      <c r="BG251" t="s">
        <v>74</v>
      </c>
      <c r="BH251" t="s">
        <v>74</v>
      </c>
      <c r="BI251">
        <v>30</v>
      </c>
      <c r="BJ251" t="s">
        <v>3364</v>
      </c>
      <c r="BK251" t="s">
        <v>102</v>
      </c>
      <c r="BL251" t="s">
        <v>3365</v>
      </c>
      <c r="BM251" t="s">
        <v>4370</v>
      </c>
      <c r="BN251" t="s">
        <v>74</v>
      </c>
      <c r="BO251" t="s">
        <v>126</v>
      </c>
      <c r="BP251" t="s">
        <v>74</v>
      </c>
      <c r="BQ251" t="s">
        <v>74</v>
      </c>
      <c r="BR251" t="s">
        <v>105</v>
      </c>
      <c r="BS251" t="s">
        <v>4371</v>
      </c>
      <c r="BT251" t="str">
        <f>HYPERLINK("https%3A%2F%2Fwww.webofscience.com%2Fwos%2Fwoscc%2Ffull-record%2FWOS:000949116100001","View Full Record in Web of Science")</f>
        <v>View Full Record in Web of Science</v>
      </c>
    </row>
    <row r="252" spans="1:72" x14ac:dyDescent="0.15">
      <c r="A252" t="s">
        <v>72</v>
      </c>
      <c r="B252" t="s">
        <v>4372</v>
      </c>
      <c r="C252" t="s">
        <v>74</v>
      </c>
      <c r="D252" t="s">
        <v>74</v>
      </c>
      <c r="E252" t="s">
        <v>74</v>
      </c>
      <c r="F252" t="s">
        <v>4373</v>
      </c>
      <c r="G252" t="s">
        <v>74</v>
      </c>
      <c r="H252" t="s">
        <v>74</v>
      </c>
      <c r="I252" t="s">
        <v>4374</v>
      </c>
      <c r="J252" t="s">
        <v>524</v>
      </c>
      <c r="K252" t="s">
        <v>74</v>
      </c>
      <c r="L252" t="s">
        <v>74</v>
      </c>
      <c r="M252" t="s">
        <v>78</v>
      </c>
      <c r="N252" t="s">
        <v>79</v>
      </c>
      <c r="O252" t="s">
        <v>74</v>
      </c>
      <c r="P252" t="s">
        <v>74</v>
      </c>
      <c r="Q252" t="s">
        <v>74</v>
      </c>
      <c r="R252" t="s">
        <v>74</v>
      </c>
      <c r="S252" t="s">
        <v>74</v>
      </c>
      <c r="T252" t="s">
        <v>4375</v>
      </c>
      <c r="U252" t="s">
        <v>4376</v>
      </c>
      <c r="V252" t="s">
        <v>4377</v>
      </c>
      <c r="W252" t="s">
        <v>4378</v>
      </c>
      <c r="X252" t="s">
        <v>4379</v>
      </c>
      <c r="Y252" t="s">
        <v>4380</v>
      </c>
      <c r="Z252" t="s">
        <v>4381</v>
      </c>
      <c r="AA252" t="s">
        <v>4382</v>
      </c>
      <c r="AB252" t="s">
        <v>4383</v>
      </c>
      <c r="AC252" t="s">
        <v>4384</v>
      </c>
      <c r="AD252" t="s">
        <v>4385</v>
      </c>
      <c r="AE252" t="s">
        <v>4386</v>
      </c>
      <c r="AF252" t="s">
        <v>74</v>
      </c>
      <c r="AG252">
        <v>41</v>
      </c>
      <c r="AH252">
        <v>0</v>
      </c>
      <c r="AI252">
        <v>0</v>
      </c>
      <c r="AJ252">
        <v>17</v>
      </c>
      <c r="AK252">
        <v>17</v>
      </c>
      <c r="AL252" t="s">
        <v>92</v>
      </c>
      <c r="AM252" t="s">
        <v>93</v>
      </c>
      <c r="AN252" t="s">
        <v>94</v>
      </c>
      <c r="AO252" t="s">
        <v>537</v>
      </c>
      <c r="AP252" t="s">
        <v>538</v>
      </c>
      <c r="AQ252" t="s">
        <v>74</v>
      </c>
      <c r="AR252" t="s">
        <v>539</v>
      </c>
      <c r="AS252" t="s">
        <v>540</v>
      </c>
      <c r="AT252" t="s">
        <v>99</v>
      </c>
      <c r="AU252">
        <v>2023</v>
      </c>
      <c r="AV252">
        <v>16</v>
      </c>
      <c r="AW252">
        <v>1</v>
      </c>
      <c r="AX252" t="s">
        <v>74</v>
      </c>
      <c r="AY252" t="s">
        <v>74</v>
      </c>
      <c r="AZ252" t="s">
        <v>74</v>
      </c>
      <c r="BA252" t="s">
        <v>74</v>
      </c>
      <c r="BB252">
        <v>1907</v>
      </c>
      <c r="BC252">
        <v>1922</v>
      </c>
      <c r="BD252" t="s">
        <v>74</v>
      </c>
      <c r="BE252" t="s">
        <v>4387</v>
      </c>
      <c r="BF252" t="str">
        <f>HYPERLINK("http://dx.doi.org/10.1080/17538947.2023.2218119","http://dx.doi.org/10.1080/17538947.2023.2218119")</f>
        <v>http://dx.doi.org/10.1080/17538947.2023.2218119</v>
      </c>
      <c r="BG252" t="s">
        <v>74</v>
      </c>
      <c r="BH252" t="s">
        <v>74</v>
      </c>
      <c r="BI252">
        <v>16</v>
      </c>
      <c r="BJ252" t="s">
        <v>542</v>
      </c>
      <c r="BK252" t="s">
        <v>102</v>
      </c>
      <c r="BL252" t="s">
        <v>543</v>
      </c>
      <c r="BM252" t="s">
        <v>4388</v>
      </c>
      <c r="BN252" t="s">
        <v>74</v>
      </c>
      <c r="BO252" t="s">
        <v>126</v>
      </c>
      <c r="BP252" t="s">
        <v>74</v>
      </c>
      <c r="BQ252" t="s">
        <v>74</v>
      </c>
      <c r="BR252" t="s">
        <v>105</v>
      </c>
      <c r="BS252" t="s">
        <v>4389</v>
      </c>
      <c r="BT252" t="str">
        <f>HYPERLINK("https%3A%2F%2Fwww.webofscience.com%2Fwos%2Fwoscc%2Ffull-record%2FWOS:000997518100001","View Full Record in Web of Science")</f>
        <v>View Full Record in Web of Science</v>
      </c>
    </row>
    <row r="253" spans="1:72" x14ac:dyDescent="0.15">
      <c r="A253" t="s">
        <v>72</v>
      </c>
      <c r="B253" t="s">
        <v>4390</v>
      </c>
      <c r="C253" t="s">
        <v>74</v>
      </c>
      <c r="D253" t="s">
        <v>74</v>
      </c>
      <c r="E253" t="s">
        <v>74</v>
      </c>
      <c r="F253" t="s">
        <v>4391</v>
      </c>
      <c r="G253" t="s">
        <v>74</v>
      </c>
      <c r="H253" t="s">
        <v>74</v>
      </c>
      <c r="I253" t="s">
        <v>4392</v>
      </c>
      <c r="J253" t="s">
        <v>1910</v>
      </c>
      <c r="K253" t="s">
        <v>74</v>
      </c>
      <c r="L253" t="s">
        <v>74</v>
      </c>
      <c r="M253" t="s">
        <v>78</v>
      </c>
      <c r="N253" t="s">
        <v>79</v>
      </c>
      <c r="O253" t="s">
        <v>74</v>
      </c>
      <c r="P253" t="s">
        <v>74</v>
      </c>
      <c r="Q253" t="s">
        <v>74</v>
      </c>
      <c r="R253" t="s">
        <v>74</v>
      </c>
      <c r="S253" t="s">
        <v>74</v>
      </c>
      <c r="T253" t="s">
        <v>4393</v>
      </c>
      <c r="U253" t="s">
        <v>4394</v>
      </c>
      <c r="V253" t="s">
        <v>4395</v>
      </c>
      <c r="W253" t="s">
        <v>4396</v>
      </c>
      <c r="X253" t="s">
        <v>4397</v>
      </c>
      <c r="Y253" t="s">
        <v>4398</v>
      </c>
      <c r="Z253" t="s">
        <v>4399</v>
      </c>
      <c r="AA253" t="s">
        <v>74</v>
      </c>
      <c r="AB253" t="s">
        <v>74</v>
      </c>
      <c r="AC253" t="s">
        <v>4400</v>
      </c>
      <c r="AD253" t="s">
        <v>4401</v>
      </c>
      <c r="AE253" t="s">
        <v>4402</v>
      </c>
      <c r="AF253" t="s">
        <v>74</v>
      </c>
      <c r="AG253">
        <v>50</v>
      </c>
      <c r="AH253">
        <v>0</v>
      </c>
      <c r="AI253">
        <v>0</v>
      </c>
      <c r="AJ253">
        <v>4</v>
      </c>
      <c r="AK253">
        <v>4</v>
      </c>
      <c r="AL253" t="s">
        <v>92</v>
      </c>
      <c r="AM253" t="s">
        <v>93</v>
      </c>
      <c r="AN253" t="s">
        <v>94</v>
      </c>
      <c r="AO253" t="s">
        <v>1921</v>
      </c>
      <c r="AP253" t="s">
        <v>1922</v>
      </c>
      <c r="AQ253" t="s">
        <v>74</v>
      </c>
      <c r="AR253" t="s">
        <v>1910</v>
      </c>
      <c r="AS253" t="s">
        <v>1923</v>
      </c>
      <c r="AT253" t="s">
        <v>99</v>
      </c>
      <c r="AU253">
        <v>2023</v>
      </c>
      <c r="AV253">
        <v>45</v>
      </c>
      <c r="AW253">
        <v>1</v>
      </c>
      <c r="AX253" t="s">
        <v>74</v>
      </c>
      <c r="AY253" t="s">
        <v>74</v>
      </c>
      <c r="AZ253" t="s">
        <v>74</v>
      </c>
      <c r="BA253" t="s">
        <v>74</v>
      </c>
      <c r="BB253" t="s">
        <v>74</v>
      </c>
      <c r="BC253" t="s">
        <v>74</v>
      </c>
      <c r="BD253">
        <v>2228920</v>
      </c>
      <c r="BE253" t="s">
        <v>4403</v>
      </c>
      <c r="BF253" t="str">
        <f>HYPERLINK("http://dx.doi.org/10.1080/0886022X.2023.2228920","http://dx.doi.org/10.1080/0886022X.2023.2228920")</f>
        <v>http://dx.doi.org/10.1080/0886022X.2023.2228920</v>
      </c>
      <c r="BG253" t="s">
        <v>74</v>
      </c>
      <c r="BH253" t="s">
        <v>74</v>
      </c>
      <c r="BI253">
        <v>13</v>
      </c>
      <c r="BJ253" t="s">
        <v>1925</v>
      </c>
      <c r="BK253" t="s">
        <v>102</v>
      </c>
      <c r="BL253" t="s">
        <v>1925</v>
      </c>
      <c r="BM253" t="s">
        <v>4404</v>
      </c>
      <c r="BN253">
        <v>37369635</v>
      </c>
      <c r="BO253" t="s">
        <v>1927</v>
      </c>
      <c r="BP253" t="s">
        <v>74</v>
      </c>
      <c r="BQ253" t="s">
        <v>74</v>
      </c>
      <c r="BR253" t="s">
        <v>105</v>
      </c>
      <c r="BS253" t="s">
        <v>4405</v>
      </c>
      <c r="BT253" t="str">
        <f>HYPERLINK("https%3A%2F%2Fwww.webofscience.com%2Fwos%2Fwoscc%2Ffull-record%2FWOS:001014490700001","View Full Record in Web of Science")</f>
        <v>View Full Record in Web of Science</v>
      </c>
    </row>
    <row r="254" spans="1:72" x14ac:dyDescent="0.15">
      <c r="A254" t="s">
        <v>72</v>
      </c>
      <c r="B254" t="s">
        <v>4406</v>
      </c>
      <c r="C254" t="s">
        <v>74</v>
      </c>
      <c r="D254" t="s">
        <v>74</v>
      </c>
      <c r="E254" t="s">
        <v>74</v>
      </c>
      <c r="F254" t="s">
        <v>4407</v>
      </c>
      <c r="G254" t="s">
        <v>74</v>
      </c>
      <c r="H254" t="s">
        <v>74</v>
      </c>
      <c r="I254" t="s">
        <v>4408</v>
      </c>
      <c r="J254" t="s">
        <v>1765</v>
      </c>
      <c r="K254" t="s">
        <v>74</v>
      </c>
      <c r="L254" t="s">
        <v>74</v>
      </c>
      <c r="M254" t="s">
        <v>78</v>
      </c>
      <c r="N254" t="s">
        <v>79</v>
      </c>
      <c r="O254" t="s">
        <v>74</v>
      </c>
      <c r="P254" t="s">
        <v>74</v>
      </c>
      <c r="Q254" t="s">
        <v>74</v>
      </c>
      <c r="R254" t="s">
        <v>74</v>
      </c>
      <c r="S254" t="s">
        <v>74</v>
      </c>
      <c r="T254" t="s">
        <v>4409</v>
      </c>
      <c r="U254" t="s">
        <v>4410</v>
      </c>
      <c r="V254" t="s">
        <v>4411</v>
      </c>
      <c r="W254" t="s">
        <v>4412</v>
      </c>
      <c r="X254" t="s">
        <v>4413</v>
      </c>
      <c r="Y254" t="s">
        <v>4414</v>
      </c>
      <c r="Z254" t="s">
        <v>4415</v>
      </c>
      <c r="AA254" t="s">
        <v>4416</v>
      </c>
      <c r="AB254" t="s">
        <v>4417</v>
      </c>
      <c r="AC254" t="s">
        <v>74</v>
      </c>
      <c r="AD254" t="s">
        <v>74</v>
      </c>
      <c r="AE254" t="s">
        <v>74</v>
      </c>
      <c r="AF254" t="s">
        <v>74</v>
      </c>
      <c r="AG254">
        <v>27</v>
      </c>
      <c r="AH254">
        <v>0</v>
      </c>
      <c r="AI254">
        <v>0</v>
      </c>
      <c r="AJ254">
        <v>1</v>
      </c>
      <c r="AK254">
        <v>3</v>
      </c>
      <c r="AL254" t="s">
        <v>184</v>
      </c>
      <c r="AM254" t="s">
        <v>185</v>
      </c>
      <c r="AN254" t="s">
        <v>186</v>
      </c>
      <c r="AO254" t="s">
        <v>1774</v>
      </c>
      <c r="AP254" t="s">
        <v>1775</v>
      </c>
      <c r="AQ254" t="s">
        <v>74</v>
      </c>
      <c r="AR254" t="s">
        <v>1776</v>
      </c>
      <c r="AS254" t="s">
        <v>1777</v>
      </c>
      <c r="AT254" t="s">
        <v>99</v>
      </c>
      <c r="AU254">
        <v>2023</v>
      </c>
      <c r="AV254">
        <v>43</v>
      </c>
      <c r="AW254">
        <v>1</v>
      </c>
      <c r="AX254" t="s">
        <v>74</v>
      </c>
      <c r="AY254" t="s">
        <v>74</v>
      </c>
      <c r="AZ254" t="s">
        <v>74</v>
      </c>
      <c r="BA254" t="s">
        <v>74</v>
      </c>
      <c r="BB254" t="s">
        <v>74</v>
      </c>
      <c r="BC254" t="s">
        <v>74</v>
      </c>
      <c r="BD254">
        <v>2158322</v>
      </c>
      <c r="BE254" t="s">
        <v>4418</v>
      </c>
      <c r="BF254" t="str">
        <f>HYPERLINK("http://dx.doi.org/10.1080/01443615.2022.2158322","http://dx.doi.org/10.1080/01443615.2022.2158322")</f>
        <v>http://dx.doi.org/10.1080/01443615.2022.2158322</v>
      </c>
      <c r="BG254" t="s">
        <v>74</v>
      </c>
      <c r="BH254" t="s">
        <v>74</v>
      </c>
      <c r="BI254">
        <v>7</v>
      </c>
      <c r="BJ254" t="s">
        <v>885</v>
      </c>
      <c r="BK254" t="s">
        <v>102</v>
      </c>
      <c r="BL254" t="s">
        <v>885</v>
      </c>
      <c r="BM254" t="s">
        <v>4419</v>
      </c>
      <c r="BN254">
        <v>36606700</v>
      </c>
      <c r="BO254" t="s">
        <v>126</v>
      </c>
      <c r="BP254" t="s">
        <v>74</v>
      </c>
      <c r="BQ254" t="s">
        <v>74</v>
      </c>
      <c r="BR254" t="s">
        <v>105</v>
      </c>
      <c r="BS254" t="s">
        <v>4420</v>
      </c>
      <c r="BT254" t="str">
        <f>HYPERLINK("https%3A%2F%2Fwww.webofscience.com%2Fwos%2Fwoscc%2Ffull-record%2FWOS:000908120500001","View Full Record in Web of Science")</f>
        <v>View Full Record in Web of Science</v>
      </c>
    </row>
    <row r="255" spans="1:72" x14ac:dyDescent="0.15">
      <c r="A255" t="s">
        <v>72</v>
      </c>
      <c r="B255" t="s">
        <v>4421</v>
      </c>
      <c r="C255" t="s">
        <v>74</v>
      </c>
      <c r="D255" t="s">
        <v>74</v>
      </c>
      <c r="E255" t="s">
        <v>74</v>
      </c>
      <c r="F255" t="s">
        <v>4422</v>
      </c>
      <c r="G255" t="s">
        <v>74</v>
      </c>
      <c r="H255" t="s">
        <v>74</v>
      </c>
      <c r="I255" t="s">
        <v>4423</v>
      </c>
      <c r="J255" t="s">
        <v>3347</v>
      </c>
      <c r="K255" t="s">
        <v>74</v>
      </c>
      <c r="L255" t="s">
        <v>74</v>
      </c>
      <c r="M255" t="s">
        <v>78</v>
      </c>
      <c r="N255" t="s">
        <v>79</v>
      </c>
      <c r="O255" t="s">
        <v>74</v>
      </c>
      <c r="P255" t="s">
        <v>74</v>
      </c>
      <c r="Q255" t="s">
        <v>74</v>
      </c>
      <c r="R255" t="s">
        <v>74</v>
      </c>
      <c r="S255" t="s">
        <v>74</v>
      </c>
      <c r="T255" t="s">
        <v>4424</v>
      </c>
      <c r="U255" t="s">
        <v>4425</v>
      </c>
      <c r="V255" t="s">
        <v>4426</v>
      </c>
      <c r="W255" t="s">
        <v>4427</v>
      </c>
      <c r="X255" t="s">
        <v>4428</v>
      </c>
      <c r="Y255" t="s">
        <v>4429</v>
      </c>
      <c r="Z255" t="s">
        <v>4430</v>
      </c>
      <c r="AA255" t="s">
        <v>74</v>
      </c>
      <c r="AB255" t="s">
        <v>74</v>
      </c>
      <c r="AC255" t="s">
        <v>74</v>
      </c>
      <c r="AD255" t="s">
        <v>74</v>
      </c>
      <c r="AE255" t="s">
        <v>74</v>
      </c>
      <c r="AF255" t="s">
        <v>74</v>
      </c>
      <c r="AG255">
        <v>67</v>
      </c>
      <c r="AH255">
        <v>0</v>
      </c>
      <c r="AI255">
        <v>0</v>
      </c>
      <c r="AJ255">
        <v>6</v>
      </c>
      <c r="AK255">
        <v>6</v>
      </c>
      <c r="AL255" t="s">
        <v>92</v>
      </c>
      <c r="AM255" t="s">
        <v>93</v>
      </c>
      <c r="AN255" t="s">
        <v>94</v>
      </c>
      <c r="AO255" t="s">
        <v>3359</v>
      </c>
      <c r="AP255" t="s">
        <v>3360</v>
      </c>
      <c r="AQ255" t="s">
        <v>74</v>
      </c>
      <c r="AR255" t="s">
        <v>3361</v>
      </c>
      <c r="AS255" t="s">
        <v>3362</v>
      </c>
      <c r="AT255" t="s">
        <v>99</v>
      </c>
      <c r="AU255">
        <v>2023</v>
      </c>
      <c r="AV255">
        <v>38</v>
      </c>
      <c r="AW255">
        <v>1</v>
      </c>
      <c r="AX255" t="s">
        <v>74</v>
      </c>
      <c r="AY255" t="s">
        <v>74</v>
      </c>
      <c r="AZ255" t="s">
        <v>74</v>
      </c>
      <c r="BA255" t="s">
        <v>74</v>
      </c>
      <c r="BB255" t="s">
        <v>74</v>
      </c>
      <c r="BC255" t="s">
        <v>74</v>
      </c>
      <c r="BD255">
        <v>2226109</v>
      </c>
      <c r="BE255" t="s">
        <v>4431</v>
      </c>
      <c r="BF255" t="str">
        <f>HYPERLINK("http://dx.doi.org/10.1080/10106049.2023.2226109","http://dx.doi.org/10.1080/10106049.2023.2226109")</f>
        <v>http://dx.doi.org/10.1080/10106049.2023.2226109</v>
      </c>
      <c r="BG255" t="s">
        <v>74</v>
      </c>
      <c r="BH255" t="s">
        <v>74</v>
      </c>
      <c r="BI255">
        <v>25</v>
      </c>
      <c r="BJ255" t="s">
        <v>3364</v>
      </c>
      <c r="BK255" t="s">
        <v>102</v>
      </c>
      <c r="BL255" t="s">
        <v>3365</v>
      </c>
      <c r="BM255" t="s">
        <v>4432</v>
      </c>
      <c r="BN255" t="s">
        <v>74</v>
      </c>
      <c r="BO255" t="s">
        <v>126</v>
      </c>
      <c r="BP255" t="s">
        <v>74</v>
      </c>
      <c r="BQ255" t="s">
        <v>74</v>
      </c>
      <c r="BR255" t="s">
        <v>105</v>
      </c>
      <c r="BS255" t="s">
        <v>4433</v>
      </c>
      <c r="BT255" t="str">
        <f>HYPERLINK("https%3A%2F%2Fwww.webofscience.com%2Fwos%2Fwoscc%2Ffull-record%2FWOS:001010352300001","View Full Record in Web of Science")</f>
        <v>View Full Record in Web of Science</v>
      </c>
    </row>
    <row r="256" spans="1:72" x14ac:dyDescent="0.15">
      <c r="A256" t="s">
        <v>72</v>
      </c>
      <c r="B256" t="s">
        <v>4434</v>
      </c>
      <c r="C256" t="s">
        <v>74</v>
      </c>
      <c r="D256" t="s">
        <v>74</v>
      </c>
      <c r="E256" t="s">
        <v>74</v>
      </c>
      <c r="F256" t="s">
        <v>4435</v>
      </c>
      <c r="G256" t="s">
        <v>74</v>
      </c>
      <c r="H256" t="s">
        <v>74</v>
      </c>
      <c r="I256" t="s">
        <v>4436</v>
      </c>
      <c r="J256" t="s">
        <v>4437</v>
      </c>
      <c r="K256" t="s">
        <v>74</v>
      </c>
      <c r="L256" t="s">
        <v>74</v>
      </c>
      <c r="M256" t="s">
        <v>78</v>
      </c>
      <c r="N256" t="s">
        <v>79</v>
      </c>
      <c r="O256" t="s">
        <v>74</v>
      </c>
      <c r="P256" t="s">
        <v>74</v>
      </c>
      <c r="Q256" t="s">
        <v>74</v>
      </c>
      <c r="R256" t="s">
        <v>74</v>
      </c>
      <c r="S256" t="s">
        <v>74</v>
      </c>
      <c r="T256" t="s">
        <v>4438</v>
      </c>
      <c r="U256" t="s">
        <v>4439</v>
      </c>
      <c r="V256" t="s">
        <v>4440</v>
      </c>
      <c r="W256" t="s">
        <v>4441</v>
      </c>
      <c r="X256" t="s">
        <v>4442</v>
      </c>
      <c r="Y256" t="s">
        <v>4443</v>
      </c>
      <c r="Z256" t="s">
        <v>4444</v>
      </c>
      <c r="AA256" t="s">
        <v>74</v>
      </c>
      <c r="AB256" t="s">
        <v>74</v>
      </c>
      <c r="AC256" t="s">
        <v>4445</v>
      </c>
      <c r="AD256" t="s">
        <v>4446</v>
      </c>
      <c r="AE256" t="s">
        <v>4447</v>
      </c>
      <c r="AF256" t="s">
        <v>74</v>
      </c>
      <c r="AG256">
        <v>20</v>
      </c>
      <c r="AH256">
        <v>0</v>
      </c>
      <c r="AI256">
        <v>0</v>
      </c>
      <c r="AJ256">
        <v>0</v>
      </c>
      <c r="AK256">
        <v>0</v>
      </c>
      <c r="AL256" t="s">
        <v>92</v>
      </c>
      <c r="AM256" t="s">
        <v>93</v>
      </c>
      <c r="AN256" t="s">
        <v>94</v>
      </c>
      <c r="AO256" t="s">
        <v>4448</v>
      </c>
      <c r="AP256" t="s">
        <v>4449</v>
      </c>
      <c r="AQ256" t="s">
        <v>74</v>
      </c>
      <c r="AR256" t="s">
        <v>4450</v>
      </c>
      <c r="AS256" t="s">
        <v>4451</v>
      </c>
      <c r="AT256" t="s">
        <v>99</v>
      </c>
      <c r="AU256">
        <v>2023</v>
      </c>
      <c r="AV256">
        <v>44</v>
      </c>
      <c r="AW256">
        <v>1</v>
      </c>
      <c r="AX256" t="s">
        <v>74</v>
      </c>
      <c r="AY256" t="s">
        <v>74</v>
      </c>
      <c r="AZ256" t="s">
        <v>74</v>
      </c>
      <c r="BA256" t="s">
        <v>74</v>
      </c>
      <c r="BB256" t="s">
        <v>74</v>
      </c>
      <c r="BC256" t="s">
        <v>74</v>
      </c>
      <c r="BD256">
        <v>2238243</v>
      </c>
      <c r="BE256" t="s">
        <v>4452</v>
      </c>
      <c r="BF256" t="str">
        <f>HYPERLINK("http://dx.doi.org/10.1080/0167482X.2023.2238243","http://dx.doi.org/10.1080/0167482X.2023.2238243")</f>
        <v>http://dx.doi.org/10.1080/0167482X.2023.2238243</v>
      </c>
      <c r="BG256" t="s">
        <v>74</v>
      </c>
      <c r="BH256" t="s">
        <v>74</v>
      </c>
      <c r="BI256">
        <v>7</v>
      </c>
      <c r="BJ256" t="s">
        <v>4453</v>
      </c>
      <c r="BK256" t="s">
        <v>123</v>
      </c>
      <c r="BL256" t="s">
        <v>4454</v>
      </c>
      <c r="BM256" t="s">
        <v>4455</v>
      </c>
      <c r="BN256">
        <v>37489878</v>
      </c>
      <c r="BO256" t="s">
        <v>126</v>
      </c>
      <c r="BP256" t="s">
        <v>74</v>
      </c>
      <c r="BQ256" t="s">
        <v>74</v>
      </c>
      <c r="BR256" t="s">
        <v>105</v>
      </c>
      <c r="BS256" t="s">
        <v>4456</v>
      </c>
      <c r="BT256" t="str">
        <f>HYPERLINK("https%3A%2F%2Fwww.webofscience.com%2Fwos%2Fwoscc%2Ffull-record%2FWOS:001035406800001","View Full Record in Web of Science")</f>
        <v>View Full Record in Web of Science</v>
      </c>
    </row>
    <row r="257" spans="1:72" x14ac:dyDescent="0.15">
      <c r="A257" t="s">
        <v>72</v>
      </c>
      <c r="B257" t="s">
        <v>4457</v>
      </c>
      <c r="C257" t="s">
        <v>74</v>
      </c>
      <c r="D257" t="s">
        <v>74</v>
      </c>
      <c r="E257" t="s">
        <v>74</v>
      </c>
      <c r="F257" t="s">
        <v>4458</v>
      </c>
      <c r="G257" t="s">
        <v>74</v>
      </c>
      <c r="H257" t="s">
        <v>74</v>
      </c>
      <c r="I257" t="s">
        <v>4459</v>
      </c>
      <c r="J257" t="s">
        <v>1140</v>
      </c>
      <c r="K257" t="s">
        <v>74</v>
      </c>
      <c r="L257" t="s">
        <v>74</v>
      </c>
      <c r="M257" t="s">
        <v>78</v>
      </c>
      <c r="N257" t="s">
        <v>171</v>
      </c>
      <c r="O257" t="s">
        <v>74</v>
      </c>
      <c r="P257" t="s">
        <v>74</v>
      </c>
      <c r="Q257" t="s">
        <v>74</v>
      </c>
      <c r="R257" t="s">
        <v>74</v>
      </c>
      <c r="S257" t="s">
        <v>74</v>
      </c>
      <c r="T257" t="s">
        <v>4460</v>
      </c>
      <c r="U257" t="s">
        <v>4461</v>
      </c>
      <c r="V257" t="s">
        <v>4462</v>
      </c>
      <c r="W257" t="s">
        <v>4463</v>
      </c>
      <c r="X257" t="s">
        <v>4464</v>
      </c>
      <c r="Y257" t="s">
        <v>4465</v>
      </c>
      <c r="Z257" t="s">
        <v>4466</v>
      </c>
      <c r="AA257" t="s">
        <v>74</v>
      </c>
      <c r="AB257" t="s">
        <v>74</v>
      </c>
      <c r="AC257" t="s">
        <v>4467</v>
      </c>
      <c r="AD257" t="s">
        <v>4468</v>
      </c>
      <c r="AE257" t="s">
        <v>4469</v>
      </c>
      <c r="AF257" t="s">
        <v>74</v>
      </c>
      <c r="AG257">
        <v>178</v>
      </c>
      <c r="AH257">
        <v>0</v>
      </c>
      <c r="AI257">
        <v>0</v>
      </c>
      <c r="AJ257">
        <v>21</v>
      </c>
      <c r="AK257">
        <v>21</v>
      </c>
      <c r="AL257" t="s">
        <v>92</v>
      </c>
      <c r="AM257" t="s">
        <v>93</v>
      </c>
      <c r="AN257" t="s">
        <v>94</v>
      </c>
      <c r="AO257" t="s">
        <v>1153</v>
      </c>
      <c r="AP257" t="s">
        <v>74</v>
      </c>
      <c r="AQ257" t="s">
        <v>74</v>
      </c>
      <c r="AR257" t="s">
        <v>1154</v>
      </c>
      <c r="AS257" t="s">
        <v>1155</v>
      </c>
      <c r="AT257" t="s">
        <v>99</v>
      </c>
      <c r="AU257">
        <v>2023</v>
      </c>
      <c r="AV257">
        <v>8</v>
      </c>
      <c r="AW257">
        <v>1</v>
      </c>
      <c r="AX257" t="s">
        <v>74</v>
      </c>
      <c r="AY257" t="s">
        <v>74</v>
      </c>
      <c r="AZ257" t="s">
        <v>74</v>
      </c>
      <c r="BA257" t="s">
        <v>74</v>
      </c>
      <c r="BB257" t="s">
        <v>74</v>
      </c>
      <c r="BC257" t="s">
        <v>74</v>
      </c>
      <c r="BD257">
        <v>2235060</v>
      </c>
      <c r="BE257" t="s">
        <v>4470</v>
      </c>
      <c r="BF257" t="str">
        <f>HYPERLINK("http://dx.doi.org/10.1080/23746149.2023.2235060","http://dx.doi.org/10.1080/23746149.2023.2235060")</f>
        <v>http://dx.doi.org/10.1080/23746149.2023.2235060</v>
      </c>
      <c r="BG257" t="s">
        <v>74</v>
      </c>
      <c r="BH257" t="s">
        <v>74</v>
      </c>
      <c r="BI257">
        <v>40</v>
      </c>
      <c r="BJ257" t="s">
        <v>1157</v>
      </c>
      <c r="BK257" t="s">
        <v>102</v>
      </c>
      <c r="BL257" t="s">
        <v>1158</v>
      </c>
      <c r="BM257" t="s">
        <v>4471</v>
      </c>
      <c r="BN257" t="s">
        <v>74</v>
      </c>
      <c r="BO257" t="s">
        <v>126</v>
      </c>
      <c r="BP257" t="s">
        <v>74</v>
      </c>
      <c r="BQ257" t="s">
        <v>74</v>
      </c>
      <c r="BR257" t="s">
        <v>105</v>
      </c>
      <c r="BS257" t="s">
        <v>4472</v>
      </c>
      <c r="BT257" t="str">
        <f>HYPERLINK("https%3A%2F%2Fwww.webofscience.com%2Fwos%2Fwoscc%2Ffull-record%2FWOS:001037892300001","View Full Record in Web of Science")</f>
        <v>View Full Record in Web of Science</v>
      </c>
    </row>
    <row r="258" spans="1:72" x14ac:dyDescent="0.15">
      <c r="A258" t="s">
        <v>72</v>
      </c>
      <c r="B258" t="s">
        <v>4473</v>
      </c>
      <c r="C258" t="s">
        <v>74</v>
      </c>
      <c r="D258" t="s">
        <v>74</v>
      </c>
      <c r="E258" t="s">
        <v>74</v>
      </c>
      <c r="F258" t="s">
        <v>4474</v>
      </c>
      <c r="G258" t="s">
        <v>74</v>
      </c>
      <c r="H258" t="s">
        <v>74</v>
      </c>
      <c r="I258" t="s">
        <v>4475</v>
      </c>
      <c r="J258" t="s">
        <v>379</v>
      </c>
      <c r="K258" t="s">
        <v>74</v>
      </c>
      <c r="L258" t="s">
        <v>74</v>
      </c>
      <c r="M258" t="s">
        <v>78</v>
      </c>
      <c r="N258" t="s">
        <v>79</v>
      </c>
      <c r="O258" t="s">
        <v>74</v>
      </c>
      <c r="P258" t="s">
        <v>74</v>
      </c>
      <c r="Q258" t="s">
        <v>74</v>
      </c>
      <c r="R258" t="s">
        <v>74</v>
      </c>
      <c r="S258" t="s">
        <v>74</v>
      </c>
      <c r="T258" t="s">
        <v>4476</v>
      </c>
      <c r="U258" t="s">
        <v>74</v>
      </c>
      <c r="V258" t="s">
        <v>4477</v>
      </c>
      <c r="W258" t="s">
        <v>4478</v>
      </c>
      <c r="X258" t="s">
        <v>4479</v>
      </c>
      <c r="Y258" t="s">
        <v>4480</v>
      </c>
      <c r="Z258" t="s">
        <v>4481</v>
      </c>
      <c r="AA258" t="s">
        <v>74</v>
      </c>
      <c r="AB258" t="s">
        <v>74</v>
      </c>
      <c r="AC258" t="s">
        <v>4482</v>
      </c>
      <c r="AD258" t="s">
        <v>4482</v>
      </c>
      <c r="AE258" t="s">
        <v>4483</v>
      </c>
      <c r="AF258" t="s">
        <v>74</v>
      </c>
      <c r="AG258">
        <v>87</v>
      </c>
      <c r="AH258">
        <v>0</v>
      </c>
      <c r="AI258">
        <v>0</v>
      </c>
      <c r="AJ258">
        <v>2</v>
      </c>
      <c r="AK258">
        <v>2</v>
      </c>
      <c r="AL258" t="s">
        <v>287</v>
      </c>
      <c r="AM258" t="s">
        <v>288</v>
      </c>
      <c r="AN258" t="s">
        <v>289</v>
      </c>
      <c r="AO258" t="s">
        <v>392</v>
      </c>
      <c r="AP258" t="s">
        <v>74</v>
      </c>
      <c r="AQ258" t="s">
        <v>74</v>
      </c>
      <c r="AR258" t="s">
        <v>393</v>
      </c>
      <c r="AS258" t="s">
        <v>394</v>
      </c>
      <c r="AT258" t="s">
        <v>99</v>
      </c>
      <c r="AU258">
        <v>2023</v>
      </c>
      <c r="AV258">
        <v>9</v>
      </c>
      <c r="AW258">
        <v>1</v>
      </c>
      <c r="AX258" t="s">
        <v>74</v>
      </c>
      <c r="AY258" t="s">
        <v>74</v>
      </c>
      <c r="AZ258" t="s">
        <v>74</v>
      </c>
      <c r="BA258" t="s">
        <v>74</v>
      </c>
      <c r="BB258" t="s">
        <v>74</v>
      </c>
      <c r="BC258" t="s">
        <v>74</v>
      </c>
      <c r="BD258">
        <v>2235780</v>
      </c>
      <c r="BE258" t="s">
        <v>4484</v>
      </c>
      <c r="BF258" t="str">
        <f>HYPERLINK("http://dx.doi.org/10.1080/23311886.2023.2235780","http://dx.doi.org/10.1080/23311886.2023.2235780")</f>
        <v>http://dx.doi.org/10.1080/23311886.2023.2235780</v>
      </c>
      <c r="BG258" t="s">
        <v>74</v>
      </c>
      <c r="BH258" t="s">
        <v>74</v>
      </c>
      <c r="BI258">
        <v>16</v>
      </c>
      <c r="BJ258" t="s">
        <v>396</v>
      </c>
      <c r="BK258" t="s">
        <v>211</v>
      </c>
      <c r="BL258" t="s">
        <v>397</v>
      </c>
      <c r="BM258" t="s">
        <v>4485</v>
      </c>
      <c r="BN258" t="s">
        <v>74</v>
      </c>
      <c r="BO258" t="s">
        <v>126</v>
      </c>
      <c r="BP258" t="s">
        <v>74</v>
      </c>
      <c r="BQ258" t="s">
        <v>74</v>
      </c>
      <c r="BR258" t="s">
        <v>105</v>
      </c>
      <c r="BS258" t="s">
        <v>4486</v>
      </c>
      <c r="BT258" t="str">
        <f>HYPERLINK("https%3A%2F%2Fwww.webofscience.com%2Fwos%2Fwoscc%2Ffull-record%2FWOS:001023995300001","View Full Record in Web of Science")</f>
        <v>View Full Record in Web of Science</v>
      </c>
    </row>
    <row r="259" spans="1:72" x14ac:dyDescent="0.15">
      <c r="A259" t="s">
        <v>72</v>
      </c>
      <c r="B259" t="s">
        <v>4487</v>
      </c>
      <c r="C259" t="s">
        <v>74</v>
      </c>
      <c r="D259" t="s">
        <v>74</v>
      </c>
      <c r="E259" t="s">
        <v>74</v>
      </c>
      <c r="F259" t="s">
        <v>4488</v>
      </c>
      <c r="G259" t="s">
        <v>74</v>
      </c>
      <c r="H259" t="s">
        <v>74</v>
      </c>
      <c r="I259" t="s">
        <v>4489</v>
      </c>
      <c r="J259" t="s">
        <v>1055</v>
      </c>
      <c r="K259" t="s">
        <v>74</v>
      </c>
      <c r="L259" t="s">
        <v>74</v>
      </c>
      <c r="M259" t="s">
        <v>78</v>
      </c>
      <c r="N259" t="s">
        <v>79</v>
      </c>
      <c r="O259" t="s">
        <v>74</v>
      </c>
      <c r="P259" t="s">
        <v>74</v>
      </c>
      <c r="Q259" t="s">
        <v>74</v>
      </c>
      <c r="R259" t="s">
        <v>74</v>
      </c>
      <c r="S259" t="s">
        <v>74</v>
      </c>
      <c r="T259" t="s">
        <v>4490</v>
      </c>
      <c r="U259" t="s">
        <v>4491</v>
      </c>
      <c r="V259" t="s">
        <v>4492</v>
      </c>
      <c r="W259" t="s">
        <v>4493</v>
      </c>
      <c r="X259" t="s">
        <v>4494</v>
      </c>
      <c r="Y259" t="s">
        <v>4495</v>
      </c>
      <c r="Z259" t="s">
        <v>4496</v>
      </c>
      <c r="AA259" t="s">
        <v>4497</v>
      </c>
      <c r="AB259" t="s">
        <v>4498</v>
      </c>
      <c r="AC259" t="s">
        <v>74</v>
      </c>
      <c r="AD259" t="s">
        <v>74</v>
      </c>
      <c r="AE259" t="s">
        <v>74</v>
      </c>
      <c r="AF259" t="s">
        <v>74</v>
      </c>
      <c r="AG259">
        <v>40</v>
      </c>
      <c r="AH259">
        <v>0</v>
      </c>
      <c r="AI259">
        <v>0</v>
      </c>
      <c r="AJ259">
        <v>1</v>
      </c>
      <c r="AK259">
        <v>1</v>
      </c>
      <c r="AL259" t="s">
        <v>92</v>
      </c>
      <c r="AM259" t="s">
        <v>93</v>
      </c>
      <c r="AN259" t="s">
        <v>94</v>
      </c>
      <c r="AO259" t="s">
        <v>1066</v>
      </c>
      <c r="AP259" t="s">
        <v>1067</v>
      </c>
      <c r="AQ259" t="s">
        <v>74</v>
      </c>
      <c r="AR259" t="s">
        <v>1068</v>
      </c>
      <c r="AS259" t="s">
        <v>1069</v>
      </c>
      <c r="AT259" t="s">
        <v>99</v>
      </c>
      <c r="AU259">
        <v>2023</v>
      </c>
      <c r="AV259">
        <v>22</v>
      </c>
      <c r="AW259">
        <v>1</v>
      </c>
      <c r="AX259" t="s">
        <v>74</v>
      </c>
      <c r="AY259" t="s">
        <v>74</v>
      </c>
      <c r="AZ259" t="s">
        <v>74</v>
      </c>
      <c r="BA259" t="s">
        <v>74</v>
      </c>
      <c r="BB259">
        <v>798</v>
      </c>
      <c r="BC259">
        <v>804</v>
      </c>
      <c r="BD259" t="s">
        <v>74</v>
      </c>
      <c r="BE259" t="s">
        <v>4499</v>
      </c>
      <c r="BF259" t="str">
        <f>HYPERLINK("http://dx.doi.org/10.1080/1828051X.2023.2247013","http://dx.doi.org/10.1080/1828051X.2023.2247013")</f>
        <v>http://dx.doi.org/10.1080/1828051X.2023.2247013</v>
      </c>
      <c r="BG259" t="s">
        <v>74</v>
      </c>
      <c r="BH259" t="s">
        <v>74</v>
      </c>
      <c r="BI259">
        <v>7</v>
      </c>
      <c r="BJ259" t="s">
        <v>1071</v>
      </c>
      <c r="BK259" t="s">
        <v>102</v>
      </c>
      <c r="BL259" t="s">
        <v>1072</v>
      </c>
      <c r="BM259" t="s">
        <v>4500</v>
      </c>
      <c r="BN259" t="s">
        <v>74</v>
      </c>
      <c r="BO259" t="s">
        <v>126</v>
      </c>
      <c r="BP259" t="s">
        <v>74</v>
      </c>
      <c r="BQ259" t="s">
        <v>74</v>
      </c>
      <c r="BR259" t="s">
        <v>105</v>
      </c>
      <c r="BS259" t="s">
        <v>4501</v>
      </c>
      <c r="BT259" t="str">
        <f>HYPERLINK("https%3A%2F%2Fwww.webofscience.com%2Fwos%2Fwoscc%2Ffull-record%2FWOS:001049015000001","View Full Record in Web of Science")</f>
        <v>View Full Record in Web of Science</v>
      </c>
    </row>
    <row r="260" spans="1:72" x14ac:dyDescent="0.15">
      <c r="A260" t="s">
        <v>72</v>
      </c>
      <c r="B260" t="s">
        <v>4502</v>
      </c>
      <c r="C260" t="s">
        <v>74</v>
      </c>
      <c r="D260" t="s">
        <v>74</v>
      </c>
      <c r="E260" t="s">
        <v>74</v>
      </c>
      <c r="F260" t="s">
        <v>4503</v>
      </c>
      <c r="G260" t="s">
        <v>74</v>
      </c>
      <c r="H260" t="s">
        <v>74</v>
      </c>
      <c r="I260" t="s">
        <v>4504</v>
      </c>
      <c r="J260" t="s">
        <v>1294</v>
      </c>
      <c r="K260" t="s">
        <v>74</v>
      </c>
      <c r="L260" t="s">
        <v>74</v>
      </c>
      <c r="M260" t="s">
        <v>78</v>
      </c>
      <c r="N260" t="s">
        <v>79</v>
      </c>
      <c r="O260" t="s">
        <v>74</v>
      </c>
      <c r="P260" t="s">
        <v>74</v>
      </c>
      <c r="Q260" t="s">
        <v>74</v>
      </c>
      <c r="R260" t="s">
        <v>74</v>
      </c>
      <c r="S260" t="s">
        <v>74</v>
      </c>
      <c r="T260" t="s">
        <v>4505</v>
      </c>
      <c r="U260" t="s">
        <v>4506</v>
      </c>
      <c r="V260" t="s">
        <v>4507</v>
      </c>
      <c r="W260" t="s">
        <v>4508</v>
      </c>
      <c r="X260" t="s">
        <v>4509</v>
      </c>
      <c r="Y260" t="s">
        <v>4510</v>
      </c>
      <c r="Z260" t="s">
        <v>4511</v>
      </c>
      <c r="AA260" t="s">
        <v>4512</v>
      </c>
      <c r="AB260" t="s">
        <v>4513</v>
      </c>
      <c r="AC260" t="s">
        <v>4514</v>
      </c>
      <c r="AD260" t="s">
        <v>4515</v>
      </c>
      <c r="AE260" t="s">
        <v>4516</v>
      </c>
      <c r="AF260" t="s">
        <v>74</v>
      </c>
      <c r="AG260">
        <v>57</v>
      </c>
      <c r="AH260">
        <v>2</v>
      </c>
      <c r="AI260">
        <v>2</v>
      </c>
      <c r="AJ260">
        <v>41</v>
      </c>
      <c r="AK260">
        <v>55</v>
      </c>
      <c r="AL260" t="s">
        <v>92</v>
      </c>
      <c r="AM260" t="s">
        <v>93</v>
      </c>
      <c r="AN260" t="s">
        <v>94</v>
      </c>
      <c r="AO260" t="s">
        <v>1304</v>
      </c>
      <c r="AP260" t="s">
        <v>1305</v>
      </c>
      <c r="AQ260" t="s">
        <v>74</v>
      </c>
      <c r="AR260" t="s">
        <v>1306</v>
      </c>
      <c r="AS260" t="s">
        <v>1307</v>
      </c>
      <c r="AT260" t="s">
        <v>99</v>
      </c>
      <c r="AU260">
        <v>2023</v>
      </c>
      <c r="AV260">
        <v>61</v>
      </c>
      <c r="AW260">
        <v>1</v>
      </c>
      <c r="AX260" t="s">
        <v>74</v>
      </c>
      <c r="AY260" t="s">
        <v>74</v>
      </c>
      <c r="AZ260" t="s">
        <v>74</v>
      </c>
      <c r="BA260" t="s">
        <v>74</v>
      </c>
      <c r="BB260">
        <v>488</v>
      </c>
      <c r="BC260">
        <v>498</v>
      </c>
      <c r="BD260" t="s">
        <v>74</v>
      </c>
      <c r="BE260" t="s">
        <v>4517</v>
      </c>
      <c r="BF260" t="str">
        <f>HYPERLINK("http://dx.doi.org/10.1080/13880209.2023.2168705","http://dx.doi.org/10.1080/13880209.2023.2168705")</f>
        <v>http://dx.doi.org/10.1080/13880209.2023.2168705</v>
      </c>
      <c r="BG260" t="s">
        <v>74</v>
      </c>
      <c r="BH260" t="s">
        <v>74</v>
      </c>
      <c r="BI260">
        <v>11</v>
      </c>
      <c r="BJ260" t="s">
        <v>1309</v>
      </c>
      <c r="BK260" t="s">
        <v>102</v>
      </c>
      <c r="BL260" t="s">
        <v>1309</v>
      </c>
      <c r="BM260" t="s">
        <v>4518</v>
      </c>
      <c r="BN260">
        <v>36895195</v>
      </c>
      <c r="BO260" t="s">
        <v>104</v>
      </c>
      <c r="BP260" t="s">
        <v>74</v>
      </c>
      <c r="BQ260" t="s">
        <v>74</v>
      </c>
      <c r="BR260" t="s">
        <v>105</v>
      </c>
      <c r="BS260" t="s">
        <v>4519</v>
      </c>
      <c r="BT260" t="str">
        <f>HYPERLINK("https%3A%2F%2Fwww.webofscience.com%2Fwos%2Fwoscc%2Ffull-record%2FWOS:000946771500001","View Full Record in Web of Science")</f>
        <v>View Full Record in Web of Science</v>
      </c>
    </row>
    <row r="261" spans="1:72" x14ac:dyDescent="0.15">
      <c r="A261" t="s">
        <v>72</v>
      </c>
      <c r="B261" t="s">
        <v>4520</v>
      </c>
      <c r="C261" t="s">
        <v>74</v>
      </c>
      <c r="D261" t="s">
        <v>74</v>
      </c>
      <c r="E261" t="s">
        <v>74</v>
      </c>
      <c r="F261" t="s">
        <v>4521</v>
      </c>
      <c r="G261" t="s">
        <v>74</v>
      </c>
      <c r="H261" t="s">
        <v>74</v>
      </c>
      <c r="I261" t="s">
        <v>4522</v>
      </c>
      <c r="J261" t="s">
        <v>1910</v>
      </c>
      <c r="K261" t="s">
        <v>74</v>
      </c>
      <c r="L261" t="s">
        <v>74</v>
      </c>
      <c r="M261" t="s">
        <v>78</v>
      </c>
      <c r="N261" t="s">
        <v>171</v>
      </c>
      <c r="O261" t="s">
        <v>74</v>
      </c>
      <c r="P261" t="s">
        <v>74</v>
      </c>
      <c r="Q261" t="s">
        <v>74</v>
      </c>
      <c r="R261" t="s">
        <v>74</v>
      </c>
      <c r="S261" t="s">
        <v>74</v>
      </c>
      <c r="T261" t="s">
        <v>4523</v>
      </c>
      <c r="U261" t="s">
        <v>4524</v>
      </c>
      <c r="V261" t="s">
        <v>4525</v>
      </c>
      <c r="W261" t="s">
        <v>4526</v>
      </c>
      <c r="X261" t="s">
        <v>4527</v>
      </c>
      <c r="Y261" t="s">
        <v>4528</v>
      </c>
      <c r="Z261" t="s">
        <v>4529</v>
      </c>
      <c r="AA261" t="s">
        <v>74</v>
      </c>
      <c r="AB261" t="s">
        <v>4530</v>
      </c>
      <c r="AC261" t="s">
        <v>74</v>
      </c>
      <c r="AD261" t="s">
        <v>74</v>
      </c>
      <c r="AE261" t="s">
        <v>74</v>
      </c>
      <c r="AF261" t="s">
        <v>74</v>
      </c>
      <c r="AG261">
        <v>44</v>
      </c>
      <c r="AH261">
        <v>0</v>
      </c>
      <c r="AI261">
        <v>0</v>
      </c>
      <c r="AJ261">
        <v>5</v>
      </c>
      <c r="AK261">
        <v>16</v>
      </c>
      <c r="AL261" t="s">
        <v>92</v>
      </c>
      <c r="AM261" t="s">
        <v>93</v>
      </c>
      <c r="AN261" t="s">
        <v>94</v>
      </c>
      <c r="AO261" t="s">
        <v>1921</v>
      </c>
      <c r="AP261" t="s">
        <v>1922</v>
      </c>
      <c r="AQ261" t="s">
        <v>74</v>
      </c>
      <c r="AR261" t="s">
        <v>1910</v>
      </c>
      <c r="AS261" t="s">
        <v>1923</v>
      </c>
      <c r="AT261" t="s">
        <v>99</v>
      </c>
      <c r="AU261">
        <v>2023</v>
      </c>
      <c r="AV261">
        <v>45</v>
      </c>
      <c r="AW261">
        <v>1</v>
      </c>
      <c r="AX261" t="s">
        <v>74</v>
      </c>
      <c r="AY261" t="s">
        <v>74</v>
      </c>
      <c r="AZ261" t="s">
        <v>74</v>
      </c>
      <c r="BA261" t="s">
        <v>74</v>
      </c>
      <c r="BB261" t="s">
        <v>74</v>
      </c>
      <c r="BC261" t="s">
        <v>74</v>
      </c>
      <c r="BD261">
        <v>2171885</v>
      </c>
      <c r="BE261" t="s">
        <v>4531</v>
      </c>
      <c r="BF261" t="str">
        <f>HYPERLINK("http://dx.doi.org/10.1080/0886022X.2023.2171885","http://dx.doi.org/10.1080/0886022X.2023.2171885")</f>
        <v>http://dx.doi.org/10.1080/0886022X.2023.2171885</v>
      </c>
      <c r="BG261" t="s">
        <v>74</v>
      </c>
      <c r="BH261" t="s">
        <v>74</v>
      </c>
      <c r="BI261">
        <v>9</v>
      </c>
      <c r="BJ261" t="s">
        <v>1925</v>
      </c>
      <c r="BK261" t="s">
        <v>102</v>
      </c>
      <c r="BL261" t="s">
        <v>1925</v>
      </c>
      <c r="BM261" t="s">
        <v>4532</v>
      </c>
      <c r="BN261">
        <v>36715437</v>
      </c>
      <c r="BO261" t="s">
        <v>4533</v>
      </c>
      <c r="BP261" t="s">
        <v>74</v>
      </c>
      <c r="BQ261" t="s">
        <v>74</v>
      </c>
      <c r="BR261" t="s">
        <v>105</v>
      </c>
      <c r="BS261" t="s">
        <v>4534</v>
      </c>
      <c r="BT261" t="str">
        <f>HYPERLINK("https%3A%2F%2Fwww.webofscience.com%2Fwos%2Fwoscc%2Ffull-record%2FWOS:000919327200001","View Full Record in Web of Science")</f>
        <v>View Full Record in Web of Science</v>
      </c>
    </row>
    <row r="262" spans="1:72" x14ac:dyDescent="0.15">
      <c r="A262" t="s">
        <v>72</v>
      </c>
      <c r="B262" t="s">
        <v>4535</v>
      </c>
      <c r="C262" t="s">
        <v>74</v>
      </c>
      <c r="D262" t="s">
        <v>74</v>
      </c>
      <c r="E262" t="s">
        <v>74</v>
      </c>
      <c r="F262" t="s">
        <v>4536</v>
      </c>
      <c r="G262" t="s">
        <v>74</v>
      </c>
      <c r="H262" t="s">
        <v>74</v>
      </c>
      <c r="I262" t="s">
        <v>4537</v>
      </c>
      <c r="J262" t="s">
        <v>170</v>
      </c>
      <c r="K262" t="s">
        <v>74</v>
      </c>
      <c r="L262" t="s">
        <v>74</v>
      </c>
      <c r="M262" t="s">
        <v>78</v>
      </c>
      <c r="N262" t="s">
        <v>79</v>
      </c>
      <c r="O262" t="s">
        <v>74</v>
      </c>
      <c r="P262" t="s">
        <v>74</v>
      </c>
      <c r="Q262" t="s">
        <v>74</v>
      </c>
      <c r="R262" t="s">
        <v>74</v>
      </c>
      <c r="S262" t="s">
        <v>74</v>
      </c>
      <c r="T262" t="s">
        <v>4538</v>
      </c>
      <c r="U262" t="s">
        <v>4539</v>
      </c>
      <c r="V262" t="s">
        <v>4540</v>
      </c>
      <c r="W262" t="s">
        <v>4541</v>
      </c>
      <c r="X262" t="s">
        <v>4542</v>
      </c>
      <c r="Y262" t="s">
        <v>4543</v>
      </c>
      <c r="Z262" t="s">
        <v>4544</v>
      </c>
      <c r="AA262" t="s">
        <v>74</v>
      </c>
      <c r="AB262" t="s">
        <v>74</v>
      </c>
      <c r="AC262" t="s">
        <v>4545</v>
      </c>
      <c r="AD262" t="s">
        <v>4546</v>
      </c>
      <c r="AE262" t="s">
        <v>4547</v>
      </c>
      <c r="AF262" t="s">
        <v>74</v>
      </c>
      <c r="AG262">
        <v>42</v>
      </c>
      <c r="AH262">
        <v>0</v>
      </c>
      <c r="AI262">
        <v>0</v>
      </c>
      <c r="AJ262">
        <v>6</v>
      </c>
      <c r="AK262">
        <v>6</v>
      </c>
      <c r="AL262" t="s">
        <v>184</v>
      </c>
      <c r="AM262" t="s">
        <v>185</v>
      </c>
      <c r="AN262" t="s">
        <v>186</v>
      </c>
      <c r="AO262" t="s">
        <v>187</v>
      </c>
      <c r="AP262" t="s">
        <v>188</v>
      </c>
      <c r="AQ262" t="s">
        <v>74</v>
      </c>
      <c r="AR262" t="s">
        <v>189</v>
      </c>
      <c r="AS262" t="s">
        <v>190</v>
      </c>
      <c r="AT262" t="s">
        <v>99</v>
      </c>
      <c r="AU262">
        <v>2023</v>
      </c>
      <c r="AV262">
        <v>26</v>
      </c>
      <c r="AW262">
        <v>1</v>
      </c>
      <c r="AX262" t="s">
        <v>74</v>
      </c>
      <c r="AY262" t="s">
        <v>74</v>
      </c>
      <c r="AZ262" t="s">
        <v>74</v>
      </c>
      <c r="BA262" t="s">
        <v>74</v>
      </c>
      <c r="BB262">
        <v>1941</v>
      </c>
      <c r="BC262">
        <v>1952</v>
      </c>
      <c r="BD262" t="s">
        <v>74</v>
      </c>
      <c r="BE262" t="s">
        <v>4548</v>
      </c>
      <c r="BF262" t="str">
        <f>HYPERLINK("http://dx.doi.org/10.1080/10942912.2023.2239518","http://dx.doi.org/10.1080/10942912.2023.2239518")</f>
        <v>http://dx.doi.org/10.1080/10942912.2023.2239518</v>
      </c>
      <c r="BG262" t="s">
        <v>74</v>
      </c>
      <c r="BH262" t="s">
        <v>74</v>
      </c>
      <c r="BI262">
        <v>12</v>
      </c>
      <c r="BJ262" t="s">
        <v>192</v>
      </c>
      <c r="BK262" t="s">
        <v>102</v>
      </c>
      <c r="BL262" t="s">
        <v>192</v>
      </c>
      <c r="BM262" t="s">
        <v>4549</v>
      </c>
      <c r="BN262" t="s">
        <v>74</v>
      </c>
      <c r="BO262" t="s">
        <v>126</v>
      </c>
      <c r="BP262" t="s">
        <v>74</v>
      </c>
      <c r="BQ262" t="s">
        <v>74</v>
      </c>
      <c r="BR262" t="s">
        <v>105</v>
      </c>
      <c r="BS262" t="s">
        <v>4550</v>
      </c>
      <c r="BT262" t="str">
        <f>HYPERLINK("https%3A%2F%2Fwww.webofscience.com%2Fwos%2Fwoscc%2Ffull-record%2FWOS:001036270400001","View Full Record in Web of Science")</f>
        <v>View Full Record in Web of Science</v>
      </c>
    </row>
    <row r="263" spans="1:72" x14ac:dyDescent="0.15">
      <c r="A263" t="s">
        <v>72</v>
      </c>
      <c r="B263" t="s">
        <v>4551</v>
      </c>
      <c r="C263" t="s">
        <v>74</v>
      </c>
      <c r="D263" t="s">
        <v>74</v>
      </c>
      <c r="E263" t="s">
        <v>74</v>
      </c>
      <c r="F263" t="s">
        <v>4552</v>
      </c>
      <c r="G263" t="s">
        <v>74</v>
      </c>
      <c r="H263" t="s">
        <v>74</v>
      </c>
      <c r="I263" t="s">
        <v>4553</v>
      </c>
      <c r="J263" t="s">
        <v>964</v>
      </c>
      <c r="K263" t="s">
        <v>74</v>
      </c>
      <c r="L263" t="s">
        <v>74</v>
      </c>
      <c r="M263" t="s">
        <v>78</v>
      </c>
      <c r="N263" t="s">
        <v>79</v>
      </c>
      <c r="O263" t="s">
        <v>74</v>
      </c>
      <c r="P263" t="s">
        <v>74</v>
      </c>
      <c r="Q263" t="s">
        <v>74</v>
      </c>
      <c r="R263" t="s">
        <v>74</v>
      </c>
      <c r="S263" t="s">
        <v>74</v>
      </c>
      <c r="T263" t="s">
        <v>4554</v>
      </c>
      <c r="U263" t="s">
        <v>4555</v>
      </c>
      <c r="V263" t="s">
        <v>4556</v>
      </c>
      <c r="W263" t="s">
        <v>4557</v>
      </c>
      <c r="X263" t="s">
        <v>4558</v>
      </c>
      <c r="Y263" t="s">
        <v>4559</v>
      </c>
      <c r="Z263" t="s">
        <v>4560</v>
      </c>
      <c r="AA263" t="s">
        <v>4561</v>
      </c>
      <c r="AB263" t="s">
        <v>4562</v>
      </c>
      <c r="AC263" t="s">
        <v>4563</v>
      </c>
      <c r="AD263" t="s">
        <v>4564</v>
      </c>
      <c r="AE263" t="s">
        <v>4565</v>
      </c>
      <c r="AF263" t="s">
        <v>74</v>
      </c>
      <c r="AG263">
        <v>70</v>
      </c>
      <c r="AH263">
        <v>1</v>
      </c>
      <c r="AI263">
        <v>1</v>
      </c>
      <c r="AJ263">
        <v>35</v>
      </c>
      <c r="AK263">
        <v>35</v>
      </c>
      <c r="AL263" t="s">
        <v>92</v>
      </c>
      <c r="AM263" t="s">
        <v>93</v>
      </c>
      <c r="AN263" t="s">
        <v>94</v>
      </c>
      <c r="AO263" t="s">
        <v>977</v>
      </c>
      <c r="AP263" t="s">
        <v>978</v>
      </c>
      <c r="AQ263" t="s">
        <v>74</v>
      </c>
      <c r="AR263" t="s">
        <v>979</v>
      </c>
      <c r="AS263" t="s">
        <v>980</v>
      </c>
      <c r="AT263" t="s">
        <v>99</v>
      </c>
      <c r="AU263">
        <v>2023</v>
      </c>
      <c r="AV263">
        <v>60</v>
      </c>
      <c r="AW263">
        <v>1</v>
      </c>
      <c r="AX263" t="s">
        <v>74</v>
      </c>
      <c r="AY263" t="s">
        <v>74</v>
      </c>
      <c r="AZ263" t="s">
        <v>74</v>
      </c>
      <c r="BA263" t="s">
        <v>74</v>
      </c>
      <c r="BB263" t="s">
        <v>74</v>
      </c>
      <c r="BC263" t="s">
        <v>74</v>
      </c>
      <c r="BD263">
        <v>2213489</v>
      </c>
      <c r="BE263" t="s">
        <v>4566</v>
      </c>
      <c r="BF263" t="str">
        <f>HYPERLINK("http://dx.doi.org/10.1080/15481603.2023.2213489","http://dx.doi.org/10.1080/15481603.2023.2213489")</f>
        <v>http://dx.doi.org/10.1080/15481603.2023.2213489</v>
      </c>
      <c r="BG263" t="s">
        <v>74</v>
      </c>
      <c r="BH263" t="s">
        <v>74</v>
      </c>
      <c r="BI263">
        <v>20</v>
      </c>
      <c r="BJ263" t="s">
        <v>542</v>
      </c>
      <c r="BK263" t="s">
        <v>102</v>
      </c>
      <c r="BL263" t="s">
        <v>543</v>
      </c>
      <c r="BM263" t="s">
        <v>4567</v>
      </c>
      <c r="BN263" t="s">
        <v>74</v>
      </c>
      <c r="BO263" t="s">
        <v>126</v>
      </c>
      <c r="BP263" t="s">
        <v>74</v>
      </c>
      <c r="BQ263" t="s">
        <v>74</v>
      </c>
      <c r="BR263" t="s">
        <v>105</v>
      </c>
      <c r="BS263" t="s">
        <v>4568</v>
      </c>
      <c r="BT263" t="str">
        <f>HYPERLINK("https%3A%2F%2Fwww.webofscience.com%2Fwos%2Fwoscc%2Ffull-record%2FWOS:000994006600001","View Full Record in Web of Science")</f>
        <v>View Full Record in Web of Science</v>
      </c>
    </row>
    <row r="264" spans="1:72" x14ac:dyDescent="0.15">
      <c r="A264" t="s">
        <v>72</v>
      </c>
      <c r="B264" t="s">
        <v>4569</v>
      </c>
      <c r="C264" t="s">
        <v>74</v>
      </c>
      <c r="D264" t="s">
        <v>74</v>
      </c>
      <c r="E264" t="s">
        <v>74</v>
      </c>
      <c r="F264" t="s">
        <v>4570</v>
      </c>
      <c r="G264" t="s">
        <v>74</v>
      </c>
      <c r="H264" t="s">
        <v>74</v>
      </c>
      <c r="I264" t="s">
        <v>4571</v>
      </c>
      <c r="J264" t="s">
        <v>2825</v>
      </c>
      <c r="K264" t="s">
        <v>74</v>
      </c>
      <c r="L264" t="s">
        <v>74</v>
      </c>
      <c r="M264" t="s">
        <v>78</v>
      </c>
      <c r="N264" t="s">
        <v>79</v>
      </c>
      <c r="O264" t="s">
        <v>74</v>
      </c>
      <c r="P264" t="s">
        <v>74</v>
      </c>
      <c r="Q264" t="s">
        <v>74</v>
      </c>
      <c r="R264" t="s">
        <v>74</v>
      </c>
      <c r="S264" t="s">
        <v>74</v>
      </c>
      <c r="T264" t="s">
        <v>4572</v>
      </c>
      <c r="U264" t="s">
        <v>4573</v>
      </c>
      <c r="V264" t="s">
        <v>4574</v>
      </c>
      <c r="W264" t="s">
        <v>4575</v>
      </c>
      <c r="X264" t="s">
        <v>4576</v>
      </c>
      <c r="Y264" t="s">
        <v>4577</v>
      </c>
      <c r="Z264" t="s">
        <v>4578</v>
      </c>
      <c r="AA264" t="s">
        <v>74</v>
      </c>
      <c r="AB264" t="s">
        <v>74</v>
      </c>
      <c r="AC264" t="s">
        <v>4579</v>
      </c>
      <c r="AD264" t="s">
        <v>1368</v>
      </c>
      <c r="AE264" t="s">
        <v>4580</v>
      </c>
      <c r="AF264" t="s">
        <v>74</v>
      </c>
      <c r="AG264">
        <v>16</v>
      </c>
      <c r="AH264">
        <v>0</v>
      </c>
      <c r="AI264">
        <v>0</v>
      </c>
      <c r="AJ264">
        <v>5</v>
      </c>
      <c r="AK264">
        <v>5</v>
      </c>
      <c r="AL264" t="s">
        <v>92</v>
      </c>
      <c r="AM264" t="s">
        <v>93</v>
      </c>
      <c r="AN264" t="s">
        <v>94</v>
      </c>
      <c r="AO264" t="s">
        <v>2835</v>
      </c>
      <c r="AP264" t="s">
        <v>2836</v>
      </c>
      <c r="AQ264" t="s">
        <v>74</v>
      </c>
      <c r="AR264" t="s">
        <v>2837</v>
      </c>
      <c r="AS264" t="s">
        <v>2838</v>
      </c>
      <c r="AT264" t="s">
        <v>99</v>
      </c>
      <c r="AU264">
        <v>2023</v>
      </c>
      <c r="AV264">
        <v>56</v>
      </c>
      <c r="AW264">
        <v>1</v>
      </c>
      <c r="AX264" t="s">
        <v>74</v>
      </c>
      <c r="AY264" t="s">
        <v>74</v>
      </c>
      <c r="AZ264" t="s">
        <v>74</v>
      </c>
      <c r="BA264" t="s">
        <v>74</v>
      </c>
      <c r="BB264" t="s">
        <v>74</v>
      </c>
      <c r="BC264" t="s">
        <v>74</v>
      </c>
      <c r="BD264">
        <v>2197956</v>
      </c>
      <c r="BE264" t="s">
        <v>4581</v>
      </c>
      <c r="BF264" t="str">
        <f>HYPERLINK("http://dx.doi.org/10.1080/00219592.2023.2197956","http://dx.doi.org/10.1080/00219592.2023.2197956")</f>
        <v>http://dx.doi.org/10.1080/00219592.2023.2197956</v>
      </c>
      <c r="BG264" t="s">
        <v>74</v>
      </c>
      <c r="BH264" t="s">
        <v>74</v>
      </c>
      <c r="BI264">
        <v>7</v>
      </c>
      <c r="BJ264" t="s">
        <v>2840</v>
      </c>
      <c r="BK264" t="s">
        <v>102</v>
      </c>
      <c r="BL264" t="s">
        <v>1095</v>
      </c>
      <c r="BM264" t="s">
        <v>4582</v>
      </c>
      <c r="BN264" t="s">
        <v>74</v>
      </c>
      <c r="BO264" t="s">
        <v>126</v>
      </c>
      <c r="BP264" t="s">
        <v>74</v>
      </c>
      <c r="BQ264" t="s">
        <v>74</v>
      </c>
      <c r="BR264" t="s">
        <v>105</v>
      </c>
      <c r="BS264" t="s">
        <v>4583</v>
      </c>
      <c r="BT264" t="str">
        <f>HYPERLINK("https%3A%2F%2Fwww.webofscience.com%2Fwos%2Fwoscc%2Ffull-record%2FWOS:000976419700001","View Full Record in Web of Science")</f>
        <v>View Full Record in Web of Science</v>
      </c>
    </row>
    <row r="265" spans="1:72" x14ac:dyDescent="0.15">
      <c r="A265" t="s">
        <v>72</v>
      </c>
      <c r="B265" t="s">
        <v>4584</v>
      </c>
      <c r="C265" t="s">
        <v>74</v>
      </c>
      <c r="D265" t="s">
        <v>74</v>
      </c>
      <c r="E265" t="s">
        <v>74</v>
      </c>
      <c r="F265" t="s">
        <v>4585</v>
      </c>
      <c r="G265" t="s">
        <v>74</v>
      </c>
      <c r="H265" t="s">
        <v>74</v>
      </c>
      <c r="I265" t="s">
        <v>4586</v>
      </c>
      <c r="J265" t="s">
        <v>524</v>
      </c>
      <c r="K265" t="s">
        <v>74</v>
      </c>
      <c r="L265" t="s">
        <v>74</v>
      </c>
      <c r="M265" t="s">
        <v>78</v>
      </c>
      <c r="N265" t="s">
        <v>79</v>
      </c>
      <c r="O265" t="s">
        <v>74</v>
      </c>
      <c r="P265" t="s">
        <v>74</v>
      </c>
      <c r="Q265" t="s">
        <v>74</v>
      </c>
      <c r="R265" t="s">
        <v>74</v>
      </c>
      <c r="S265" t="s">
        <v>74</v>
      </c>
      <c r="T265" t="s">
        <v>4587</v>
      </c>
      <c r="U265" t="s">
        <v>4588</v>
      </c>
      <c r="V265" t="s">
        <v>4589</v>
      </c>
      <c r="W265" t="s">
        <v>4590</v>
      </c>
      <c r="X265" t="s">
        <v>4591</v>
      </c>
      <c r="Y265" t="s">
        <v>4592</v>
      </c>
      <c r="Z265" t="s">
        <v>4593</v>
      </c>
      <c r="AA265" t="s">
        <v>74</v>
      </c>
      <c r="AB265" t="s">
        <v>74</v>
      </c>
      <c r="AC265" t="s">
        <v>4594</v>
      </c>
      <c r="AD265" t="s">
        <v>4595</v>
      </c>
      <c r="AE265" t="s">
        <v>4596</v>
      </c>
      <c r="AF265" t="s">
        <v>74</v>
      </c>
      <c r="AG265">
        <v>76</v>
      </c>
      <c r="AH265">
        <v>0</v>
      </c>
      <c r="AI265">
        <v>0</v>
      </c>
      <c r="AJ265">
        <v>0</v>
      </c>
      <c r="AK265">
        <v>0</v>
      </c>
      <c r="AL265" t="s">
        <v>92</v>
      </c>
      <c r="AM265" t="s">
        <v>93</v>
      </c>
      <c r="AN265" t="s">
        <v>94</v>
      </c>
      <c r="AO265" t="s">
        <v>537</v>
      </c>
      <c r="AP265" t="s">
        <v>538</v>
      </c>
      <c r="AQ265" t="s">
        <v>74</v>
      </c>
      <c r="AR265" t="s">
        <v>539</v>
      </c>
      <c r="AS265" t="s">
        <v>540</v>
      </c>
      <c r="AT265" t="s">
        <v>99</v>
      </c>
      <c r="AU265">
        <v>2023</v>
      </c>
      <c r="AV265">
        <v>16</v>
      </c>
      <c r="AW265">
        <v>1</v>
      </c>
      <c r="AX265" t="s">
        <v>74</v>
      </c>
      <c r="AY265" t="s">
        <v>74</v>
      </c>
      <c r="AZ265" t="s">
        <v>74</v>
      </c>
      <c r="BA265" t="s">
        <v>74</v>
      </c>
      <c r="BB265">
        <v>3923</v>
      </c>
      <c r="BC265">
        <v>3948</v>
      </c>
      <c r="BD265" t="s">
        <v>74</v>
      </c>
      <c r="BE265" t="s">
        <v>4597</v>
      </c>
      <c r="BF265" t="str">
        <f>HYPERLINK("http://dx.doi.org/10.1080/17538947.2023.2260778","http://dx.doi.org/10.1080/17538947.2023.2260778")</f>
        <v>http://dx.doi.org/10.1080/17538947.2023.2260778</v>
      </c>
      <c r="BG265" t="s">
        <v>74</v>
      </c>
      <c r="BH265" t="s">
        <v>74</v>
      </c>
      <c r="BI265">
        <v>26</v>
      </c>
      <c r="BJ265" t="s">
        <v>542</v>
      </c>
      <c r="BK265" t="s">
        <v>102</v>
      </c>
      <c r="BL265" t="s">
        <v>543</v>
      </c>
      <c r="BM265" t="s">
        <v>4598</v>
      </c>
      <c r="BN265" t="s">
        <v>74</v>
      </c>
      <c r="BO265" t="s">
        <v>126</v>
      </c>
      <c r="BP265" t="s">
        <v>74</v>
      </c>
      <c r="BQ265" t="s">
        <v>74</v>
      </c>
      <c r="BR265" t="s">
        <v>105</v>
      </c>
      <c r="BS265" t="s">
        <v>4599</v>
      </c>
      <c r="BT265" t="str">
        <f>HYPERLINK("https%3A%2F%2Fwww.webofscience.com%2Fwos%2Fwoscc%2Ffull-record%2FWOS:001070669500001","View Full Record in Web of Science")</f>
        <v>View Full Record in Web of Science</v>
      </c>
    </row>
    <row r="266" spans="1:72" x14ac:dyDescent="0.15">
      <c r="A266" t="s">
        <v>72</v>
      </c>
      <c r="B266" t="s">
        <v>4600</v>
      </c>
      <c r="C266" t="s">
        <v>74</v>
      </c>
      <c r="D266" t="s">
        <v>74</v>
      </c>
      <c r="E266" t="s">
        <v>74</v>
      </c>
      <c r="F266" t="s">
        <v>4601</v>
      </c>
      <c r="G266" t="s">
        <v>74</v>
      </c>
      <c r="H266" t="s">
        <v>74</v>
      </c>
      <c r="I266" t="s">
        <v>4602</v>
      </c>
      <c r="J266" t="s">
        <v>1980</v>
      </c>
      <c r="K266" t="s">
        <v>74</v>
      </c>
      <c r="L266" t="s">
        <v>74</v>
      </c>
      <c r="M266" t="s">
        <v>78</v>
      </c>
      <c r="N266" t="s">
        <v>171</v>
      </c>
      <c r="O266" t="s">
        <v>74</v>
      </c>
      <c r="P266" t="s">
        <v>74</v>
      </c>
      <c r="Q266" t="s">
        <v>74</v>
      </c>
      <c r="R266" t="s">
        <v>74</v>
      </c>
      <c r="S266" t="s">
        <v>74</v>
      </c>
      <c r="T266" t="s">
        <v>4603</v>
      </c>
      <c r="U266" t="s">
        <v>4604</v>
      </c>
      <c r="V266" t="s">
        <v>4605</v>
      </c>
      <c r="W266" t="s">
        <v>4606</v>
      </c>
      <c r="X266" t="s">
        <v>4607</v>
      </c>
      <c r="Y266" t="s">
        <v>4608</v>
      </c>
      <c r="Z266" t="s">
        <v>4609</v>
      </c>
      <c r="AA266" t="s">
        <v>74</v>
      </c>
      <c r="AB266" t="s">
        <v>4610</v>
      </c>
      <c r="AC266" t="s">
        <v>4611</v>
      </c>
      <c r="AD266" t="s">
        <v>4612</v>
      </c>
      <c r="AE266" t="s">
        <v>4613</v>
      </c>
      <c r="AF266" t="s">
        <v>74</v>
      </c>
      <c r="AG266">
        <v>88</v>
      </c>
      <c r="AH266">
        <v>0</v>
      </c>
      <c r="AI266">
        <v>0</v>
      </c>
      <c r="AJ266">
        <v>8</v>
      </c>
      <c r="AK266">
        <v>14</v>
      </c>
      <c r="AL266" t="s">
        <v>184</v>
      </c>
      <c r="AM266" t="s">
        <v>185</v>
      </c>
      <c r="AN266" t="s">
        <v>186</v>
      </c>
      <c r="AO266" t="s">
        <v>1990</v>
      </c>
      <c r="AP266" t="s">
        <v>1991</v>
      </c>
      <c r="AQ266" t="s">
        <v>74</v>
      </c>
      <c r="AR266" t="s">
        <v>1980</v>
      </c>
      <c r="AS266" t="s">
        <v>1992</v>
      </c>
      <c r="AT266" t="s">
        <v>99</v>
      </c>
      <c r="AU266">
        <v>2023</v>
      </c>
      <c r="AV266">
        <v>14</v>
      </c>
      <c r="AW266">
        <v>1</v>
      </c>
      <c r="AX266" t="s">
        <v>74</v>
      </c>
      <c r="AY266" t="s">
        <v>74</v>
      </c>
      <c r="AZ266" t="s">
        <v>74</v>
      </c>
      <c r="BA266" t="s">
        <v>74</v>
      </c>
      <c r="BB266" t="s">
        <v>74</v>
      </c>
      <c r="BC266" t="s">
        <v>74</v>
      </c>
      <c r="BD266">
        <v>2180951</v>
      </c>
      <c r="BE266" t="s">
        <v>4614</v>
      </c>
      <c r="BF266" t="str">
        <f>HYPERLINK("http://dx.doi.org/10.1080/21505594.2023.2180951","http://dx.doi.org/10.1080/21505594.2023.2180951")</f>
        <v>http://dx.doi.org/10.1080/21505594.2023.2180951</v>
      </c>
      <c r="BG266" t="s">
        <v>74</v>
      </c>
      <c r="BH266" t="s">
        <v>74</v>
      </c>
      <c r="BI266">
        <v>11</v>
      </c>
      <c r="BJ266" t="s">
        <v>752</v>
      </c>
      <c r="BK266" t="s">
        <v>102</v>
      </c>
      <c r="BL266" t="s">
        <v>752</v>
      </c>
      <c r="BM266" t="s">
        <v>4615</v>
      </c>
      <c r="BN266">
        <v>36827455</v>
      </c>
      <c r="BO266" t="s">
        <v>104</v>
      </c>
      <c r="BP266" t="s">
        <v>74</v>
      </c>
      <c r="BQ266" t="s">
        <v>74</v>
      </c>
      <c r="BR266" t="s">
        <v>105</v>
      </c>
      <c r="BS266" t="s">
        <v>4616</v>
      </c>
      <c r="BT266" t="str">
        <f>HYPERLINK("https%3A%2F%2Fwww.webofscience.com%2Fwos%2Fwoscc%2Ffull-record%2FWOS:000938859600001","View Full Record in Web of Science")</f>
        <v>View Full Record in Web of Science</v>
      </c>
    </row>
    <row r="267" spans="1:72" x14ac:dyDescent="0.15">
      <c r="A267" t="s">
        <v>72</v>
      </c>
      <c r="B267" t="s">
        <v>4617</v>
      </c>
      <c r="C267" t="s">
        <v>74</v>
      </c>
      <c r="D267" t="s">
        <v>74</v>
      </c>
      <c r="E267" t="s">
        <v>74</v>
      </c>
      <c r="F267" t="s">
        <v>4618</v>
      </c>
      <c r="G267" t="s">
        <v>74</v>
      </c>
      <c r="H267" t="s">
        <v>74</v>
      </c>
      <c r="I267" t="s">
        <v>4619</v>
      </c>
      <c r="J267" t="s">
        <v>524</v>
      </c>
      <c r="K267" t="s">
        <v>74</v>
      </c>
      <c r="L267" t="s">
        <v>74</v>
      </c>
      <c r="M267" t="s">
        <v>78</v>
      </c>
      <c r="N267" t="s">
        <v>79</v>
      </c>
      <c r="O267" t="s">
        <v>74</v>
      </c>
      <c r="P267" t="s">
        <v>74</v>
      </c>
      <c r="Q267" t="s">
        <v>74</v>
      </c>
      <c r="R267" t="s">
        <v>74</v>
      </c>
      <c r="S267" t="s">
        <v>74</v>
      </c>
      <c r="T267" t="s">
        <v>4620</v>
      </c>
      <c r="U267" t="s">
        <v>4621</v>
      </c>
      <c r="V267" t="s">
        <v>4622</v>
      </c>
      <c r="W267" t="s">
        <v>4623</v>
      </c>
      <c r="X267" t="s">
        <v>4624</v>
      </c>
      <c r="Y267" t="s">
        <v>4625</v>
      </c>
      <c r="Z267" t="s">
        <v>4626</v>
      </c>
      <c r="AA267" t="s">
        <v>74</v>
      </c>
      <c r="AB267" t="s">
        <v>74</v>
      </c>
      <c r="AC267" t="s">
        <v>4627</v>
      </c>
      <c r="AD267" t="s">
        <v>1368</v>
      </c>
      <c r="AE267" t="s">
        <v>4628</v>
      </c>
      <c r="AF267" t="s">
        <v>74</v>
      </c>
      <c r="AG267">
        <v>76</v>
      </c>
      <c r="AH267">
        <v>2</v>
      </c>
      <c r="AI267">
        <v>2</v>
      </c>
      <c r="AJ267">
        <v>27</v>
      </c>
      <c r="AK267">
        <v>27</v>
      </c>
      <c r="AL267" t="s">
        <v>92</v>
      </c>
      <c r="AM267" t="s">
        <v>93</v>
      </c>
      <c r="AN267" t="s">
        <v>94</v>
      </c>
      <c r="AO267" t="s">
        <v>537</v>
      </c>
      <c r="AP267" t="s">
        <v>538</v>
      </c>
      <c r="AQ267" t="s">
        <v>74</v>
      </c>
      <c r="AR267" t="s">
        <v>539</v>
      </c>
      <c r="AS267" t="s">
        <v>540</v>
      </c>
      <c r="AT267" t="s">
        <v>99</v>
      </c>
      <c r="AU267">
        <v>2023</v>
      </c>
      <c r="AV267">
        <v>16</v>
      </c>
      <c r="AW267">
        <v>1</v>
      </c>
      <c r="AX267" t="s">
        <v>74</v>
      </c>
      <c r="AY267" t="s">
        <v>74</v>
      </c>
      <c r="AZ267" t="s">
        <v>74</v>
      </c>
      <c r="BA267" t="s">
        <v>74</v>
      </c>
      <c r="BB267">
        <v>2522</v>
      </c>
      <c r="BC267">
        <v>2554</v>
      </c>
      <c r="BD267" t="s">
        <v>74</v>
      </c>
      <c r="BE267" t="s">
        <v>4629</v>
      </c>
      <c r="BF267" t="str">
        <f>HYPERLINK("http://dx.doi.org/10.1080/17538947.2023.2230978","http://dx.doi.org/10.1080/17538947.2023.2230978")</f>
        <v>http://dx.doi.org/10.1080/17538947.2023.2230978</v>
      </c>
      <c r="BG267" t="s">
        <v>74</v>
      </c>
      <c r="BH267" t="s">
        <v>74</v>
      </c>
      <c r="BI267">
        <v>33</v>
      </c>
      <c r="BJ267" t="s">
        <v>542</v>
      </c>
      <c r="BK267" t="s">
        <v>102</v>
      </c>
      <c r="BL267" t="s">
        <v>543</v>
      </c>
      <c r="BM267" t="s">
        <v>4630</v>
      </c>
      <c r="BN267" t="s">
        <v>74</v>
      </c>
      <c r="BO267" t="s">
        <v>126</v>
      </c>
      <c r="BP267" t="s">
        <v>74</v>
      </c>
      <c r="BQ267" t="s">
        <v>74</v>
      </c>
      <c r="BR267" t="s">
        <v>105</v>
      </c>
      <c r="BS267" t="s">
        <v>4631</v>
      </c>
      <c r="BT267" t="str">
        <f>HYPERLINK("https%3A%2F%2Fwww.webofscience.com%2Fwos%2Fwoscc%2Ffull-record%2FWOS:001020504700001","View Full Record in Web of Science")</f>
        <v>View Full Record in Web of Science</v>
      </c>
    </row>
    <row r="268" spans="1:72" x14ac:dyDescent="0.15">
      <c r="A268" t="s">
        <v>72</v>
      </c>
      <c r="B268" t="s">
        <v>4632</v>
      </c>
      <c r="C268" t="s">
        <v>74</v>
      </c>
      <c r="D268" t="s">
        <v>74</v>
      </c>
      <c r="E268" t="s">
        <v>74</v>
      </c>
      <c r="F268" t="s">
        <v>4633</v>
      </c>
      <c r="G268" t="s">
        <v>74</v>
      </c>
      <c r="H268" t="s">
        <v>74</v>
      </c>
      <c r="I268" t="s">
        <v>4634</v>
      </c>
      <c r="J268" t="s">
        <v>1910</v>
      </c>
      <c r="K268" t="s">
        <v>74</v>
      </c>
      <c r="L268" t="s">
        <v>74</v>
      </c>
      <c r="M268" t="s">
        <v>78</v>
      </c>
      <c r="N268" t="s">
        <v>79</v>
      </c>
      <c r="O268" t="s">
        <v>74</v>
      </c>
      <c r="P268" t="s">
        <v>74</v>
      </c>
      <c r="Q268" t="s">
        <v>74</v>
      </c>
      <c r="R268" t="s">
        <v>74</v>
      </c>
      <c r="S268" t="s">
        <v>74</v>
      </c>
      <c r="T268" t="s">
        <v>4635</v>
      </c>
      <c r="U268" t="s">
        <v>4636</v>
      </c>
      <c r="V268" t="s">
        <v>4637</v>
      </c>
      <c r="W268" t="s">
        <v>4638</v>
      </c>
      <c r="X268" t="s">
        <v>4639</v>
      </c>
      <c r="Y268" t="s">
        <v>4640</v>
      </c>
      <c r="Z268" t="s">
        <v>4641</v>
      </c>
      <c r="AA268" t="s">
        <v>74</v>
      </c>
      <c r="AB268" t="s">
        <v>74</v>
      </c>
      <c r="AC268" t="s">
        <v>74</v>
      </c>
      <c r="AD268" t="s">
        <v>74</v>
      </c>
      <c r="AE268" t="s">
        <v>74</v>
      </c>
      <c r="AF268" t="s">
        <v>74</v>
      </c>
      <c r="AG268">
        <v>24</v>
      </c>
      <c r="AH268">
        <v>1</v>
      </c>
      <c r="AI268">
        <v>1</v>
      </c>
      <c r="AJ268">
        <v>1</v>
      </c>
      <c r="AK268">
        <v>4</v>
      </c>
      <c r="AL268" t="s">
        <v>92</v>
      </c>
      <c r="AM268" t="s">
        <v>93</v>
      </c>
      <c r="AN268" t="s">
        <v>94</v>
      </c>
      <c r="AO268" t="s">
        <v>1921</v>
      </c>
      <c r="AP268" t="s">
        <v>1922</v>
      </c>
      <c r="AQ268" t="s">
        <v>74</v>
      </c>
      <c r="AR268" t="s">
        <v>1910</v>
      </c>
      <c r="AS268" t="s">
        <v>1923</v>
      </c>
      <c r="AT268" t="s">
        <v>99</v>
      </c>
      <c r="AU268">
        <v>2023</v>
      </c>
      <c r="AV268">
        <v>45</v>
      </c>
      <c r="AW268">
        <v>1</v>
      </c>
      <c r="AX268" t="s">
        <v>74</v>
      </c>
      <c r="AY268" t="s">
        <v>74</v>
      </c>
      <c r="AZ268" t="s">
        <v>74</v>
      </c>
      <c r="BA268" t="s">
        <v>74</v>
      </c>
      <c r="BB268" t="s">
        <v>74</v>
      </c>
      <c r="BC268" t="s">
        <v>74</v>
      </c>
      <c r="BD268">
        <v>2166531</v>
      </c>
      <c r="BE268" t="s">
        <v>4642</v>
      </c>
      <c r="BF268" t="str">
        <f>HYPERLINK("http://dx.doi.org/10.1080/0886022X.2023.2166531","http://dx.doi.org/10.1080/0886022X.2023.2166531")</f>
        <v>http://dx.doi.org/10.1080/0886022X.2023.2166531</v>
      </c>
      <c r="BG268" t="s">
        <v>74</v>
      </c>
      <c r="BH268" t="s">
        <v>74</v>
      </c>
      <c r="BI268">
        <v>9</v>
      </c>
      <c r="BJ268" t="s">
        <v>1925</v>
      </c>
      <c r="BK268" t="s">
        <v>102</v>
      </c>
      <c r="BL268" t="s">
        <v>1925</v>
      </c>
      <c r="BM268" t="s">
        <v>4643</v>
      </c>
      <c r="BN268">
        <v>36651696</v>
      </c>
      <c r="BO268" t="s">
        <v>165</v>
      </c>
      <c r="BP268" t="s">
        <v>74</v>
      </c>
      <c r="BQ268" t="s">
        <v>74</v>
      </c>
      <c r="BR268" t="s">
        <v>105</v>
      </c>
      <c r="BS268" t="s">
        <v>4644</v>
      </c>
      <c r="BT268" t="str">
        <f>HYPERLINK("https%3A%2F%2Fwww.webofscience.com%2Fwos%2Fwoscc%2Ffull-record%2FWOS:000919325400001","View Full Record in Web of Science")</f>
        <v>View Full Record in Web of Science</v>
      </c>
    </row>
    <row r="269" spans="1:72" x14ac:dyDescent="0.15">
      <c r="A269" t="s">
        <v>72</v>
      </c>
      <c r="B269" t="s">
        <v>4645</v>
      </c>
      <c r="C269" t="s">
        <v>74</v>
      </c>
      <c r="D269" t="s">
        <v>74</v>
      </c>
      <c r="E269" t="s">
        <v>74</v>
      </c>
      <c r="F269" t="s">
        <v>4646</v>
      </c>
      <c r="G269" t="s">
        <v>74</v>
      </c>
      <c r="H269" t="s">
        <v>74</v>
      </c>
      <c r="I269" t="s">
        <v>4647</v>
      </c>
      <c r="J269" t="s">
        <v>1980</v>
      </c>
      <c r="K269" t="s">
        <v>74</v>
      </c>
      <c r="L269" t="s">
        <v>74</v>
      </c>
      <c r="M269" t="s">
        <v>78</v>
      </c>
      <c r="N269" t="s">
        <v>79</v>
      </c>
      <c r="O269" t="s">
        <v>74</v>
      </c>
      <c r="P269" t="s">
        <v>74</v>
      </c>
      <c r="Q269" t="s">
        <v>74</v>
      </c>
      <c r="R269" t="s">
        <v>74</v>
      </c>
      <c r="S269" t="s">
        <v>74</v>
      </c>
      <c r="T269" t="s">
        <v>4648</v>
      </c>
      <c r="U269" t="s">
        <v>4649</v>
      </c>
      <c r="V269" t="s">
        <v>4650</v>
      </c>
      <c r="W269" t="s">
        <v>4651</v>
      </c>
      <c r="X269" t="s">
        <v>4652</v>
      </c>
      <c r="Y269" t="s">
        <v>4653</v>
      </c>
      <c r="Z269" t="s">
        <v>4654</v>
      </c>
      <c r="AA269" t="s">
        <v>74</v>
      </c>
      <c r="AB269" t="s">
        <v>74</v>
      </c>
      <c r="AC269" t="s">
        <v>4655</v>
      </c>
      <c r="AD269" t="s">
        <v>4656</v>
      </c>
      <c r="AE269" t="s">
        <v>4657</v>
      </c>
      <c r="AF269" t="s">
        <v>74</v>
      </c>
      <c r="AG269">
        <v>60</v>
      </c>
      <c r="AH269">
        <v>1</v>
      </c>
      <c r="AI269">
        <v>1</v>
      </c>
      <c r="AJ269">
        <v>8</v>
      </c>
      <c r="AK269">
        <v>12</v>
      </c>
      <c r="AL269" t="s">
        <v>184</v>
      </c>
      <c r="AM269" t="s">
        <v>185</v>
      </c>
      <c r="AN269" t="s">
        <v>186</v>
      </c>
      <c r="AO269" t="s">
        <v>1990</v>
      </c>
      <c r="AP269" t="s">
        <v>1991</v>
      </c>
      <c r="AQ269" t="s">
        <v>74</v>
      </c>
      <c r="AR269" t="s">
        <v>1980</v>
      </c>
      <c r="AS269" t="s">
        <v>1992</v>
      </c>
      <c r="AT269" t="s">
        <v>99</v>
      </c>
      <c r="AU269">
        <v>2023</v>
      </c>
      <c r="AV269">
        <v>14</v>
      </c>
      <c r="AW269">
        <v>1</v>
      </c>
      <c r="AX269" t="s">
        <v>74</v>
      </c>
      <c r="AY269" t="s">
        <v>74</v>
      </c>
      <c r="AZ269" t="s">
        <v>74</v>
      </c>
      <c r="BA269" t="s">
        <v>74</v>
      </c>
      <c r="BB269" t="s">
        <v>74</v>
      </c>
      <c r="BC269" t="s">
        <v>74</v>
      </c>
      <c r="BD269">
        <v>2156196</v>
      </c>
      <c r="BE269" t="s">
        <v>4658</v>
      </c>
      <c r="BF269" t="str">
        <f>HYPERLINK("http://dx.doi.org/10.1080/21505594.2022.2156196","http://dx.doi.org/10.1080/21505594.2022.2156196")</f>
        <v>http://dx.doi.org/10.1080/21505594.2022.2156196</v>
      </c>
      <c r="BG269" t="s">
        <v>74</v>
      </c>
      <c r="BH269" t="s">
        <v>74</v>
      </c>
      <c r="BI269">
        <v>14</v>
      </c>
      <c r="BJ269" t="s">
        <v>752</v>
      </c>
      <c r="BK269" t="s">
        <v>102</v>
      </c>
      <c r="BL269" t="s">
        <v>752</v>
      </c>
      <c r="BM269" t="s">
        <v>4659</v>
      </c>
      <c r="BN269">
        <v>36482737</v>
      </c>
      <c r="BO269" t="s">
        <v>104</v>
      </c>
      <c r="BP269" t="s">
        <v>74</v>
      </c>
      <c r="BQ269" t="s">
        <v>74</v>
      </c>
      <c r="BR269" t="s">
        <v>105</v>
      </c>
      <c r="BS269" t="s">
        <v>4660</v>
      </c>
      <c r="BT269" t="str">
        <f>HYPERLINK("https%3A%2F%2Fwww.webofscience.com%2Fwos%2Fwoscc%2Ffull-record%2FWOS:000907786200001","View Full Record in Web of Science")</f>
        <v>View Full Record in Web of Science</v>
      </c>
    </row>
    <row r="270" spans="1:72" x14ac:dyDescent="0.15">
      <c r="A270" t="s">
        <v>72</v>
      </c>
      <c r="B270" t="s">
        <v>4661</v>
      </c>
      <c r="C270" t="s">
        <v>74</v>
      </c>
      <c r="D270" t="s">
        <v>74</v>
      </c>
      <c r="E270" t="s">
        <v>74</v>
      </c>
      <c r="F270" t="s">
        <v>4662</v>
      </c>
      <c r="G270" t="s">
        <v>74</v>
      </c>
      <c r="H270" t="s">
        <v>74</v>
      </c>
      <c r="I270" t="s">
        <v>4663</v>
      </c>
      <c r="J270" t="s">
        <v>4664</v>
      </c>
      <c r="K270" t="s">
        <v>74</v>
      </c>
      <c r="L270" t="s">
        <v>74</v>
      </c>
      <c r="M270" t="s">
        <v>78</v>
      </c>
      <c r="N270" t="s">
        <v>79</v>
      </c>
      <c r="O270" t="s">
        <v>74</v>
      </c>
      <c r="P270" t="s">
        <v>74</v>
      </c>
      <c r="Q270" t="s">
        <v>74</v>
      </c>
      <c r="R270" t="s">
        <v>74</v>
      </c>
      <c r="S270" t="s">
        <v>74</v>
      </c>
      <c r="T270" t="s">
        <v>4665</v>
      </c>
      <c r="U270" t="s">
        <v>4666</v>
      </c>
      <c r="V270" t="s">
        <v>4667</v>
      </c>
      <c r="W270" t="s">
        <v>4668</v>
      </c>
      <c r="X270" t="s">
        <v>4669</v>
      </c>
      <c r="Y270" t="s">
        <v>4670</v>
      </c>
      <c r="Z270" t="s">
        <v>4671</v>
      </c>
      <c r="AA270" t="s">
        <v>74</v>
      </c>
      <c r="AB270" t="s">
        <v>4672</v>
      </c>
      <c r="AC270" t="s">
        <v>4673</v>
      </c>
      <c r="AD270" t="s">
        <v>4674</v>
      </c>
      <c r="AE270" t="s">
        <v>4675</v>
      </c>
      <c r="AF270" t="s">
        <v>74</v>
      </c>
      <c r="AG270">
        <v>40</v>
      </c>
      <c r="AH270">
        <v>1</v>
      </c>
      <c r="AI270">
        <v>1</v>
      </c>
      <c r="AJ270">
        <v>24</v>
      </c>
      <c r="AK270">
        <v>29</v>
      </c>
      <c r="AL270" t="s">
        <v>92</v>
      </c>
      <c r="AM270" t="s">
        <v>93</v>
      </c>
      <c r="AN270" t="s">
        <v>94</v>
      </c>
      <c r="AO270" t="s">
        <v>4676</v>
      </c>
      <c r="AP270" t="s">
        <v>4677</v>
      </c>
      <c r="AQ270" t="s">
        <v>74</v>
      </c>
      <c r="AR270" t="s">
        <v>4678</v>
      </c>
      <c r="AS270" t="s">
        <v>4679</v>
      </c>
      <c r="AT270" t="s">
        <v>99</v>
      </c>
      <c r="AU270">
        <v>2023</v>
      </c>
      <c r="AV270">
        <v>18</v>
      </c>
      <c r="AW270">
        <v>1</v>
      </c>
      <c r="AX270" t="s">
        <v>74</v>
      </c>
      <c r="AY270" t="s">
        <v>74</v>
      </c>
      <c r="AZ270" t="s">
        <v>74</v>
      </c>
      <c r="BA270" t="s">
        <v>74</v>
      </c>
      <c r="BB270">
        <v>39</v>
      </c>
      <c r="BC270">
        <v>54</v>
      </c>
      <c r="BD270" t="s">
        <v>74</v>
      </c>
      <c r="BE270" t="s">
        <v>4680</v>
      </c>
      <c r="BF270" t="str">
        <f>HYPERLINK("http://dx.doi.org/10.1080/1747423X.2023.2178536","http://dx.doi.org/10.1080/1747423X.2023.2178536")</f>
        <v>http://dx.doi.org/10.1080/1747423X.2023.2178536</v>
      </c>
      <c r="BG270" t="s">
        <v>74</v>
      </c>
      <c r="BH270" t="s">
        <v>74</v>
      </c>
      <c r="BI270">
        <v>16</v>
      </c>
      <c r="BJ270" t="s">
        <v>4681</v>
      </c>
      <c r="BK270" t="s">
        <v>102</v>
      </c>
      <c r="BL270" t="s">
        <v>4682</v>
      </c>
      <c r="BM270" t="s">
        <v>4683</v>
      </c>
      <c r="BN270" t="s">
        <v>74</v>
      </c>
      <c r="BO270" t="s">
        <v>887</v>
      </c>
      <c r="BP270" t="s">
        <v>74</v>
      </c>
      <c r="BQ270" t="s">
        <v>74</v>
      </c>
      <c r="BR270" t="s">
        <v>105</v>
      </c>
      <c r="BS270" t="s">
        <v>4684</v>
      </c>
      <c r="BT270" t="str">
        <f>HYPERLINK("https%3A%2F%2Fwww.webofscience.com%2Fwos%2Fwoscc%2Ffull-record%2FWOS:000942611700001","View Full Record in Web of Science")</f>
        <v>View Full Record in Web of Science</v>
      </c>
    </row>
    <row r="271" spans="1:72" x14ac:dyDescent="0.15">
      <c r="A271" t="s">
        <v>72</v>
      </c>
      <c r="B271" t="s">
        <v>4685</v>
      </c>
      <c r="C271" t="s">
        <v>74</v>
      </c>
      <c r="D271" t="s">
        <v>74</v>
      </c>
      <c r="E271" t="s">
        <v>74</v>
      </c>
      <c r="F271" t="s">
        <v>4686</v>
      </c>
      <c r="G271" t="s">
        <v>74</v>
      </c>
      <c r="H271" t="s">
        <v>74</v>
      </c>
      <c r="I271" t="s">
        <v>4687</v>
      </c>
      <c r="J271" t="s">
        <v>4130</v>
      </c>
      <c r="K271" t="s">
        <v>74</v>
      </c>
      <c r="L271" t="s">
        <v>74</v>
      </c>
      <c r="M271" t="s">
        <v>78</v>
      </c>
      <c r="N271" t="s">
        <v>79</v>
      </c>
      <c r="O271" t="s">
        <v>74</v>
      </c>
      <c r="P271" t="s">
        <v>74</v>
      </c>
      <c r="Q271" t="s">
        <v>74</v>
      </c>
      <c r="R271" t="s">
        <v>74</v>
      </c>
      <c r="S271" t="s">
        <v>74</v>
      </c>
      <c r="T271" t="s">
        <v>4688</v>
      </c>
      <c r="U271" t="s">
        <v>4689</v>
      </c>
      <c r="V271" t="s">
        <v>4690</v>
      </c>
      <c r="W271" t="s">
        <v>4691</v>
      </c>
      <c r="X271" t="s">
        <v>4692</v>
      </c>
      <c r="Y271" t="s">
        <v>4693</v>
      </c>
      <c r="Z271" t="s">
        <v>4694</v>
      </c>
      <c r="AA271" t="s">
        <v>74</v>
      </c>
      <c r="AB271" t="s">
        <v>74</v>
      </c>
      <c r="AC271" t="s">
        <v>4695</v>
      </c>
      <c r="AD271" t="s">
        <v>4696</v>
      </c>
      <c r="AE271" t="s">
        <v>4697</v>
      </c>
      <c r="AF271" t="s">
        <v>74</v>
      </c>
      <c r="AG271">
        <v>29</v>
      </c>
      <c r="AH271">
        <v>0</v>
      </c>
      <c r="AI271">
        <v>0</v>
      </c>
      <c r="AJ271">
        <v>1</v>
      </c>
      <c r="AK271">
        <v>1</v>
      </c>
      <c r="AL271" t="s">
        <v>92</v>
      </c>
      <c r="AM271" t="s">
        <v>93</v>
      </c>
      <c r="AN271" t="s">
        <v>94</v>
      </c>
      <c r="AO271" t="s">
        <v>4141</v>
      </c>
      <c r="AP271" t="s">
        <v>4142</v>
      </c>
      <c r="AQ271" t="s">
        <v>74</v>
      </c>
      <c r="AR271" t="s">
        <v>4130</v>
      </c>
      <c r="AS271" t="s">
        <v>4143</v>
      </c>
      <c r="AT271" t="s">
        <v>99</v>
      </c>
      <c r="AU271">
        <v>2023</v>
      </c>
      <c r="AV271">
        <v>56</v>
      </c>
      <c r="AW271">
        <v>1</v>
      </c>
      <c r="AX271" t="s">
        <v>74</v>
      </c>
      <c r="AY271" t="s">
        <v>74</v>
      </c>
      <c r="AZ271" t="s">
        <v>74</v>
      </c>
      <c r="BA271" t="s">
        <v>74</v>
      </c>
      <c r="BB271" t="s">
        <v>74</v>
      </c>
      <c r="BC271" t="s">
        <v>74</v>
      </c>
      <c r="BD271">
        <v>2250102</v>
      </c>
      <c r="BE271" t="s">
        <v>4698</v>
      </c>
      <c r="BF271" t="str">
        <f>HYPERLINK("http://dx.doi.org/10.1080/08916934.2023.2250102","http://dx.doi.org/10.1080/08916934.2023.2250102")</f>
        <v>http://dx.doi.org/10.1080/08916934.2023.2250102</v>
      </c>
      <c r="BG271" t="s">
        <v>74</v>
      </c>
      <c r="BH271" t="s">
        <v>74</v>
      </c>
      <c r="BI271">
        <v>7</v>
      </c>
      <c r="BJ271" t="s">
        <v>1425</v>
      </c>
      <c r="BK271" t="s">
        <v>102</v>
      </c>
      <c r="BL271" t="s">
        <v>1425</v>
      </c>
      <c r="BM271" t="s">
        <v>4699</v>
      </c>
      <c r="BN271">
        <v>37599561</v>
      </c>
      <c r="BO271" t="s">
        <v>126</v>
      </c>
      <c r="BP271" t="s">
        <v>74</v>
      </c>
      <c r="BQ271" t="s">
        <v>74</v>
      </c>
      <c r="BR271" t="s">
        <v>105</v>
      </c>
      <c r="BS271" t="s">
        <v>4700</v>
      </c>
      <c r="BT271" t="str">
        <f>HYPERLINK("https%3A%2F%2Fwww.webofscience.com%2Fwos%2Fwoscc%2Ffull-record%2FWOS:001051673300001","View Full Record in Web of Science")</f>
        <v>View Full Record in Web of Science</v>
      </c>
    </row>
    <row r="272" spans="1:72" x14ac:dyDescent="0.15">
      <c r="A272" t="s">
        <v>72</v>
      </c>
      <c r="B272" t="s">
        <v>4701</v>
      </c>
      <c r="C272" t="s">
        <v>74</v>
      </c>
      <c r="D272" t="s">
        <v>74</v>
      </c>
      <c r="E272" t="s">
        <v>74</v>
      </c>
      <c r="F272" t="s">
        <v>4702</v>
      </c>
      <c r="G272" t="s">
        <v>74</v>
      </c>
      <c r="H272" t="s">
        <v>74</v>
      </c>
      <c r="I272" t="s">
        <v>4703</v>
      </c>
      <c r="J272" t="s">
        <v>403</v>
      </c>
      <c r="K272" t="s">
        <v>74</v>
      </c>
      <c r="L272" t="s">
        <v>74</v>
      </c>
      <c r="M272" t="s">
        <v>78</v>
      </c>
      <c r="N272" t="s">
        <v>79</v>
      </c>
      <c r="O272" t="s">
        <v>74</v>
      </c>
      <c r="P272" t="s">
        <v>74</v>
      </c>
      <c r="Q272" t="s">
        <v>74</v>
      </c>
      <c r="R272" t="s">
        <v>74</v>
      </c>
      <c r="S272" t="s">
        <v>74</v>
      </c>
      <c r="T272" t="s">
        <v>4704</v>
      </c>
      <c r="U272" t="s">
        <v>4705</v>
      </c>
      <c r="V272" t="s">
        <v>4706</v>
      </c>
      <c r="W272" t="s">
        <v>4707</v>
      </c>
      <c r="X272" t="s">
        <v>4708</v>
      </c>
      <c r="Y272" t="s">
        <v>4709</v>
      </c>
      <c r="Z272" t="s">
        <v>4710</v>
      </c>
      <c r="AA272" t="s">
        <v>4711</v>
      </c>
      <c r="AB272" t="s">
        <v>4712</v>
      </c>
      <c r="AC272" t="s">
        <v>4713</v>
      </c>
      <c r="AD272" t="s">
        <v>4714</v>
      </c>
      <c r="AE272" t="s">
        <v>4715</v>
      </c>
      <c r="AF272" t="s">
        <v>74</v>
      </c>
      <c r="AG272">
        <v>40</v>
      </c>
      <c r="AH272">
        <v>0</v>
      </c>
      <c r="AI272">
        <v>0</v>
      </c>
      <c r="AJ272">
        <v>43</v>
      </c>
      <c r="AK272">
        <v>43</v>
      </c>
      <c r="AL272" t="s">
        <v>92</v>
      </c>
      <c r="AM272" t="s">
        <v>93</v>
      </c>
      <c r="AN272" t="s">
        <v>94</v>
      </c>
      <c r="AO272" t="s">
        <v>416</v>
      </c>
      <c r="AP272" t="s">
        <v>417</v>
      </c>
      <c r="AQ272" t="s">
        <v>74</v>
      </c>
      <c r="AR272" t="s">
        <v>418</v>
      </c>
      <c r="AS272" t="s">
        <v>419</v>
      </c>
      <c r="AT272" t="s">
        <v>99</v>
      </c>
      <c r="AU272">
        <v>2023</v>
      </c>
      <c r="AV272">
        <v>17</v>
      </c>
      <c r="AW272">
        <v>1</v>
      </c>
      <c r="AX272" t="s">
        <v>74</v>
      </c>
      <c r="AY272" t="s">
        <v>74</v>
      </c>
      <c r="AZ272" t="s">
        <v>74</v>
      </c>
      <c r="BA272" t="s">
        <v>74</v>
      </c>
      <c r="BB272" t="s">
        <v>74</v>
      </c>
      <c r="BC272" t="s">
        <v>74</v>
      </c>
      <c r="BD272">
        <v>2194359</v>
      </c>
      <c r="BE272" t="s">
        <v>4716</v>
      </c>
      <c r="BF272" t="str">
        <f>HYPERLINK("http://dx.doi.org/10.1080/19942060.2023.2194359","http://dx.doi.org/10.1080/19942060.2023.2194359")</f>
        <v>http://dx.doi.org/10.1080/19942060.2023.2194359</v>
      </c>
      <c r="BG272" t="s">
        <v>74</v>
      </c>
      <c r="BH272" t="s">
        <v>74</v>
      </c>
      <c r="BI272">
        <v>15</v>
      </c>
      <c r="BJ272" t="s">
        <v>421</v>
      </c>
      <c r="BK272" t="s">
        <v>102</v>
      </c>
      <c r="BL272" t="s">
        <v>422</v>
      </c>
      <c r="BM272" t="s">
        <v>4717</v>
      </c>
      <c r="BN272" t="s">
        <v>74</v>
      </c>
      <c r="BO272" t="s">
        <v>126</v>
      </c>
      <c r="BP272" t="s">
        <v>74</v>
      </c>
      <c r="BQ272" t="s">
        <v>74</v>
      </c>
      <c r="BR272" t="s">
        <v>105</v>
      </c>
      <c r="BS272" t="s">
        <v>4718</v>
      </c>
      <c r="BT272" t="str">
        <f>HYPERLINK("https%3A%2F%2Fwww.webofscience.com%2Fwos%2Fwoscc%2Ffull-record%2FWOS:000954194500001","View Full Record in Web of Science")</f>
        <v>View Full Record in Web of Science</v>
      </c>
    </row>
    <row r="273" spans="1:72" x14ac:dyDescent="0.15">
      <c r="A273" t="s">
        <v>72</v>
      </c>
      <c r="B273" t="s">
        <v>4719</v>
      </c>
      <c r="C273" t="s">
        <v>74</v>
      </c>
      <c r="D273" t="s">
        <v>74</v>
      </c>
      <c r="E273" t="s">
        <v>74</v>
      </c>
      <c r="F273" t="s">
        <v>4720</v>
      </c>
      <c r="G273" t="s">
        <v>74</v>
      </c>
      <c r="H273" t="s">
        <v>74</v>
      </c>
      <c r="I273" t="s">
        <v>4721</v>
      </c>
      <c r="J273" t="s">
        <v>4722</v>
      </c>
      <c r="K273" t="s">
        <v>74</v>
      </c>
      <c r="L273" t="s">
        <v>74</v>
      </c>
      <c r="M273" t="s">
        <v>78</v>
      </c>
      <c r="N273" t="s">
        <v>79</v>
      </c>
      <c r="O273" t="s">
        <v>74</v>
      </c>
      <c r="P273" t="s">
        <v>74</v>
      </c>
      <c r="Q273" t="s">
        <v>74</v>
      </c>
      <c r="R273" t="s">
        <v>74</v>
      </c>
      <c r="S273" t="s">
        <v>74</v>
      </c>
      <c r="T273" t="s">
        <v>4723</v>
      </c>
      <c r="U273" t="s">
        <v>4724</v>
      </c>
      <c r="V273" t="s">
        <v>4725</v>
      </c>
      <c r="W273" t="s">
        <v>4726</v>
      </c>
      <c r="X273" t="s">
        <v>4727</v>
      </c>
      <c r="Y273" t="s">
        <v>4728</v>
      </c>
      <c r="Z273" t="s">
        <v>4729</v>
      </c>
      <c r="AA273" t="s">
        <v>4730</v>
      </c>
      <c r="AB273" t="s">
        <v>4731</v>
      </c>
      <c r="AC273" t="s">
        <v>74</v>
      </c>
      <c r="AD273" t="s">
        <v>74</v>
      </c>
      <c r="AE273" t="s">
        <v>74</v>
      </c>
      <c r="AF273" t="s">
        <v>74</v>
      </c>
      <c r="AG273">
        <v>58</v>
      </c>
      <c r="AH273">
        <v>3</v>
      </c>
      <c r="AI273">
        <v>3</v>
      </c>
      <c r="AJ273">
        <v>12</v>
      </c>
      <c r="AK273">
        <v>14</v>
      </c>
      <c r="AL273" t="s">
        <v>92</v>
      </c>
      <c r="AM273" t="s">
        <v>93</v>
      </c>
      <c r="AN273" t="s">
        <v>94</v>
      </c>
      <c r="AO273" t="s">
        <v>4732</v>
      </c>
      <c r="AP273" t="s">
        <v>4733</v>
      </c>
      <c r="AQ273" t="s">
        <v>74</v>
      </c>
      <c r="AR273" t="s">
        <v>4734</v>
      </c>
      <c r="AS273" t="s">
        <v>4735</v>
      </c>
      <c r="AT273" t="s">
        <v>99</v>
      </c>
      <c r="AU273">
        <v>2023</v>
      </c>
      <c r="AV273">
        <v>14</v>
      </c>
      <c r="AW273">
        <v>1</v>
      </c>
      <c r="AX273" t="s">
        <v>74</v>
      </c>
      <c r="AY273" t="s">
        <v>74</v>
      </c>
      <c r="AZ273" t="s">
        <v>74</v>
      </c>
      <c r="BA273" t="s">
        <v>74</v>
      </c>
      <c r="BB273" t="s">
        <v>74</v>
      </c>
      <c r="BC273" t="s">
        <v>74</v>
      </c>
      <c r="BD273">
        <v>2185414</v>
      </c>
      <c r="BE273" t="s">
        <v>4736</v>
      </c>
      <c r="BF273" t="str">
        <f>HYPERLINK("http://dx.doi.org/10.1080/20008066.2023.2185414","http://dx.doi.org/10.1080/20008066.2023.2185414")</f>
        <v>http://dx.doi.org/10.1080/20008066.2023.2185414</v>
      </c>
      <c r="BG273" t="s">
        <v>74</v>
      </c>
      <c r="BH273" t="s">
        <v>74</v>
      </c>
      <c r="BI273">
        <v>10</v>
      </c>
      <c r="BJ273" t="s">
        <v>4737</v>
      </c>
      <c r="BK273" t="s">
        <v>272</v>
      </c>
      <c r="BL273" t="s">
        <v>4738</v>
      </c>
      <c r="BM273" t="s">
        <v>4739</v>
      </c>
      <c r="BN273">
        <v>36919776</v>
      </c>
      <c r="BO273" t="s">
        <v>165</v>
      </c>
      <c r="BP273" t="s">
        <v>74</v>
      </c>
      <c r="BQ273" t="s">
        <v>74</v>
      </c>
      <c r="BR273" t="s">
        <v>105</v>
      </c>
      <c r="BS273" t="s">
        <v>4740</v>
      </c>
      <c r="BT273" t="str">
        <f>HYPERLINK("https%3A%2F%2Fwww.webofscience.com%2Fwos%2Fwoscc%2Ffull-record%2FWOS:000949075700001","View Full Record in Web of Science")</f>
        <v>View Full Record in Web of Science</v>
      </c>
    </row>
    <row r="274" spans="1:72" x14ac:dyDescent="0.15">
      <c r="A274" t="s">
        <v>72</v>
      </c>
      <c r="B274" t="s">
        <v>4741</v>
      </c>
      <c r="C274" t="s">
        <v>74</v>
      </c>
      <c r="D274" t="s">
        <v>74</v>
      </c>
      <c r="E274" t="s">
        <v>74</v>
      </c>
      <c r="F274" t="s">
        <v>4742</v>
      </c>
      <c r="G274" t="s">
        <v>74</v>
      </c>
      <c r="H274" t="s">
        <v>74</v>
      </c>
      <c r="I274" t="s">
        <v>4743</v>
      </c>
      <c r="J274" t="s">
        <v>3695</v>
      </c>
      <c r="K274" t="s">
        <v>74</v>
      </c>
      <c r="L274" t="s">
        <v>74</v>
      </c>
      <c r="M274" t="s">
        <v>78</v>
      </c>
      <c r="N274" t="s">
        <v>79</v>
      </c>
      <c r="O274" t="s">
        <v>74</v>
      </c>
      <c r="P274" t="s">
        <v>74</v>
      </c>
      <c r="Q274" t="s">
        <v>74</v>
      </c>
      <c r="R274" t="s">
        <v>74</v>
      </c>
      <c r="S274" t="s">
        <v>74</v>
      </c>
      <c r="T274" t="s">
        <v>4744</v>
      </c>
      <c r="U274" t="s">
        <v>4745</v>
      </c>
      <c r="V274" t="s">
        <v>4746</v>
      </c>
      <c r="W274" t="s">
        <v>4747</v>
      </c>
      <c r="X274" t="s">
        <v>4748</v>
      </c>
      <c r="Y274" t="s">
        <v>4749</v>
      </c>
      <c r="Z274" t="s">
        <v>4750</v>
      </c>
      <c r="AA274" t="s">
        <v>74</v>
      </c>
      <c r="AB274" t="s">
        <v>74</v>
      </c>
      <c r="AC274" t="s">
        <v>4751</v>
      </c>
      <c r="AD274" t="s">
        <v>4752</v>
      </c>
      <c r="AE274" t="s">
        <v>4753</v>
      </c>
      <c r="AF274" t="s">
        <v>74</v>
      </c>
      <c r="AG274">
        <v>32</v>
      </c>
      <c r="AH274">
        <v>0</v>
      </c>
      <c r="AI274">
        <v>0</v>
      </c>
      <c r="AJ274">
        <v>27</v>
      </c>
      <c r="AK274">
        <v>27</v>
      </c>
      <c r="AL274" t="s">
        <v>92</v>
      </c>
      <c r="AM274" t="s">
        <v>93</v>
      </c>
      <c r="AN274" t="s">
        <v>94</v>
      </c>
      <c r="AO274" t="s">
        <v>3704</v>
      </c>
      <c r="AP274" t="s">
        <v>3705</v>
      </c>
      <c r="AQ274" t="s">
        <v>74</v>
      </c>
      <c r="AR274" t="s">
        <v>3706</v>
      </c>
      <c r="AS274" t="s">
        <v>3707</v>
      </c>
      <c r="AT274" t="s">
        <v>99</v>
      </c>
      <c r="AU274">
        <v>2023</v>
      </c>
      <c r="AV274">
        <v>17</v>
      </c>
      <c r="AW274">
        <v>1</v>
      </c>
      <c r="AX274" t="s">
        <v>74</v>
      </c>
      <c r="AY274" t="s">
        <v>74</v>
      </c>
      <c r="AZ274" t="s">
        <v>74</v>
      </c>
      <c r="BA274" t="s">
        <v>74</v>
      </c>
      <c r="BB274" t="s">
        <v>74</v>
      </c>
      <c r="BC274" t="s">
        <v>74</v>
      </c>
      <c r="BD274">
        <v>2225545</v>
      </c>
      <c r="BE274" t="s">
        <v>4754</v>
      </c>
      <c r="BF274" t="str">
        <f>HYPERLINK("http://dx.doi.org/10.1080/17513758.2023.2225545","http://dx.doi.org/10.1080/17513758.2023.2225545")</f>
        <v>http://dx.doi.org/10.1080/17513758.2023.2225545</v>
      </c>
      <c r="BG274" t="s">
        <v>74</v>
      </c>
      <c r="BH274" t="s">
        <v>74</v>
      </c>
      <c r="BI274">
        <v>23</v>
      </c>
      <c r="BJ274" t="s">
        <v>3709</v>
      </c>
      <c r="BK274" t="s">
        <v>102</v>
      </c>
      <c r="BL274" t="s">
        <v>3710</v>
      </c>
      <c r="BM274" t="s">
        <v>4755</v>
      </c>
      <c r="BN274">
        <v>37339327</v>
      </c>
      <c r="BO274" t="s">
        <v>126</v>
      </c>
      <c r="BP274" t="s">
        <v>74</v>
      </c>
      <c r="BQ274" t="s">
        <v>74</v>
      </c>
      <c r="BR274" t="s">
        <v>105</v>
      </c>
      <c r="BS274" t="s">
        <v>4756</v>
      </c>
      <c r="BT274" t="str">
        <f>HYPERLINK("https%3A%2F%2Fwww.webofscience.com%2Fwos%2Fwoscc%2Ffull-record%2FWOS:001009522800001","View Full Record in Web of Science")</f>
        <v>View Full Record in Web of Science</v>
      </c>
    </row>
    <row r="275" spans="1:72" x14ac:dyDescent="0.15">
      <c r="A275" t="s">
        <v>72</v>
      </c>
      <c r="B275" t="s">
        <v>4757</v>
      </c>
      <c r="C275" t="s">
        <v>74</v>
      </c>
      <c r="D275" t="s">
        <v>74</v>
      </c>
      <c r="E275" t="s">
        <v>74</v>
      </c>
      <c r="F275" t="s">
        <v>4758</v>
      </c>
      <c r="G275" t="s">
        <v>74</v>
      </c>
      <c r="H275" t="s">
        <v>74</v>
      </c>
      <c r="I275" t="s">
        <v>4759</v>
      </c>
      <c r="J275" t="s">
        <v>338</v>
      </c>
      <c r="K275" t="s">
        <v>74</v>
      </c>
      <c r="L275" t="s">
        <v>74</v>
      </c>
      <c r="M275" t="s">
        <v>78</v>
      </c>
      <c r="N275" t="s">
        <v>79</v>
      </c>
      <c r="O275" t="s">
        <v>74</v>
      </c>
      <c r="P275" t="s">
        <v>74</v>
      </c>
      <c r="Q275" t="s">
        <v>74</v>
      </c>
      <c r="R275" t="s">
        <v>74</v>
      </c>
      <c r="S275" t="s">
        <v>74</v>
      </c>
      <c r="T275" t="s">
        <v>4760</v>
      </c>
      <c r="U275" t="s">
        <v>4761</v>
      </c>
      <c r="V275" t="s">
        <v>4762</v>
      </c>
      <c r="W275" t="s">
        <v>4763</v>
      </c>
      <c r="X275" t="s">
        <v>4764</v>
      </c>
      <c r="Y275" t="s">
        <v>4765</v>
      </c>
      <c r="Z275" t="s">
        <v>4766</v>
      </c>
      <c r="AA275" t="s">
        <v>4767</v>
      </c>
      <c r="AB275" t="s">
        <v>4768</v>
      </c>
      <c r="AC275" t="s">
        <v>4769</v>
      </c>
      <c r="AD275" t="s">
        <v>4770</v>
      </c>
      <c r="AE275" t="s">
        <v>4771</v>
      </c>
      <c r="AF275" t="s">
        <v>74</v>
      </c>
      <c r="AG275">
        <v>33</v>
      </c>
      <c r="AH275">
        <v>1</v>
      </c>
      <c r="AI275">
        <v>1</v>
      </c>
      <c r="AJ275">
        <v>11</v>
      </c>
      <c r="AK275">
        <v>11</v>
      </c>
      <c r="AL275" t="s">
        <v>92</v>
      </c>
      <c r="AM275" t="s">
        <v>93</v>
      </c>
      <c r="AN275" t="s">
        <v>94</v>
      </c>
      <c r="AO275" t="s">
        <v>348</v>
      </c>
      <c r="AP275" t="s">
        <v>74</v>
      </c>
      <c r="AQ275" t="s">
        <v>74</v>
      </c>
      <c r="AR275" t="s">
        <v>349</v>
      </c>
      <c r="AS275" t="s">
        <v>350</v>
      </c>
      <c r="AT275" t="s">
        <v>99</v>
      </c>
      <c r="AU275">
        <v>2023</v>
      </c>
      <c r="AV275">
        <v>17</v>
      </c>
      <c r="AW275">
        <v>1</v>
      </c>
      <c r="AX275" t="s">
        <v>74</v>
      </c>
      <c r="AY275" t="s">
        <v>74</v>
      </c>
      <c r="AZ275" t="s">
        <v>74</v>
      </c>
      <c r="BA275" t="s">
        <v>74</v>
      </c>
      <c r="BB275" t="s">
        <v>74</v>
      </c>
      <c r="BC275" t="s">
        <v>74</v>
      </c>
      <c r="BD275">
        <v>2194231</v>
      </c>
      <c r="BE275" t="s">
        <v>4772</v>
      </c>
      <c r="BF275" t="str">
        <f>HYPERLINK("http://dx.doi.org/10.1080/16583655.2023.2194231","http://dx.doi.org/10.1080/16583655.2023.2194231")</f>
        <v>http://dx.doi.org/10.1080/16583655.2023.2194231</v>
      </c>
      <c r="BG275" t="s">
        <v>74</v>
      </c>
      <c r="BH275" t="s">
        <v>74</v>
      </c>
      <c r="BI275">
        <v>10</v>
      </c>
      <c r="BJ275" t="s">
        <v>352</v>
      </c>
      <c r="BK275" t="s">
        <v>102</v>
      </c>
      <c r="BL275" t="s">
        <v>353</v>
      </c>
      <c r="BM275" t="s">
        <v>4773</v>
      </c>
      <c r="BN275" t="s">
        <v>74</v>
      </c>
      <c r="BO275" t="s">
        <v>126</v>
      </c>
      <c r="BP275" t="s">
        <v>74</v>
      </c>
      <c r="BQ275" t="s">
        <v>74</v>
      </c>
      <c r="BR275" t="s">
        <v>105</v>
      </c>
      <c r="BS275" t="s">
        <v>4774</v>
      </c>
      <c r="BT275" t="str">
        <f>HYPERLINK("https%3A%2F%2Fwww.webofscience.com%2Fwos%2Fwoscc%2Ffull-record%2FWOS:000962027800001","View Full Record in Web of Science")</f>
        <v>View Full Record in Web of Science</v>
      </c>
    </row>
    <row r="276" spans="1:72" x14ac:dyDescent="0.15">
      <c r="A276" t="s">
        <v>72</v>
      </c>
      <c r="B276" t="s">
        <v>4775</v>
      </c>
      <c r="C276" t="s">
        <v>74</v>
      </c>
      <c r="D276" t="s">
        <v>74</v>
      </c>
      <c r="E276" t="s">
        <v>74</v>
      </c>
      <c r="F276" t="s">
        <v>4776</v>
      </c>
      <c r="G276" t="s">
        <v>74</v>
      </c>
      <c r="H276" t="s">
        <v>74</v>
      </c>
      <c r="I276" t="s">
        <v>4777</v>
      </c>
      <c r="J276" t="s">
        <v>871</v>
      </c>
      <c r="K276" t="s">
        <v>74</v>
      </c>
      <c r="L276" t="s">
        <v>74</v>
      </c>
      <c r="M276" t="s">
        <v>78</v>
      </c>
      <c r="N276" t="s">
        <v>79</v>
      </c>
      <c r="O276" t="s">
        <v>74</v>
      </c>
      <c r="P276" t="s">
        <v>74</v>
      </c>
      <c r="Q276" t="s">
        <v>74</v>
      </c>
      <c r="R276" t="s">
        <v>74</v>
      </c>
      <c r="S276" t="s">
        <v>74</v>
      </c>
      <c r="T276" t="s">
        <v>4778</v>
      </c>
      <c r="U276" t="s">
        <v>4779</v>
      </c>
      <c r="V276" t="s">
        <v>4780</v>
      </c>
      <c r="W276" t="s">
        <v>4781</v>
      </c>
      <c r="X276" t="s">
        <v>4782</v>
      </c>
      <c r="Y276" t="s">
        <v>4783</v>
      </c>
      <c r="Z276" t="s">
        <v>4784</v>
      </c>
      <c r="AA276" t="s">
        <v>74</v>
      </c>
      <c r="AB276" t="s">
        <v>4785</v>
      </c>
      <c r="AC276" t="s">
        <v>74</v>
      </c>
      <c r="AD276" t="s">
        <v>74</v>
      </c>
      <c r="AE276" t="s">
        <v>74</v>
      </c>
      <c r="AF276" t="s">
        <v>74</v>
      </c>
      <c r="AG276">
        <v>5</v>
      </c>
      <c r="AH276">
        <v>0</v>
      </c>
      <c r="AI276">
        <v>0</v>
      </c>
      <c r="AJ276">
        <v>0</v>
      </c>
      <c r="AK276">
        <v>0</v>
      </c>
      <c r="AL276" t="s">
        <v>92</v>
      </c>
      <c r="AM276" t="s">
        <v>93</v>
      </c>
      <c r="AN276" t="s">
        <v>94</v>
      </c>
      <c r="AO276" t="s">
        <v>880</v>
      </c>
      <c r="AP276" t="s">
        <v>881</v>
      </c>
      <c r="AQ276" t="s">
        <v>74</v>
      </c>
      <c r="AR276" t="s">
        <v>882</v>
      </c>
      <c r="AS276" t="s">
        <v>883</v>
      </c>
      <c r="AT276" t="s">
        <v>4786</v>
      </c>
      <c r="AU276">
        <v>2023</v>
      </c>
      <c r="AV276">
        <v>36</v>
      </c>
      <c r="AW276">
        <v>2</v>
      </c>
      <c r="AX276" t="s">
        <v>74</v>
      </c>
      <c r="AY276" t="s">
        <v>74</v>
      </c>
      <c r="AZ276" t="s">
        <v>74</v>
      </c>
      <c r="BA276" t="s">
        <v>74</v>
      </c>
      <c r="BB276" t="s">
        <v>74</v>
      </c>
      <c r="BC276" t="s">
        <v>74</v>
      </c>
      <c r="BD276">
        <v>2229474</v>
      </c>
      <c r="BE276" t="s">
        <v>4787</v>
      </c>
      <c r="BF276" t="str">
        <f>HYPERLINK("http://dx.doi.org/10.1080/14767058.2023.2229474","http://dx.doi.org/10.1080/14767058.2023.2229474")</f>
        <v>http://dx.doi.org/10.1080/14767058.2023.2229474</v>
      </c>
      <c r="BG276" t="s">
        <v>74</v>
      </c>
      <c r="BH276" t="s">
        <v>74</v>
      </c>
      <c r="BI276">
        <v>3</v>
      </c>
      <c r="BJ276" t="s">
        <v>885</v>
      </c>
      <c r="BK276" t="s">
        <v>102</v>
      </c>
      <c r="BL276" t="s">
        <v>885</v>
      </c>
      <c r="BM276" t="s">
        <v>4788</v>
      </c>
      <c r="BN276">
        <v>37403602</v>
      </c>
      <c r="BO276" t="s">
        <v>887</v>
      </c>
      <c r="BP276" t="s">
        <v>74</v>
      </c>
      <c r="BQ276" t="s">
        <v>74</v>
      </c>
      <c r="BR276" t="s">
        <v>105</v>
      </c>
      <c r="BS276" t="s">
        <v>4789</v>
      </c>
      <c r="BT276" t="str">
        <f>HYPERLINK("https%3A%2F%2Fwww.webofscience.com%2Fwos%2Fwoscc%2Ffull-record%2FWOS:001019655800001","View Full Record in Web of Science")</f>
        <v>View Full Record in Web of Science</v>
      </c>
    </row>
    <row r="277" spans="1:72" x14ac:dyDescent="0.15">
      <c r="A277" t="s">
        <v>72</v>
      </c>
      <c r="B277" t="s">
        <v>4790</v>
      </c>
      <c r="C277" t="s">
        <v>74</v>
      </c>
      <c r="D277" t="s">
        <v>74</v>
      </c>
      <c r="E277" t="s">
        <v>74</v>
      </c>
      <c r="F277" t="s">
        <v>4791</v>
      </c>
      <c r="G277" t="s">
        <v>74</v>
      </c>
      <c r="H277" t="s">
        <v>74</v>
      </c>
      <c r="I277" t="s">
        <v>4792</v>
      </c>
      <c r="J277" t="s">
        <v>871</v>
      </c>
      <c r="K277" t="s">
        <v>74</v>
      </c>
      <c r="L277" t="s">
        <v>74</v>
      </c>
      <c r="M277" t="s">
        <v>78</v>
      </c>
      <c r="N277" t="s">
        <v>79</v>
      </c>
      <c r="O277" t="s">
        <v>74</v>
      </c>
      <c r="P277" t="s">
        <v>74</v>
      </c>
      <c r="Q277" t="s">
        <v>74</v>
      </c>
      <c r="R277" t="s">
        <v>74</v>
      </c>
      <c r="S277" t="s">
        <v>74</v>
      </c>
      <c r="T277" t="s">
        <v>4793</v>
      </c>
      <c r="U277" t="s">
        <v>4794</v>
      </c>
      <c r="V277" t="s">
        <v>4795</v>
      </c>
      <c r="W277" t="s">
        <v>4796</v>
      </c>
      <c r="X277" t="s">
        <v>4797</v>
      </c>
      <c r="Y277" t="s">
        <v>4798</v>
      </c>
      <c r="Z277" t="s">
        <v>4799</v>
      </c>
      <c r="AA277" t="s">
        <v>74</v>
      </c>
      <c r="AB277" t="s">
        <v>74</v>
      </c>
      <c r="AC277" t="s">
        <v>4800</v>
      </c>
      <c r="AD277" t="s">
        <v>4801</v>
      </c>
      <c r="AE277" t="s">
        <v>4802</v>
      </c>
      <c r="AF277" t="s">
        <v>74</v>
      </c>
      <c r="AG277">
        <v>23</v>
      </c>
      <c r="AH277">
        <v>0</v>
      </c>
      <c r="AI277">
        <v>0</v>
      </c>
      <c r="AJ277">
        <v>4</v>
      </c>
      <c r="AK277">
        <v>4</v>
      </c>
      <c r="AL277" t="s">
        <v>92</v>
      </c>
      <c r="AM277" t="s">
        <v>93</v>
      </c>
      <c r="AN277" t="s">
        <v>94</v>
      </c>
      <c r="AO277" t="s">
        <v>880</v>
      </c>
      <c r="AP277" t="s">
        <v>881</v>
      </c>
      <c r="AQ277" t="s">
        <v>74</v>
      </c>
      <c r="AR277" t="s">
        <v>882</v>
      </c>
      <c r="AS277" t="s">
        <v>883</v>
      </c>
      <c r="AT277" t="s">
        <v>4786</v>
      </c>
      <c r="AU277">
        <v>2023</v>
      </c>
      <c r="AV277">
        <v>36</v>
      </c>
      <c r="AW277">
        <v>2</v>
      </c>
      <c r="AX277" t="s">
        <v>74</v>
      </c>
      <c r="AY277" t="s">
        <v>74</v>
      </c>
      <c r="AZ277" t="s">
        <v>74</v>
      </c>
      <c r="BA277" t="s">
        <v>74</v>
      </c>
      <c r="BB277" t="s">
        <v>74</v>
      </c>
      <c r="BC277" t="s">
        <v>74</v>
      </c>
      <c r="BD277">
        <v>2232076</v>
      </c>
      <c r="BE277" t="s">
        <v>4803</v>
      </c>
      <c r="BF277" t="str">
        <f>HYPERLINK("http://dx.doi.org/10.1080/14767058.2023.2232076","http://dx.doi.org/10.1080/14767058.2023.2232076")</f>
        <v>http://dx.doi.org/10.1080/14767058.2023.2232076</v>
      </c>
      <c r="BG277" t="s">
        <v>74</v>
      </c>
      <c r="BH277" t="s">
        <v>74</v>
      </c>
      <c r="BI277">
        <v>8</v>
      </c>
      <c r="BJ277" t="s">
        <v>885</v>
      </c>
      <c r="BK277" t="s">
        <v>102</v>
      </c>
      <c r="BL277" t="s">
        <v>885</v>
      </c>
      <c r="BM277" t="s">
        <v>4804</v>
      </c>
      <c r="BN277">
        <v>37403369</v>
      </c>
      <c r="BO277" t="s">
        <v>887</v>
      </c>
      <c r="BP277" t="s">
        <v>74</v>
      </c>
      <c r="BQ277" t="s">
        <v>74</v>
      </c>
      <c r="BR277" t="s">
        <v>105</v>
      </c>
      <c r="BS277" t="s">
        <v>4805</v>
      </c>
      <c r="BT277" t="str">
        <f>HYPERLINK("https%3A%2F%2Fwww.webofscience.com%2Fwos%2Fwoscc%2Ffull-record%2FWOS:001019731100001","View Full Record in Web of Science")</f>
        <v>View Full Record in Web of Science</v>
      </c>
    </row>
    <row r="278" spans="1:72" x14ac:dyDescent="0.15">
      <c r="A278" t="s">
        <v>72</v>
      </c>
      <c r="B278" t="s">
        <v>4806</v>
      </c>
      <c r="C278" t="s">
        <v>74</v>
      </c>
      <c r="D278" t="s">
        <v>74</v>
      </c>
      <c r="E278" t="s">
        <v>74</v>
      </c>
      <c r="F278" t="s">
        <v>4807</v>
      </c>
      <c r="G278" t="s">
        <v>74</v>
      </c>
      <c r="H278" t="s">
        <v>74</v>
      </c>
      <c r="I278" t="s">
        <v>4808</v>
      </c>
      <c r="J278" t="s">
        <v>871</v>
      </c>
      <c r="K278" t="s">
        <v>74</v>
      </c>
      <c r="L278" t="s">
        <v>74</v>
      </c>
      <c r="M278" t="s">
        <v>78</v>
      </c>
      <c r="N278" t="s">
        <v>1697</v>
      </c>
      <c r="O278" t="s">
        <v>74</v>
      </c>
      <c r="P278" t="s">
        <v>74</v>
      </c>
      <c r="Q278" t="s">
        <v>74</v>
      </c>
      <c r="R278" t="s">
        <v>74</v>
      </c>
      <c r="S278" t="s">
        <v>74</v>
      </c>
      <c r="T278" t="s">
        <v>74</v>
      </c>
      <c r="U278" t="s">
        <v>74</v>
      </c>
      <c r="V278" t="s">
        <v>74</v>
      </c>
      <c r="W278" t="s">
        <v>4809</v>
      </c>
      <c r="X278" t="s">
        <v>4810</v>
      </c>
      <c r="Y278" t="s">
        <v>4811</v>
      </c>
      <c r="Z278" t="s">
        <v>4812</v>
      </c>
      <c r="AA278" t="s">
        <v>4813</v>
      </c>
      <c r="AB278" t="s">
        <v>4814</v>
      </c>
      <c r="AC278" t="s">
        <v>74</v>
      </c>
      <c r="AD278" t="s">
        <v>74</v>
      </c>
      <c r="AE278" t="s">
        <v>74</v>
      </c>
      <c r="AF278" t="s">
        <v>74</v>
      </c>
      <c r="AG278">
        <v>8</v>
      </c>
      <c r="AH278">
        <v>0</v>
      </c>
      <c r="AI278">
        <v>0</v>
      </c>
      <c r="AJ278">
        <v>1</v>
      </c>
      <c r="AK278">
        <v>1</v>
      </c>
      <c r="AL278" t="s">
        <v>92</v>
      </c>
      <c r="AM278" t="s">
        <v>93</v>
      </c>
      <c r="AN278" t="s">
        <v>94</v>
      </c>
      <c r="AO278" t="s">
        <v>880</v>
      </c>
      <c r="AP278" t="s">
        <v>881</v>
      </c>
      <c r="AQ278" t="s">
        <v>74</v>
      </c>
      <c r="AR278" t="s">
        <v>882</v>
      </c>
      <c r="AS278" t="s">
        <v>883</v>
      </c>
      <c r="AT278" t="s">
        <v>4786</v>
      </c>
      <c r="AU278">
        <v>2023</v>
      </c>
      <c r="AV278">
        <v>36</v>
      </c>
      <c r="AW278">
        <v>2</v>
      </c>
      <c r="AX278" t="s">
        <v>74</v>
      </c>
      <c r="AY278" t="s">
        <v>74</v>
      </c>
      <c r="AZ278" t="s">
        <v>74</v>
      </c>
      <c r="BA278" t="s">
        <v>74</v>
      </c>
      <c r="BB278" t="s">
        <v>74</v>
      </c>
      <c r="BC278" t="s">
        <v>74</v>
      </c>
      <c r="BD278">
        <v>2229475</v>
      </c>
      <c r="BE278" t="s">
        <v>4815</v>
      </c>
      <c r="BF278" t="str">
        <f>HYPERLINK("http://dx.doi.org/10.1080/14767058.2023.2229475","http://dx.doi.org/10.1080/14767058.2023.2229475")</f>
        <v>http://dx.doi.org/10.1080/14767058.2023.2229475</v>
      </c>
      <c r="BG278" t="s">
        <v>74</v>
      </c>
      <c r="BH278" t="s">
        <v>74</v>
      </c>
      <c r="BI278">
        <v>2</v>
      </c>
      <c r="BJ278" t="s">
        <v>885</v>
      </c>
      <c r="BK278" t="s">
        <v>102</v>
      </c>
      <c r="BL278" t="s">
        <v>885</v>
      </c>
      <c r="BM278" t="s">
        <v>4816</v>
      </c>
      <c r="BN278">
        <v>37424048</v>
      </c>
      <c r="BO278" t="s">
        <v>887</v>
      </c>
      <c r="BP278" t="s">
        <v>74</v>
      </c>
      <c r="BQ278" t="s">
        <v>74</v>
      </c>
      <c r="BR278" t="s">
        <v>105</v>
      </c>
      <c r="BS278" t="s">
        <v>4817</v>
      </c>
      <c r="BT278" t="str">
        <f>HYPERLINK("https%3A%2F%2Fwww.webofscience.com%2Fwos%2Fwoscc%2Ffull-record%2FWOS:001025799400001","View Full Record in Web of Science")</f>
        <v>View Full Record in Web of Science</v>
      </c>
    </row>
    <row r="279" spans="1:72" x14ac:dyDescent="0.15">
      <c r="A279" t="s">
        <v>72</v>
      </c>
      <c r="B279" t="s">
        <v>4818</v>
      </c>
      <c r="C279" t="s">
        <v>74</v>
      </c>
      <c r="D279" t="s">
        <v>74</v>
      </c>
      <c r="E279" t="s">
        <v>74</v>
      </c>
      <c r="F279" t="s">
        <v>4819</v>
      </c>
      <c r="G279" t="s">
        <v>74</v>
      </c>
      <c r="H279" t="s">
        <v>74</v>
      </c>
      <c r="I279" t="s">
        <v>4820</v>
      </c>
      <c r="J279" t="s">
        <v>871</v>
      </c>
      <c r="K279" t="s">
        <v>74</v>
      </c>
      <c r="L279" t="s">
        <v>74</v>
      </c>
      <c r="M279" t="s">
        <v>78</v>
      </c>
      <c r="N279" t="s">
        <v>4821</v>
      </c>
      <c r="O279" t="s">
        <v>74</v>
      </c>
      <c r="P279" t="s">
        <v>74</v>
      </c>
      <c r="Q279" t="s">
        <v>74</v>
      </c>
      <c r="R279" t="s">
        <v>74</v>
      </c>
      <c r="S279" t="s">
        <v>74</v>
      </c>
      <c r="T279" t="s">
        <v>74</v>
      </c>
      <c r="U279" t="s">
        <v>74</v>
      </c>
      <c r="V279" t="s">
        <v>74</v>
      </c>
      <c r="W279" t="s">
        <v>74</v>
      </c>
      <c r="X279" t="s">
        <v>74</v>
      </c>
      <c r="Y279" t="s">
        <v>74</v>
      </c>
      <c r="Z279" t="s">
        <v>74</v>
      </c>
      <c r="AA279" t="s">
        <v>74</v>
      </c>
      <c r="AB279" t="s">
        <v>74</v>
      </c>
      <c r="AC279" t="s">
        <v>74</v>
      </c>
      <c r="AD279" t="s">
        <v>74</v>
      </c>
      <c r="AE279" t="s">
        <v>74</v>
      </c>
      <c r="AF279" t="s">
        <v>74</v>
      </c>
      <c r="AG279">
        <v>1</v>
      </c>
      <c r="AH279">
        <v>0</v>
      </c>
      <c r="AI279">
        <v>0</v>
      </c>
      <c r="AJ279">
        <v>0</v>
      </c>
      <c r="AK279">
        <v>0</v>
      </c>
      <c r="AL279" t="s">
        <v>92</v>
      </c>
      <c r="AM279" t="s">
        <v>93</v>
      </c>
      <c r="AN279" t="s">
        <v>94</v>
      </c>
      <c r="AO279" t="s">
        <v>880</v>
      </c>
      <c r="AP279" t="s">
        <v>881</v>
      </c>
      <c r="AQ279" t="s">
        <v>74</v>
      </c>
      <c r="AR279" t="s">
        <v>882</v>
      </c>
      <c r="AS279" t="s">
        <v>883</v>
      </c>
      <c r="AT279" t="s">
        <v>4786</v>
      </c>
      <c r="AU279">
        <v>2023</v>
      </c>
      <c r="AV279">
        <v>36</v>
      </c>
      <c r="AW279">
        <v>2</v>
      </c>
      <c r="AX279" t="s">
        <v>74</v>
      </c>
      <c r="AY279" t="s">
        <v>74</v>
      </c>
      <c r="AZ279" t="s">
        <v>74</v>
      </c>
      <c r="BA279" t="s">
        <v>74</v>
      </c>
      <c r="BB279" t="s">
        <v>74</v>
      </c>
      <c r="BC279" t="s">
        <v>74</v>
      </c>
      <c r="BD279">
        <v>2235773</v>
      </c>
      <c r="BE279" t="s">
        <v>4822</v>
      </c>
      <c r="BF279" t="str">
        <f>HYPERLINK("http://dx.doi.org/10.1080/14767058.2023.2235773","http://dx.doi.org/10.1080/14767058.2023.2235773")</f>
        <v>http://dx.doi.org/10.1080/14767058.2023.2235773</v>
      </c>
      <c r="BG279" t="s">
        <v>74</v>
      </c>
      <c r="BH279" t="s">
        <v>74</v>
      </c>
      <c r="BI279">
        <v>1</v>
      </c>
      <c r="BJ279" t="s">
        <v>885</v>
      </c>
      <c r="BK279" t="s">
        <v>102</v>
      </c>
      <c r="BL279" t="s">
        <v>885</v>
      </c>
      <c r="BM279" t="s">
        <v>4823</v>
      </c>
      <c r="BN279" t="s">
        <v>74</v>
      </c>
      <c r="BO279" t="s">
        <v>887</v>
      </c>
      <c r="BP279" t="s">
        <v>74</v>
      </c>
      <c r="BQ279" t="s">
        <v>74</v>
      </c>
      <c r="BR279" t="s">
        <v>105</v>
      </c>
      <c r="BS279" t="s">
        <v>4824</v>
      </c>
      <c r="BT279" t="str">
        <f>HYPERLINK("https%3A%2F%2Fwww.webofscience.com%2Fwos%2Fwoscc%2Ffull-record%2FWOS:001032979700001","View Full Record in Web of Science")</f>
        <v>View Full Record in Web of Science</v>
      </c>
    </row>
    <row r="280" spans="1:72" x14ac:dyDescent="0.15">
      <c r="A280" t="s">
        <v>72</v>
      </c>
      <c r="B280" t="s">
        <v>4825</v>
      </c>
      <c r="C280" t="s">
        <v>74</v>
      </c>
      <c r="D280" t="s">
        <v>74</v>
      </c>
      <c r="E280" t="s">
        <v>74</v>
      </c>
      <c r="F280" t="s">
        <v>4826</v>
      </c>
      <c r="G280" t="s">
        <v>74</v>
      </c>
      <c r="H280" t="s">
        <v>74</v>
      </c>
      <c r="I280" t="s">
        <v>4827</v>
      </c>
      <c r="J280" t="s">
        <v>871</v>
      </c>
      <c r="K280" t="s">
        <v>74</v>
      </c>
      <c r="L280" t="s">
        <v>74</v>
      </c>
      <c r="M280" t="s">
        <v>78</v>
      </c>
      <c r="N280" t="s">
        <v>4821</v>
      </c>
      <c r="O280" t="s">
        <v>74</v>
      </c>
      <c r="P280" t="s">
        <v>74</v>
      </c>
      <c r="Q280" t="s">
        <v>74</v>
      </c>
      <c r="R280" t="s">
        <v>74</v>
      </c>
      <c r="S280" t="s">
        <v>74</v>
      </c>
      <c r="T280" t="s">
        <v>74</v>
      </c>
      <c r="U280" t="s">
        <v>74</v>
      </c>
      <c r="V280" t="s">
        <v>74</v>
      </c>
      <c r="W280" t="s">
        <v>74</v>
      </c>
      <c r="X280" t="s">
        <v>74</v>
      </c>
      <c r="Y280" t="s">
        <v>74</v>
      </c>
      <c r="Z280" t="s">
        <v>74</v>
      </c>
      <c r="AA280" t="s">
        <v>74</v>
      </c>
      <c r="AB280" t="s">
        <v>74</v>
      </c>
      <c r="AC280" t="s">
        <v>74</v>
      </c>
      <c r="AD280" t="s">
        <v>74</v>
      </c>
      <c r="AE280" t="s">
        <v>74</v>
      </c>
      <c r="AF280" t="s">
        <v>74</v>
      </c>
      <c r="AG280">
        <v>1</v>
      </c>
      <c r="AH280">
        <v>0</v>
      </c>
      <c r="AI280">
        <v>0</v>
      </c>
      <c r="AJ280">
        <v>1</v>
      </c>
      <c r="AK280">
        <v>1</v>
      </c>
      <c r="AL280" t="s">
        <v>92</v>
      </c>
      <c r="AM280" t="s">
        <v>93</v>
      </c>
      <c r="AN280" t="s">
        <v>94</v>
      </c>
      <c r="AO280" t="s">
        <v>880</v>
      </c>
      <c r="AP280" t="s">
        <v>881</v>
      </c>
      <c r="AQ280" t="s">
        <v>74</v>
      </c>
      <c r="AR280" t="s">
        <v>882</v>
      </c>
      <c r="AS280" t="s">
        <v>883</v>
      </c>
      <c r="AT280" t="s">
        <v>4786</v>
      </c>
      <c r="AU280">
        <v>2023</v>
      </c>
      <c r="AV280">
        <v>36</v>
      </c>
      <c r="AW280">
        <v>2</v>
      </c>
      <c r="AX280" t="s">
        <v>74</v>
      </c>
      <c r="AY280" t="s">
        <v>74</v>
      </c>
      <c r="AZ280" t="s">
        <v>74</v>
      </c>
      <c r="BA280" t="s">
        <v>74</v>
      </c>
      <c r="BB280" t="s">
        <v>74</v>
      </c>
      <c r="BC280" t="s">
        <v>74</v>
      </c>
      <c r="BD280">
        <v>2235775</v>
      </c>
      <c r="BE280" t="s">
        <v>4828</v>
      </c>
      <c r="BF280" t="str">
        <f>HYPERLINK("http://dx.doi.org/10.1080/14767058.2023.2235775","http://dx.doi.org/10.1080/14767058.2023.2235775")</f>
        <v>http://dx.doi.org/10.1080/14767058.2023.2235775</v>
      </c>
      <c r="BG280" t="s">
        <v>74</v>
      </c>
      <c r="BH280" t="s">
        <v>74</v>
      </c>
      <c r="BI280">
        <v>1</v>
      </c>
      <c r="BJ280" t="s">
        <v>885</v>
      </c>
      <c r="BK280" t="s">
        <v>102</v>
      </c>
      <c r="BL280" t="s">
        <v>885</v>
      </c>
      <c r="BM280" t="s">
        <v>4829</v>
      </c>
      <c r="BN280" t="s">
        <v>74</v>
      </c>
      <c r="BO280" t="s">
        <v>887</v>
      </c>
      <c r="BP280" t="s">
        <v>74</v>
      </c>
      <c r="BQ280" t="s">
        <v>74</v>
      </c>
      <c r="BR280" t="s">
        <v>105</v>
      </c>
      <c r="BS280" t="s">
        <v>4830</v>
      </c>
      <c r="BT280" t="str">
        <f>HYPERLINK("https%3A%2F%2Fwww.webofscience.com%2Fwos%2Fwoscc%2Ffull-record%2FWOS:001033368000001","View Full Record in Web of Science")</f>
        <v>View Full Record in Web of Science</v>
      </c>
    </row>
    <row r="281" spans="1:72" x14ac:dyDescent="0.15">
      <c r="A281" t="s">
        <v>72</v>
      </c>
      <c r="B281" t="s">
        <v>4831</v>
      </c>
      <c r="C281" t="s">
        <v>74</v>
      </c>
      <c r="D281" t="s">
        <v>74</v>
      </c>
      <c r="E281" t="s">
        <v>74</v>
      </c>
      <c r="F281" t="s">
        <v>4832</v>
      </c>
      <c r="G281" t="s">
        <v>74</v>
      </c>
      <c r="H281" t="s">
        <v>74</v>
      </c>
      <c r="I281" t="s">
        <v>4833</v>
      </c>
      <c r="J281" t="s">
        <v>4834</v>
      </c>
      <c r="K281" t="s">
        <v>74</v>
      </c>
      <c r="L281" t="s">
        <v>74</v>
      </c>
      <c r="M281" t="s">
        <v>78</v>
      </c>
      <c r="N281" t="s">
        <v>2650</v>
      </c>
      <c r="O281" t="s">
        <v>74</v>
      </c>
      <c r="P281" t="s">
        <v>74</v>
      </c>
      <c r="Q281" t="s">
        <v>74</v>
      </c>
      <c r="R281" t="s">
        <v>74</v>
      </c>
      <c r="S281" t="s">
        <v>74</v>
      </c>
      <c r="T281" t="s">
        <v>74</v>
      </c>
      <c r="U281" t="s">
        <v>4835</v>
      </c>
      <c r="V281" t="s">
        <v>74</v>
      </c>
      <c r="W281" t="s">
        <v>4836</v>
      </c>
      <c r="X281" t="s">
        <v>4837</v>
      </c>
      <c r="Y281" t="s">
        <v>4838</v>
      </c>
      <c r="Z281" t="s">
        <v>4839</v>
      </c>
      <c r="AA281" t="s">
        <v>4840</v>
      </c>
      <c r="AB281" t="s">
        <v>4841</v>
      </c>
      <c r="AC281" t="s">
        <v>74</v>
      </c>
      <c r="AD281" t="s">
        <v>74</v>
      </c>
      <c r="AE281" t="s">
        <v>74</v>
      </c>
      <c r="AF281" t="s">
        <v>74</v>
      </c>
      <c r="AG281">
        <v>10</v>
      </c>
      <c r="AH281">
        <v>0</v>
      </c>
      <c r="AI281">
        <v>0</v>
      </c>
      <c r="AJ281">
        <v>0</v>
      </c>
      <c r="AK281">
        <v>0</v>
      </c>
      <c r="AL281" t="s">
        <v>92</v>
      </c>
      <c r="AM281" t="s">
        <v>93</v>
      </c>
      <c r="AN281" t="s">
        <v>94</v>
      </c>
      <c r="AO281" t="s">
        <v>4842</v>
      </c>
      <c r="AP281" t="s">
        <v>4843</v>
      </c>
      <c r="AQ281" t="s">
        <v>74</v>
      </c>
      <c r="AR281" t="s">
        <v>4844</v>
      </c>
      <c r="AS281" t="s">
        <v>4845</v>
      </c>
      <c r="AT281" t="s">
        <v>4846</v>
      </c>
      <c r="AU281">
        <v>2023</v>
      </c>
      <c r="AV281">
        <v>39</v>
      </c>
      <c r="AW281">
        <v>1</v>
      </c>
      <c r="AX281" t="s">
        <v>74</v>
      </c>
      <c r="AY281" t="s">
        <v>74</v>
      </c>
      <c r="AZ281" t="s">
        <v>74</v>
      </c>
      <c r="BA281" t="s">
        <v>74</v>
      </c>
      <c r="BB281" t="s">
        <v>74</v>
      </c>
      <c r="BC281" t="s">
        <v>74</v>
      </c>
      <c r="BD281">
        <v>2227276</v>
      </c>
      <c r="BE281" t="s">
        <v>4847</v>
      </c>
      <c r="BF281" t="str">
        <f>HYPERLINK("http://dx.doi.org/10.1080/09513590.2023.2227276","http://dx.doi.org/10.1080/09513590.2023.2227276")</f>
        <v>http://dx.doi.org/10.1080/09513590.2023.2227276</v>
      </c>
      <c r="BG281" t="s">
        <v>74</v>
      </c>
      <c r="BH281" t="s">
        <v>74</v>
      </c>
      <c r="BI281">
        <v>2</v>
      </c>
      <c r="BJ281" t="s">
        <v>4848</v>
      </c>
      <c r="BK281" t="s">
        <v>102</v>
      </c>
      <c r="BL281" t="s">
        <v>4848</v>
      </c>
      <c r="BM281" t="s">
        <v>4849</v>
      </c>
      <c r="BN281">
        <v>37369250</v>
      </c>
      <c r="BO281" t="s">
        <v>4850</v>
      </c>
      <c r="BP281" t="s">
        <v>74</v>
      </c>
      <c r="BQ281" t="s">
        <v>74</v>
      </c>
      <c r="BR281" t="s">
        <v>105</v>
      </c>
      <c r="BS281" t="s">
        <v>4851</v>
      </c>
      <c r="BT281" t="str">
        <f>HYPERLINK("https%3A%2F%2Fwww.webofscience.com%2Fwos%2Fwoscc%2Ffull-record%2FWOS:001021606800001","View Full Record in Web of Science")</f>
        <v>View Full Record in Web of Science</v>
      </c>
    </row>
    <row r="282" spans="1:72" x14ac:dyDescent="0.15">
      <c r="A282" t="s">
        <v>72</v>
      </c>
      <c r="B282" t="s">
        <v>4852</v>
      </c>
      <c r="C282" t="s">
        <v>74</v>
      </c>
      <c r="D282" t="s">
        <v>74</v>
      </c>
      <c r="E282" t="s">
        <v>74</v>
      </c>
      <c r="F282" t="s">
        <v>4853</v>
      </c>
      <c r="G282" t="s">
        <v>74</v>
      </c>
      <c r="H282" t="s">
        <v>74</v>
      </c>
      <c r="I282" t="s">
        <v>4854</v>
      </c>
      <c r="J282" t="s">
        <v>4855</v>
      </c>
      <c r="K282" t="s">
        <v>74</v>
      </c>
      <c r="L282" t="s">
        <v>74</v>
      </c>
      <c r="M282" t="s">
        <v>78</v>
      </c>
      <c r="N282" t="s">
        <v>79</v>
      </c>
      <c r="O282" t="s">
        <v>74</v>
      </c>
      <c r="P282" t="s">
        <v>74</v>
      </c>
      <c r="Q282" t="s">
        <v>74</v>
      </c>
      <c r="R282" t="s">
        <v>74</v>
      </c>
      <c r="S282" t="s">
        <v>74</v>
      </c>
      <c r="T282" t="s">
        <v>4856</v>
      </c>
      <c r="U282" t="s">
        <v>4857</v>
      </c>
      <c r="V282" t="s">
        <v>4858</v>
      </c>
      <c r="W282" t="s">
        <v>4859</v>
      </c>
      <c r="X282" t="s">
        <v>74</v>
      </c>
      <c r="Y282" t="s">
        <v>4860</v>
      </c>
      <c r="Z282" t="s">
        <v>4861</v>
      </c>
      <c r="AA282" t="s">
        <v>74</v>
      </c>
      <c r="AB282" t="s">
        <v>4862</v>
      </c>
      <c r="AC282" t="s">
        <v>4863</v>
      </c>
      <c r="AD282" t="s">
        <v>4864</v>
      </c>
      <c r="AE282" t="s">
        <v>4865</v>
      </c>
      <c r="AF282" t="s">
        <v>74</v>
      </c>
      <c r="AG282">
        <v>37</v>
      </c>
      <c r="AH282">
        <v>0</v>
      </c>
      <c r="AI282">
        <v>0</v>
      </c>
      <c r="AJ282">
        <v>0</v>
      </c>
      <c r="AK282">
        <v>0</v>
      </c>
      <c r="AL282" t="s">
        <v>92</v>
      </c>
      <c r="AM282" t="s">
        <v>93</v>
      </c>
      <c r="AN282" t="s">
        <v>94</v>
      </c>
      <c r="AO282" t="s">
        <v>4866</v>
      </c>
      <c r="AP282" t="s">
        <v>4867</v>
      </c>
      <c r="AQ282" t="s">
        <v>74</v>
      </c>
      <c r="AR282" t="s">
        <v>4868</v>
      </c>
      <c r="AS282" t="s">
        <v>4869</v>
      </c>
      <c r="AT282" t="s">
        <v>4846</v>
      </c>
      <c r="AU282">
        <v>2023</v>
      </c>
      <c r="AV282">
        <v>42</v>
      </c>
      <c r="AW282">
        <v>1</v>
      </c>
      <c r="AX282" t="s">
        <v>74</v>
      </c>
      <c r="AY282" t="s">
        <v>74</v>
      </c>
      <c r="AZ282" t="s">
        <v>74</v>
      </c>
      <c r="BA282" t="s">
        <v>74</v>
      </c>
      <c r="BB282">
        <v>1028</v>
      </c>
      <c r="BC282">
        <v>1041</v>
      </c>
      <c r="BD282" t="s">
        <v>74</v>
      </c>
      <c r="BE282" t="s">
        <v>4870</v>
      </c>
      <c r="BF282" t="str">
        <f>HYPERLINK("http://dx.doi.org/10.1080/14786451.2023.2248526","http://dx.doi.org/10.1080/14786451.2023.2248526")</f>
        <v>http://dx.doi.org/10.1080/14786451.2023.2248526</v>
      </c>
      <c r="BG282" t="s">
        <v>74</v>
      </c>
      <c r="BH282" t="s">
        <v>74</v>
      </c>
      <c r="BI282">
        <v>14</v>
      </c>
      <c r="BJ282" t="s">
        <v>3976</v>
      </c>
      <c r="BK282" t="s">
        <v>211</v>
      </c>
      <c r="BL282" t="s">
        <v>3976</v>
      </c>
      <c r="BM282" t="s">
        <v>4871</v>
      </c>
      <c r="BN282" t="s">
        <v>74</v>
      </c>
      <c r="BO282" t="s">
        <v>126</v>
      </c>
      <c r="BP282" t="s">
        <v>74</v>
      </c>
      <c r="BQ282" t="s">
        <v>74</v>
      </c>
      <c r="BR282" t="s">
        <v>105</v>
      </c>
      <c r="BS282" t="s">
        <v>4872</v>
      </c>
      <c r="BT282" t="str">
        <f>HYPERLINK("https%3A%2F%2Fwww.webofscience.com%2Fwos%2Fwoscc%2Ffull-record%2FWOS:001055272800001","View Full Record in Web of Science")</f>
        <v>View Full Record in Web of Science</v>
      </c>
    </row>
    <row r="283" spans="1:72" x14ac:dyDescent="0.15">
      <c r="A283" t="s">
        <v>72</v>
      </c>
      <c r="B283" t="s">
        <v>4873</v>
      </c>
      <c r="C283" t="s">
        <v>74</v>
      </c>
      <c r="D283" t="s">
        <v>74</v>
      </c>
      <c r="E283" t="s">
        <v>74</v>
      </c>
      <c r="F283" t="s">
        <v>4874</v>
      </c>
      <c r="G283" t="s">
        <v>74</v>
      </c>
      <c r="H283" t="s">
        <v>74</v>
      </c>
      <c r="I283" t="s">
        <v>4875</v>
      </c>
      <c r="J283" t="s">
        <v>4834</v>
      </c>
      <c r="K283" t="s">
        <v>74</v>
      </c>
      <c r="L283" t="s">
        <v>74</v>
      </c>
      <c r="M283" t="s">
        <v>78</v>
      </c>
      <c r="N283" t="s">
        <v>79</v>
      </c>
      <c r="O283" t="s">
        <v>74</v>
      </c>
      <c r="P283" t="s">
        <v>74</v>
      </c>
      <c r="Q283" t="s">
        <v>74</v>
      </c>
      <c r="R283" t="s">
        <v>74</v>
      </c>
      <c r="S283" t="s">
        <v>74</v>
      </c>
      <c r="T283" t="s">
        <v>4876</v>
      </c>
      <c r="U283" t="s">
        <v>4877</v>
      </c>
      <c r="V283" t="s">
        <v>4878</v>
      </c>
      <c r="W283" t="s">
        <v>4879</v>
      </c>
      <c r="X283" t="s">
        <v>4880</v>
      </c>
      <c r="Y283" t="s">
        <v>4881</v>
      </c>
      <c r="Z283" t="s">
        <v>4882</v>
      </c>
      <c r="AA283" t="s">
        <v>74</v>
      </c>
      <c r="AB283" t="s">
        <v>74</v>
      </c>
      <c r="AC283" t="s">
        <v>74</v>
      </c>
      <c r="AD283" t="s">
        <v>74</v>
      </c>
      <c r="AE283" t="s">
        <v>74</v>
      </c>
      <c r="AF283" t="s">
        <v>74</v>
      </c>
      <c r="AG283">
        <v>27</v>
      </c>
      <c r="AH283">
        <v>0</v>
      </c>
      <c r="AI283">
        <v>0</v>
      </c>
      <c r="AJ283">
        <v>1</v>
      </c>
      <c r="AK283">
        <v>1</v>
      </c>
      <c r="AL283" t="s">
        <v>92</v>
      </c>
      <c r="AM283" t="s">
        <v>93</v>
      </c>
      <c r="AN283" t="s">
        <v>94</v>
      </c>
      <c r="AO283" t="s">
        <v>4842</v>
      </c>
      <c r="AP283" t="s">
        <v>4843</v>
      </c>
      <c r="AQ283" t="s">
        <v>74</v>
      </c>
      <c r="AR283" t="s">
        <v>4844</v>
      </c>
      <c r="AS283" t="s">
        <v>4845</v>
      </c>
      <c r="AT283" t="s">
        <v>4846</v>
      </c>
      <c r="AU283">
        <v>2023</v>
      </c>
      <c r="AV283">
        <v>39</v>
      </c>
      <c r="AW283">
        <v>1</v>
      </c>
      <c r="AX283" t="s">
        <v>74</v>
      </c>
      <c r="AY283" t="s">
        <v>74</v>
      </c>
      <c r="AZ283" t="s">
        <v>74</v>
      </c>
      <c r="BA283" t="s">
        <v>74</v>
      </c>
      <c r="BB283" t="s">
        <v>74</v>
      </c>
      <c r="BC283" t="s">
        <v>74</v>
      </c>
      <c r="BD283">
        <v>2217260</v>
      </c>
      <c r="BE283" t="s">
        <v>4883</v>
      </c>
      <c r="BF283" t="str">
        <f>HYPERLINK("http://dx.doi.org/10.1080/09513590.2023.2217260","http://dx.doi.org/10.1080/09513590.2023.2217260")</f>
        <v>http://dx.doi.org/10.1080/09513590.2023.2217260</v>
      </c>
      <c r="BG283" t="s">
        <v>74</v>
      </c>
      <c r="BH283" t="s">
        <v>74</v>
      </c>
      <c r="BI283">
        <v>5</v>
      </c>
      <c r="BJ283" t="s">
        <v>4848</v>
      </c>
      <c r="BK283" t="s">
        <v>102</v>
      </c>
      <c r="BL283" t="s">
        <v>4848</v>
      </c>
      <c r="BM283" t="s">
        <v>4884</v>
      </c>
      <c r="BN283">
        <v>37236239</v>
      </c>
      <c r="BO283" t="s">
        <v>887</v>
      </c>
      <c r="BP283" t="s">
        <v>74</v>
      </c>
      <c r="BQ283" t="s">
        <v>74</v>
      </c>
      <c r="BR283" t="s">
        <v>105</v>
      </c>
      <c r="BS283" t="s">
        <v>4885</v>
      </c>
      <c r="BT283" t="str">
        <f>HYPERLINK("https%3A%2F%2Fwww.webofscience.com%2Fwos%2Fwoscc%2Ffull-record%2FWOS:000993791300001","View Full Record in Web of Science")</f>
        <v>View Full Record in Web of Science</v>
      </c>
    </row>
    <row r="284" spans="1:72" x14ac:dyDescent="0.15">
      <c r="A284" t="s">
        <v>72</v>
      </c>
      <c r="B284" t="s">
        <v>4886</v>
      </c>
      <c r="C284" t="s">
        <v>74</v>
      </c>
      <c r="D284" t="s">
        <v>74</v>
      </c>
      <c r="E284" t="s">
        <v>74</v>
      </c>
      <c r="F284" t="s">
        <v>4887</v>
      </c>
      <c r="G284" t="s">
        <v>74</v>
      </c>
      <c r="H284" t="s">
        <v>74</v>
      </c>
      <c r="I284" t="s">
        <v>4888</v>
      </c>
      <c r="J284" t="s">
        <v>4834</v>
      </c>
      <c r="K284" t="s">
        <v>74</v>
      </c>
      <c r="L284" t="s">
        <v>74</v>
      </c>
      <c r="M284" t="s">
        <v>78</v>
      </c>
      <c r="N284" t="s">
        <v>4821</v>
      </c>
      <c r="O284" t="s">
        <v>74</v>
      </c>
      <c r="P284" t="s">
        <v>74</v>
      </c>
      <c r="Q284" t="s">
        <v>74</v>
      </c>
      <c r="R284" t="s">
        <v>74</v>
      </c>
      <c r="S284" t="s">
        <v>74</v>
      </c>
      <c r="T284" t="s">
        <v>74</v>
      </c>
      <c r="U284" t="s">
        <v>74</v>
      </c>
      <c r="V284" t="s">
        <v>74</v>
      </c>
      <c r="W284" t="s">
        <v>74</v>
      </c>
      <c r="X284" t="s">
        <v>74</v>
      </c>
      <c r="Y284" t="s">
        <v>74</v>
      </c>
      <c r="Z284" t="s">
        <v>74</v>
      </c>
      <c r="AA284" t="s">
        <v>74</v>
      </c>
      <c r="AB284" t="s">
        <v>74</v>
      </c>
      <c r="AC284" t="s">
        <v>74</v>
      </c>
      <c r="AD284" t="s">
        <v>74</v>
      </c>
      <c r="AE284" t="s">
        <v>74</v>
      </c>
      <c r="AF284" t="s">
        <v>74</v>
      </c>
      <c r="AG284">
        <v>1</v>
      </c>
      <c r="AH284">
        <v>0</v>
      </c>
      <c r="AI284">
        <v>0</v>
      </c>
      <c r="AJ284">
        <v>0</v>
      </c>
      <c r="AK284">
        <v>0</v>
      </c>
      <c r="AL284" t="s">
        <v>92</v>
      </c>
      <c r="AM284" t="s">
        <v>93</v>
      </c>
      <c r="AN284" t="s">
        <v>94</v>
      </c>
      <c r="AO284" t="s">
        <v>4842</v>
      </c>
      <c r="AP284" t="s">
        <v>4843</v>
      </c>
      <c r="AQ284" t="s">
        <v>74</v>
      </c>
      <c r="AR284" t="s">
        <v>4844</v>
      </c>
      <c r="AS284" t="s">
        <v>4845</v>
      </c>
      <c r="AT284" t="s">
        <v>4846</v>
      </c>
      <c r="AU284">
        <v>2023</v>
      </c>
      <c r="AV284">
        <v>39</v>
      </c>
      <c r="AW284">
        <v>1</v>
      </c>
      <c r="AX284" t="s">
        <v>74</v>
      </c>
      <c r="AY284" t="s">
        <v>74</v>
      </c>
      <c r="AZ284" t="s">
        <v>74</v>
      </c>
      <c r="BA284" t="s">
        <v>74</v>
      </c>
      <c r="BB284" t="s">
        <v>74</v>
      </c>
      <c r="BC284" t="s">
        <v>74</v>
      </c>
      <c r="BD284" t="s">
        <v>74</v>
      </c>
      <c r="BE284" t="s">
        <v>4889</v>
      </c>
      <c r="BF284" t="str">
        <f>HYPERLINK("http://dx.doi.org/10.1080/09513590.2023.2197696","http://dx.doi.org/10.1080/09513590.2023.2197696")</f>
        <v>http://dx.doi.org/10.1080/09513590.2023.2197696</v>
      </c>
      <c r="BG284" t="s">
        <v>74</v>
      </c>
      <c r="BH284" t="s">
        <v>74</v>
      </c>
      <c r="BI284">
        <v>1</v>
      </c>
      <c r="BJ284" t="s">
        <v>4848</v>
      </c>
      <c r="BK284" t="s">
        <v>102</v>
      </c>
      <c r="BL284" t="s">
        <v>4848</v>
      </c>
      <c r="BM284" t="s">
        <v>4890</v>
      </c>
      <c r="BN284" t="s">
        <v>74</v>
      </c>
      <c r="BO284" t="s">
        <v>887</v>
      </c>
      <c r="BP284" t="s">
        <v>74</v>
      </c>
      <c r="BQ284" t="s">
        <v>74</v>
      </c>
      <c r="BR284" t="s">
        <v>105</v>
      </c>
      <c r="BS284" t="s">
        <v>4891</v>
      </c>
      <c r="BT284" t="str">
        <f>HYPERLINK("https%3A%2F%2Fwww.webofscience.com%2Fwos%2Fwoscc%2Ffull-record%2FWOS:000995073600001","View Full Record in Web of Science")</f>
        <v>View Full Record in Web of Science</v>
      </c>
    </row>
    <row r="285" spans="1:72" x14ac:dyDescent="0.15">
      <c r="A285" t="s">
        <v>72</v>
      </c>
      <c r="B285" t="s">
        <v>4892</v>
      </c>
      <c r="C285" t="s">
        <v>74</v>
      </c>
      <c r="D285" t="s">
        <v>74</v>
      </c>
      <c r="E285" t="s">
        <v>74</v>
      </c>
      <c r="F285" t="s">
        <v>4893</v>
      </c>
      <c r="G285" t="s">
        <v>74</v>
      </c>
      <c r="H285" t="s">
        <v>74</v>
      </c>
      <c r="I285" t="s">
        <v>4894</v>
      </c>
      <c r="J285" t="s">
        <v>4855</v>
      </c>
      <c r="K285" t="s">
        <v>74</v>
      </c>
      <c r="L285" t="s">
        <v>74</v>
      </c>
      <c r="M285" t="s">
        <v>78</v>
      </c>
      <c r="N285" t="s">
        <v>79</v>
      </c>
      <c r="O285" t="s">
        <v>74</v>
      </c>
      <c r="P285" t="s">
        <v>74</v>
      </c>
      <c r="Q285" t="s">
        <v>74</v>
      </c>
      <c r="R285" t="s">
        <v>74</v>
      </c>
      <c r="S285" t="s">
        <v>74</v>
      </c>
      <c r="T285" t="s">
        <v>4895</v>
      </c>
      <c r="U285" t="s">
        <v>4896</v>
      </c>
      <c r="V285" t="s">
        <v>4897</v>
      </c>
      <c r="W285" t="s">
        <v>4898</v>
      </c>
      <c r="X285" t="s">
        <v>4899</v>
      </c>
      <c r="Y285" t="s">
        <v>4900</v>
      </c>
      <c r="Z285" t="s">
        <v>4901</v>
      </c>
      <c r="AA285" t="s">
        <v>74</v>
      </c>
      <c r="AB285" t="s">
        <v>4902</v>
      </c>
      <c r="AC285" t="s">
        <v>4903</v>
      </c>
      <c r="AD285" t="s">
        <v>4904</v>
      </c>
      <c r="AE285" t="s">
        <v>4905</v>
      </c>
      <c r="AF285" t="s">
        <v>74</v>
      </c>
      <c r="AG285">
        <v>64</v>
      </c>
      <c r="AH285">
        <v>0</v>
      </c>
      <c r="AI285">
        <v>0</v>
      </c>
      <c r="AJ285">
        <v>0</v>
      </c>
      <c r="AK285">
        <v>0</v>
      </c>
      <c r="AL285" t="s">
        <v>92</v>
      </c>
      <c r="AM285" t="s">
        <v>93</v>
      </c>
      <c r="AN285" t="s">
        <v>94</v>
      </c>
      <c r="AO285" t="s">
        <v>4866</v>
      </c>
      <c r="AP285" t="s">
        <v>4867</v>
      </c>
      <c r="AQ285" t="s">
        <v>74</v>
      </c>
      <c r="AR285" t="s">
        <v>4868</v>
      </c>
      <c r="AS285" t="s">
        <v>4869</v>
      </c>
      <c r="AT285" t="s">
        <v>4846</v>
      </c>
      <c r="AU285">
        <v>2023</v>
      </c>
      <c r="AV285">
        <v>42</v>
      </c>
      <c r="AW285">
        <v>1</v>
      </c>
      <c r="AX285" t="s">
        <v>74</v>
      </c>
      <c r="AY285" t="s">
        <v>74</v>
      </c>
      <c r="AZ285" t="s">
        <v>74</v>
      </c>
      <c r="BA285" t="s">
        <v>74</v>
      </c>
      <c r="BB285">
        <v>1092</v>
      </c>
      <c r="BC285">
        <v>1127</v>
      </c>
      <c r="BD285" t="s">
        <v>74</v>
      </c>
      <c r="BE285" t="s">
        <v>4906</v>
      </c>
      <c r="BF285" t="str">
        <f>HYPERLINK("http://dx.doi.org/10.1080/14786451.2023.2251601","http://dx.doi.org/10.1080/14786451.2023.2251601")</f>
        <v>http://dx.doi.org/10.1080/14786451.2023.2251601</v>
      </c>
      <c r="BG285" t="s">
        <v>74</v>
      </c>
      <c r="BH285" t="s">
        <v>74</v>
      </c>
      <c r="BI285">
        <v>36</v>
      </c>
      <c r="BJ285" t="s">
        <v>3976</v>
      </c>
      <c r="BK285" t="s">
        <v>211</v>
      </c>
      <c r="BL285" t="s">
        <v>3976</v>
      </c>
      <c r="BM285" t="s">
        <v>4907</v>
      </c>
      <c r="BN285" t="s">
        <v>74</v>
      </c>
      <c r="BO285" t="s">
        <v>126</v>
      </c>
      <c r="BP285" t="s">
        <v>74</v>
      </c>
      <c r="BQ285" t="s">
        <v>74</v>
      </c>
      <c r="BR285" t="s">
        <v>105</v>
      </c>
      <c r="BS285" t="s">
        <v>4908</v>
      </c>
      <c r="BT285" t="str">
        <f>HYPERLINK("https%3A%2F%2Fwww.webofscience.com%2Fwos%2Fwoscc%2Ffull-record%2FWOS:001055782400001","View Full Record in Web of Science")</f>
        <v>View Full Record in Web of Science</v>
      </c>
    </row>
    <row r="286" spans="1:72" x14ac:dyDescent="0.15">
      <c r="A286" t="s">
        <v>72</v>
      </c>
      <c r="B286" t="s">
        <v>4909</v>
      </c>
      <c r="C286" t="s">
        <v>74</v>
      </c>
      <c r="D286" t="s">
        <v>74</v>
      </c>
      <c r="E286" t="s">
        <v>74</v>
      </c>
      <c r="F286" t="s">
        <v>4910</v>
      </c>
      <c r="G286" t="s">
        <v>74</v>
      </c>
      <c r="H286" t="s">
        <v>74</v>
      </c>
      <c r="I286" t="s">
        <v>4911</v>
      </c>
      <c r="J286" t="s">
        <v>278</v>
      </c>
      <c r="K286" t="s">
        <v>74</v>
      </c>
      <c r="L286" t="s">
        <v>74</v>
      </c>
      <c r="M286" t="s">
        <v>78</v>
      </c>
      <c r="N286" t="s">
        <v>79</v>
      </c>
      <c r="O286" t="s">
        <v>74</v>
      </c>
      <c r="P286" t="s">
        <v>74</v>
      </c>
      <c r="Q286" t="s">
        <v>74</v>
      </c>
      <c r="R286" t="s">
        <v>74</v>
      </c>
      <c r="S286" t="s">
        <v>74</v>
      </c>
      <c r="T286" t="s">
        <v>4912</v>
      </c>
      <c r="U286" t="s">
        <v>4913</v>
      </c>
      <c r="V286" t="s">
        <v>4914</v>
      </c>
      <c r="W286" t="s">
        <v>4915</v>
      </c>
      <c r="X286" t="s">
        <v>4916</v>
      </c>
      <c r="Y286" t="s">
        <v>4917</v>
      </c>
      <c r="Z286" t="s">
        <v>4918</v>
      </c>
      <c r="AA286" t="s">
        <v>74</v>
      </c>
      <c r="AB286" t="s">
        <v>74</v>
      </c>
      <c r="AC286" t="s">
        <v>74</v>
      </c>
      <c r="AD286" t="s">
        <v>74</v>
      </c>
      <c r="AE286" t="s">
        <v>74</v>
      </c>
      <c r="AF286" t="s">
        <v>74</v>
      </c>
      <c r="AG286">
        <v>78</v>
      </c>
      <c r="AH286">
        <v>0</v>
      </c>
      <c r="AI286">
        <v>0</v>
      </c>
      <c r="AJ286">
        <v>4</v>
      </c>
      <c r="AK286">
        <v>4</v>
      </c>
      <c r="AL286" t="s">
        <v>287</v>
      </c>
      <c r="AM286" t="s">
        <v>288</v>
      </c>
      <c r="AN286" t="s">
        <v>289</v>
      </c>
      <c r="AO286" t="s">
        <v>290</v>
      </c>
      <c r="AP286" t="s">
        <v>74</v>
      </c>
      <c r="AQ286" t="s">
        <v>74</v>
      </c>
      <c r="AR286" t="s">
        <v>291</v>
      </c>
      <c r="AS286" t="s">
        <v>292</v>
      </c>
      <c r="AT286" t="s">
        <v>4919</v>
      </c>
      <c r="AU286">
        <v>2023</v>
      </c>
      <c r="AV286">
        <v>10</v>
      </c>
      <c r="AW286">
        <v>2</v>
      </c>
      <c r="AX286" t="s">
        <v>74</v>
      </c>
      <c r="AY286" t="s">
        <v>74</v>
      </c>
      <c r="AZ286" t="s">
        <v>74</v>
      </c>
      <c r="BA286" t="s">
        <v>74</v>
      </c>
      <c r="BB286" t="s">
        <v>74</v>
      </c>
      <c r="BC286" t="s">
        <v>74</v>
      </c>
      <c r="BD286">
        <v>2212492</v>
      </c>
      <c r="BE286" t="s">
        <v>4920</v>
      </c>
      <c r="BF286" t="str">
        <f>HYPERLINK("http://dx.doi.org/10.1080/23311975.2023.2212492","http://dx.doi.org/10.1080/23311975.2023.2212492")</f>
        <v>http://dx.doi.org/10.1080/23311975.2023.2212492</v>
      </c>
      <c r="BG286" t="s">
        <v>74</v>
      </c>
      <c r="BH286" t="s">
        <v>74</v>
      </c>
      <c r="BI286">
        <v>31</v>
      </c>
      <c r="BJ286" t="s">
        <v>294</v>
      </c>
      <c r="BK286" t="s">
        <v>211</v>
      </c>
      <c r="BL286" t="s">
        <v>295</v>
      </c>
      <c r="BM286" t="s">
        <v>4921</v>
      </c>
      <c r="BN286" t="s">
        <v>74</v>
      </c>
      <c r="BO286" t="s">
        <v>126</v>
      </c>
      <c r="BP286" t="s">
        <v>74</v>
      </c>
      <c r="BQ286" t="s">
        <v>74</v>
      </c>
      <c r="BR286" t="s">
        <v>105</v>
      </c>
      <c r="BS286" t="s">
        <v>4922</v>
      </c>
      <c r="BT286" t="str">
        <f>HYPERLINK("https%3A%2F%2Fwww.webofscience.com%2Fwos%2Fwoscc%2Ffull-record%2FWOS:000990184600001","View Full Record in Web of Science")</f>
        <v>View Full Record in Web of Science</v>
      </c>
    </row>
    <row r="287" spans="1:72" x14ac:dyDescent="0.15">
      <c r="A287" t="s">
        <v>72</v>
      </c>
      <c r="B287" t="s">
        <v>4923</v>
      </c>
      <c r="C287" t="s">
        <v>74</v>
      </c>
      <c r="D287" t="s">
        <v>74</v>
      </c>
      <c r="E287" t="s">
        <v>74</v>
      </c>
      <c r="F287" t="s">
        <v>4924</v>
      </c>
      <c r="G287" t="s">
        <v>74</v>
      </c>
      <c r="H287" t="s">
        <v>74</v>
      </c>
      <c r="I287" t="s">
        <v>4925</v>
      </c>
      <c r="J287" t="s">
        <v>278</v>
      </c>
      <c r="K287" t="s">
        <v>74</v>
      </c>
      <c r="L287" t="s">
        <v>74</v>
      </c>
      <c r="M287" t="s">
        <v>78</v>
      </c>
      <c r="N287" t="s">
        <v>79</v>
      </c>
      <c r="O287" t="s">
        <v>74</v>
      </c>
      <c r="P287" t="s">
        <v>74</v>
      </c>
      <c r="Q287" t="s">
        <v>74</v>
      </c>
      <c r="R287" t="s">
        <v>74</v>
      </c>
      <c r="S287" t="s">
        <v>74</v>
      </c>
      <c r="T287" t="s">
        <v>4926</v>
      </c>
      <c r="U287" t="s">
        <v>4927</v>
      </c>
      <c r="V287" t="s">
        <v>4928</v>
      </c>
      <c r="W287" t="s">
        <v>4929</v>
      </c>
      <c r="X287" t="s">
        <v>4930</v>
      </c>
      <c r="Y287" t="s">
        <v>4931</v>
      </c>
      <c r="Z287" t="s">
        <v>4932</v>
      </c>
      <c r="AA287" t="s">
        <v>74</v>
      </c>
      <c r="AB287" t="s">
        <v>74</v>
      </c>
      <c r="AC287" t="s">
        <v>74</v>
      </c>
      <c r="AD287" t="s">
        <v>74</v>
      </c>
      <c r="AE287" t="s">
        <v>74</v>
      </c>
      <c r="AF287" t="s">
        <v>74</v>
      </c>
      <c r="AG287">
        <v>135</v>
      </c>
      <c r="AH287">
        <v>0</v>
      </c>
      <c r="AI287">
        <v>0</v>
      </c>
      <c r="AJ287">
        <v>2</v>
      </c>
      <c r="AK287">
        <v>2</v>
      </c>
      <c r="AL287" t="s">
        <v>287</v>
      </c>
      <c r="AM287" t="s">
        <v>288</v>
      </c>
      <c r="AN287" t="s">
        <v>289</v>
      </c>
      <c r="AO287" t="s">
        <v>290</v>
      </c>
      <c r="AP287" t="s">
        <v>74</v>
      </c>
      <c r="AQ287" t="s">
        <v>74</v>
      </c>
      <c r="AR287" t="s">
        <v>291</v>
      </c>
      <c r="AS287" t="s">
        <v>292</v>
      </c>
      <c r="AT287" t="s">
        <v>4919</v>
      </c>
      <c r="AU287">
        <v>2023</v>
      </c>
      <c r="AV287">
        <v>10</v>
      </c>
      <c r="AW287">
        <v>2</v>
      </c>
      <c r="AX287" t="s">
        <v>74</v>
      </c>
      <c r="AY287" t="s">
        <v>74</v>
      </c>
      <c r="AZ287" t="s">
        <v>74</v>
      </c>
      <c r="BA287" t="s">
        <v>74</v>
      </c>
      <c r="BB287" t="s">
        <v>74</v>
      </c>
      <c r="BC287" t="s">
        <v>74</v>
      </c>
      <c r="BD287">
        <v>2229099</v>
      </c>
      <c r="BE287" t="s">
        <v>4933</v>
      </c>
      <c r="BF287" t="str">
        <f>HYPERLINK("http://dx.doi.org/10.1080/23311975.2023.2229099","http://dx.doi.org/10.1080/23311975.2023.2229099")</f>
        <v>http://dx.doi.org/10.1080/23311975.2023.2229099</v>
      </c>
      <c r="BG287" t="s">
        <v>74</v>
      </c>
      <c r="BH287" t="s">
        <v>74</v>
      </c>
      <c r="BI287">
        <v>22</v>
      </c>
      <c r="BJ287" t="s">
        <v>294</v>
      </c>
      <c r="BK287" t="s">
        <v>211</v>
      </c>
      <c r="BL287" t="s">
        <v>295</v>
      </c>
      <c r="BM287" t="s">
        <v>4934</v>
      </c>
      <c r="BN287" t="s">
        <v>74</v>
      </c>
      <c r="BO287" t="s">
        <v>126</v>
      </c>
      <c r="BP287" t="s">
        <v>74</v>
      </c>
      <c r="BQ287" t="s">
        <v>74</v>
      </c>
      <c r="BR287" t="s">
        <v>105</v>
      </c>
      <c r="BS287" t="s">
        <v>4935</v>
      </c>
      <c r="BT287" t="str">
        <f>HYPERLINK("https%3A%2F%2Fwww.webofscience.com%2Fwos%2Fwoscc%2Ffull-record%2FWOS:001016685200001","View Full Record in Web of Science")</f>
        <v>View Full Record in Web of Science</v>
      </c>
    </row>
    <row r="288" spans="1:72" x14ac:dyDescent="0.15">
      <c r="A288" t="s">
        <v>72</v>
      </c>
      <c r="B288" t="s">
        <v>4936</v>
      </c>
      <c r="C288" t="s">
        <v>74</v>
      </c>
      <c r="D288" t="s">
        <v>74</v>
      </c>
      <c r="E288" t="s">
        <v>74</v>
      </c>
      <c r="F288" t="s">
        <v>4937</v>
      </c>
      <c r="G288" t="s">
        <v>74</v>
      </c>
      <c r="H288" t="s">
        <v>74</v>
      </c>
      <c r="I288" t="s">
        <v>4938</v>
      </c>
      <c r="J288" t="s">
        <v>944</v>
      </c>
      <c r="K288" t="s">
        <v>74</v>
      </c>
      <c r="L288" t="s">
        <v>74</v>
      </c>
      <c r="M288" t="s">
        <v>78</v>
      </c>
      <c r="N288" t="s">
        <v>171</v>
      </c>
      <c r="O288" t="s">
        <v>74</v>
      </c>
      <c r="P288" t="s">
        <v>74</v>
      </c>
      <c r="Q288" t="s">
        <v>74</v>
      </c>
      <c r="R288" t="s">
        <v>74</v>
      </c>
      <c r="S288" t="s">
        <v>74</v>
      </c>
      <c r="T288" t="s">
        <v>4939</v>
      </c>
      <c r="U288" t="s">
        <v>4940</v>
      </c>
      <c r="V288" t="s">
        <v>4941</v>
      </c>
      <c r="W288" t="s">
        <v>4942</v>
      </c>
      <c r="X288" t="s">
        <v>4943</v>
      </c>
      <c r="Y288" t="s">
        <v>4944</v>
      </c>
      <c r="Z288" t="s">
        <v>4945</v>
      </c>
      <c r="AA288" t="s">
        <v>74</v>
      </c>
      <c r="AB288" t="s">
        <v>74</v>
      </c>
      <c r="AC288" t="s">
        <v>74</v>
      </c>
      <c r="AD288" t="s">
        <v>74</v>
      </c>
      <c r="AE288" t="s">
        <v>74</v>
      </c>
      <c r="AF288" t="s">
        <v>74</v>
      </c>
      <c r="AG288">
        <v>103</v>
      </c>
      <c r="AH288">
        <v>0</v>
      </c>
      <c r="AI288">
        <v>0</v>
      </c>
      <c r="AJ288">
        <v>5</v>
      </c>
      <c r="AK288">
        <v>6</v>
      </c>
      <c r="AL288" t="s">
        <v>92</v>
      </c>
      <c r="AM288" t="s">
        <v>93</v>
      </c>
      <c r="AN288" t="s">
        <v>94</v>
      </c>
      <c r="AO288" t="s">
        <v>954</v>
      </c>
      <c r="AP288" t="s">
        <v>955</v>
      </c>
      <c r="AQ288" t="s">
        <v>74</v>
      </c>
      <c r="AR288" t="s">
        <v>956</v>
      </c>
      <c r="AS288" t="s">
        <v>957</v>
      </c>
      <c r="AT288" t="s">
        <v>4919</v>
      </c>
      <c r="AU288">
        <v>2023</v>
      </c>
      <c r="AV288">
        <v>55</v>
      </c>
      <c r="AW288">
        <v>1</v>
      </c>
      <c r="AX288" t="s">
        <v>74</v>
      </c>
      <c r="AY288" t="s">
        <v>74</v>
      </c>
      <c r="AZ288" t="s">
        <v>74</v>
      </c>
      <c r="BA288" t="s">
        <v>74</v>
      </c>
      <c r="BB288">
        <v>1156</v>
      </c>
      <c r="BC288">
        <v>1170</v>
      </c>
      <c r="BD288" t="s">
        <v>74</v>
      </c>
      <c r="BE288" t="s">
        <v>4946</v>
      </c>
      <c r="BF288" t="str">
        <f>HYPERLINK("http://dx.doi.org/10.1080/07853890.2023.2188487","http://dx.doi.org/10.1080/07853890.2023.2188487")</f>
        <v>http://dx.doi.org/10.1080/07853890.2023.2188487</v>
      </c>
      <c r="BG288" t="s">
        <v>74</v>
      </c>
      <c r="BH288" t="s">
        <v>74</v>
      </c>
      <c r="BI288">
        <v>15</v>
      </c>
      <c r="BJ288" t="s">
        <v>663</v>
      </c>
      <c r="BK288" t="s">
        <v>102</v>
      </c>
      <c r="BL288" t="s">
        <v>664</v>
      </c>
      <c r="BM288" t="s">
        <v>4947</v>
      </c>
      <c r="BN288">
        <v>36999962</v>
      </c>
      <c r="BO288" t="s">
        <v>104</v>
      </c>
      <c r="BP288" t="s">
        <v>74</v>
      </c>
      <c r="BQ288" t="s">
        <v>74</v>
      </c>
      <c r="BR288" t="s">
        <v>105</v>
      </c>
      <c r="BS288" t="s">
        <v>4948</v>
      </c>
      <c r="BT288" t="str">
        <f>HYPERLINK("https%3A%2F%2Fwww.webofscience.com%2Fwos%2Fwoscc%2Ffull-record%2FWOS:000960871900001","View Full Record in Web of Science")</f>
        <v>View Full Record in Web of Science</v>
      </c>
    </row>
    <row r="289" spans="1:72" x14ac:dyDescent="0.15">
      <c r="A289" t="s">
        <v>72</v>
      </c>
      <c r="B289" t="s">
        <v>4949</v>
      </c>
      <c r="C289" t="s">
        <v>74</v>
      </c>
      <c r="D289" t="s">
        <v>74</v>
      </c>
      <c r="E289" t="s">
        <v>74</v>
      </c>
      <c r="F289" t="s">
        <v>4950</v>
      </c>
      <c r="G289" t="s">
        <v>74</v>
      </c>
      <c r="H289" t="s">
        <v>74</v>
      </c>
      <c r="I289" t="s">
        <v>4951</v>
      </c>
      <c r="J289" t="s">
        <v>944</v>
      </c>
      <c r="K289" t="s">
        <v>74</v>
      </c>
      <c r="L289" t="s">
        <v>74</v>
      </c>
      <c r="M289" t="s">
        <v>78</v>
      </c>
      <c r="N289" t="s">
        <v>79</v>
      </c>
      <c r="O289" t="s">
        <v>74</v>
      </c>
      <c r="P289" t="s">
        <v>74</v>
      </c>
      <c r="Q289" t="s">
        <v>74</v>
      </c>
      <c r="R289" t="s">
        <v>74</v>
      </c>
      <c r="S289" t="s">
        <v>74</v>
      </c>
      <c r="T289" t="s">
        <v>4952</v>
      </c>
      <c r="U289" t="s">
        <v>4953</v>
      </c>
      <c r="V289" t="s">
        <v>4954</v>
      </c>
      <c r="W289" t="s">
        <v>4955</v>
      </c>
      <c r="X289" t="s">
        <v>4956</v>
      </c>
      <c r="Y289" t="s">
        <v>4957</v>
      </c>
      <c r="Z289" t="s">
        <v>4958</v>
      </c>
      <c r="AA289" t="s">
        <v>74</v>
      </c>
      <c r="AB289" t="s">
        <v>74</v>
      </c>
      <c r="AC289" t="s">
        <v>4959</v>
      </c>
      <c r="AD289" t="s">
        <v>4960</v>
      </c>
      <c r="AE289" t="s">
        <v>4961</v>
      </c>
      <c r="AF289" t="s">
        <v>74</v>
      </c>
      <c r="AG289">
        <v>15</v>
      </c>
      <c r="AH289">
        <v>0</v>
      </c>
      <c r="AI289">
        <v>0</v>
      </c>
      <c r="AJ289">
        <v>0</v>
      </c>
      <c r="AK289">
        <v>0</v>
      </c>
      <c r="AL289" t="s">
        <v>92</v>
      </c>
      <c r="AM289" t="s">
        <v>93</v>
      </c>
      <c r="AN289" t="s">
        <v>94</v>
      </c>
      <c r="AO289" t="s">
        <v>954</v>
      </c>
      <c r="AP289" t="s">
        <v>955</v>
      </c>
      <c r="AQ289" t="s">
        <v>74</v>
      </c>
      <c r="AR289" t="s">
        <v>956</v>
      </c>
      <c r="AS289" t="s">
        <v>957</v>
      </c>
      <c r="AT289" t="s">
        <v>4919</v>
      </c>
      <c r="AU289">
        <v>2023</v>
      </c>
      <c r="AV289">
        <v>55</v>
      </c>
      <c r="AW289">
        <v>2</v>
      </c>
      <c r="AX289" t="s">
        <v>74</v>
      </c>
      <c r="AY289" t="s">
        <v>74</v>
      </c>
      <c r="AZ289" t="s">
        <v>74</v>
      </c>
      <c r="BA289" t="s">
        <v>74</v>
      </c>
      <c r="BB289" t="s">
        <v>74</v>
      </c>
      <c r="BC289" t="s">
        <v>74</v>
      </c>
      <c r="BD289">
        <v>2247422</v>
      </c>
      <c r="BE289" t="s">
        <v>4962</v>
      </c>
      <c r="BF289" t="str">
        <f>HYPERLINK("http://dx.doi.org/10.1080/07853890.2023.2247422","http://dx.doi.org/10.1080/07853890.2023.2247422")</f>
        <v>http://dx.doi.org/10.1080/07853890.2023.2247422</v>
      </c>
      <c r="BG289" t="s">
        <v>74</v>
      </c>
      <c r="BH289" t="s">
        <v>74</v>
      </c>
      <c r="BI289">
        <v>10</v>
      </c>
      <c r="BJ289" t="s">
        <v>663</v>
      </c>
      <c r="BK289" t="s">
        <v>102</v>
      </c>
      <c r="BL289" t="s">
        <v>664</v>
      </c>
      <c r="BM289" t="s">
        <v>4963</v>
      </c>
      <c r="BN289">
        <v>37619404</v>
      </c>
      <c r="BO289" t="s">
        <v>126</v>
      </c>
      <c r="BP289" t="s">
        <v>74</v>
      </c>
      <c r="BQ289" t="s">
        <v>74</v>
      </c>
      <c r="BR289" t="s">
        <v>105</v>
      </c>
      <c r="BS289" t="s">
        <v>4964</v>
      </c>
      <c r="BT289" t="str">
        <f>HYPERLINK("https%3A%2F%2Fwww.webofscience.com%2Fwos%2Fwoscc%2Ffull-record%2FWOS:001053913900001","View Full Record in Web of Science")</f>
        <v>View Full Record in Web of Science</v>
      </c>
    </row>
    <row r="290" spans="1:72" x14ac:dyDescent="0.15">
      <c r="A290" t="s">
        <v>72</v>
      </c>
      <c r="B290" t="s">
        <v>4965</v>
      </c>
      <c r="C290" t="s">
        <v>74</v>
      </c>
      <c r="D290" t="s">
        <v>74</v>
      </c>
      <c r="E290" t="s">
        <v>74</v>
      </c>
      <c r="F290" t="s">
        <v>4966</v>
      </c>
      <c r="G290" t="s">
        <v>74</v>
      </c>
      <c r="H290" t="s">
        <v>74</v>
      </c>
      <c r="I290" t="s">
        <v>4967</v>
      </c>
      <c r="J290" t="s">
        <v>944</v>
      </c>
      <c r="K290" t="s">
        <v>74</v>
      </c>
      <c r="L290" t="s">
        <v>74</v>
      </c>
      <c r="M290" t="s">
        <v>78</v>
      </c>
      <c r="N290" t="s">
        <v>79</v>
      </c>
      <c r="O290" t="s">
        <v>74</v>
      </c>
      <c r="P290" t="s">
        <v>74</v>
      </c>
      <c r="Q290" t="s">
        <v>74</v>
      </c>
      <c r="R290" t="s">
        <v>74</v>
      </c>
      <c r="S290" t="s">
        <v>74</v>
      </c>
      <c r="T290" t="s">
        <v>4968</v>
      </c>
      <c r="U290" t="s">
        <v>4969</v>
      </c>
      <c r="V290" t="s">
        <v>4970</v>
      </c>
      <c r="W290" t="s">
        <v>4971</v>
      </c>
      <c r="X290" t="s">
        <v>4972</v>
      </c>
      <c r="Y290" t="s">
        <v>4973</v>
      </c>
      <c r="Z290" t="s">
        <v>4974</v>
      </c>
      <c r="AA290" t="s">
        <v>4975</v>
      </c>
      <c r="AB290" t="s">
        <v>4976</v>
      </c>
      <c r="AC290" t="s">
        <v>74</v>
      </c>
      <c r="AD290" t="s">
        <v>74</v>
      </c>
      <c r="AE290" t="s">
        <v>74</v>
      </c>
      <c r="AF290" t="s">
        <v>74</v>
      </c>
      <c r="AG290">
        <v>63</v>
      </c>
      <c r="AH290">
        <v>0</v>
      </c>
      <c r="AI290">
        <v>0</v>
      </c>
      <c r="AJ290">
        <v>7</v>
      </c>
      <c r="AK290">
        <v>7</v>
      </c>
      <c r="AL290" t="s">
        <v>92</v>
      </c>
      <c r="AM290" t="s">
        <v>93</v>
      </c>
      <c r="AN290" t="s">
        <v>94</v>
      </c>
      <c r="AO290" t="s">
        <v>954</v>
      </c>
      <c r="AP290" t="s">
        <v>955</v>
      </c>
      <c r="AQ290" t="s">
        <v>74</v>
      </c>
      <c r="AR290" t="s">
        <v>956</v>
      </c>
      <c r="AS290" t="s">
        <v>957</v>
      </c>
      <c r="AT290" t="s">
        <v>4919</v>
      </c>
      <c r="AU290">
        <v>2023</v>
      </c>
      <c r="AV290">
        <v>55</v>
      </c>
      <c r="AW290">
        <v>1</v>
      </c>
      <c r="AX290" t="s">
        <v>74</v>
      </c>
      <c r="AY290" t="s">
        <v>74</v>
      </c>
      <c r="AZ290" t="s">
        <v>74</v>
      </c>
      <c r="BA290" t="s">
        <v>74</v>
      </c>
      <c r="BB290" t="s">
        <v>74</v>
      </c>
      <c r="BC290" t="s">
        <v>74</v>
      </c>
      <c r="BD290">
        <v>2210842</v>
      </c>
      <c r="BE290" t="s">
        <v>4977</v>
      </c>
      <c r="BF290" t="str">
        <f>HYPERLINK("http://dx.doi.org/10.1080/07853890.2023.2210842","http://dx.doi.org/10.1080/07853890.2023.2210842")</f>
        <v>http://dx.doi.org/10.1080/07853890.2023.2210842</v>
      </c>
      <c r="BG290" t="s">
        <v>74</v>
      </c>
      <c r="BH290" t="s">
        <v>74</v>
      </c>
      <c r="BI290">
        <v>12</v>
      </c>
      <c r="BJ290" t="s">
        <v>663</v>
      </c>
      <c r="BK290" t="s">
        <v>102</v>
      </c>
      <c r="BL290" t="s">
        <v>664</v>
      </c>
      <c r="BM290" t="s">
        <v>4978</v>
      </c>
      <c r="BN290">
        <v>37166406</v>
      </c>
      <c r="BO290" t="s">
        <v>165</v>
      </c>
      <c r="BP290" t="s">
        <v>74</v>
      </c>
      <c r="BQ290" t="s">
        <v>74</v>
      </c>
      <c r="BR290" t="s">
        <v>105</v>
      </c>
      <c r="BS290" t="s">
        <v>4979</v>
      </c>
      <c r="BT290" t="str">
        <f>HYPERLINK("https%3A%2F%2Fwww.webofscience.com%2Fwos%2Fwoscc%2Ffull-record%2FWOS:000985169900001","View Full Record in Web of Science")</f>
        <v>View Full Record in Web of Science</v>
      </c>
    </row>
    <row r="291" spans="1:72" x14ac:dyDescent="0.15">
      <c r="A291" t="s">
        <v>72</v>
      </c>
      <c r="B291" t="s">
        <v>4980</v>
      </c>
      <c r="C291" t="s">
        <v>74</v>
      </c>
      <c r="D291" t="s">
        <v>74</v>
      </c>
      <c r="E291" t="s">
        <v>74</v>
      </c>
      <c r="F291" t="s">
        <v>4981</v>
      </c>
      <c r="G291" t="s">
        <v>74</v>
      </c>
      <c r="H291" t="s">
        <v>74</v>
      </c>
      <c r="I291" t="s">
        <v>4982</v>
      </c>
      <c r="J291" t="s">
        <v>944</v>
      </c>
      <c r="K291" t="s">
        <v>74</v>
      </c>
      <c r="L291" t="s">
        <v>74</v>
      </c>
      <c r="M291" t="s">
        <v>78</v>
      </c>
      <c r="N291" t="s">
        <v>171</v>
      </c>
      <c r="O291" t="s">
        <v>74</v>
      </c>
      <c r="P291" t="s">
        <v>74</v>
      </c>
      <c r="Q291" t="s">
        <v>74</v>
      </c>
      <c r="R291" t="s">
        <v>74</v>
      </c>
      <c r="S291" t="s">
        <v>74</v>
      </c>
      <c r="T291" t="s">
        <v>4983</v>
      </c>
      <c r="U291" t="s">
        <v>4984</v>
      </c>
      <c r="V291" t="s">
        <v>4985</v>
      </c>
      <c r="W291" t="s">
        <v>4986</v>
      </c>
      <c r="X291" t="s">
        <v>4987</v>
      </c>
      <c r="Y291" t="s">
        <v>4988</v>
      </c>
      <c r="Z291" t="s">
        <v>4989</v>
      </c>
      <c r="AA291" t="s">
        <v>74</v>
      </c>
      <c r="AB291" t="s">
        <v>74</v>
      </c>
      <c r="AC291" t="s">
        <v>4990</v>
      </c>
      <c r="AD291" t="s">
        <v>4991</v>
      </c>
      <c r="AE291" t="s">
        <v>4992</v>
      </c>
      <c r="AF291" t="s">
        <v>74</v>
      </c>
      <c r="AG291">
        <v>101</v>
      </c>
      <c r="AH291">
        <v>0</v>
      </c>
      <c r="AI291">
        <v>0</v>
      </c>
      <c r="AJ291">
        <v>0</v>
      </c>
      <c r="AK291">
        <v>0</v>
      </c>
      <c r="AL291" t="s">
        <v>92</v>
      </c>
      <c r="AM291" t="s">
        <v>93</v>
      </c>
      <c r="AN291" t="s">
        <v>94</v>
      </c>
      <c r="AO291" t="s">
        <v>954</v>
      </c>
      <c r="AP291" t="s">
        <v>955</v>
      </c>
      <c r="AQ291" t="s">
        <v>74</v>
      </c>
      <c r="AR291" t="s">
        <v>956</v>
      </c>
      <c r="AS291" t="s">
        <v>957</v>
      </c>
      <c r="AT291" t="s">
        <v>4919</v>
      </c>
      <c r="AU291">
        <v>2023</v>
      </c>
      <c r="AV291">
        <v>55</v>
      </c>
      <c r="AW291">
        <v>2</v>
      </c>
      <c r="AX291" t="s">
        <v>74</v>
      </c>
      <c r="AY291" t="s">
        <v>74</v>
      </c>
      <c r="AZ291" t="s">
        <v>74</v>
      </c>
      <c r="BA291" t="s">
        <v>74</v>
      </c>
      <c r="BB291" t="s">
        <v>74</v>
      </c>
      <c r="BC291" t="s">
        <v>74</v>
      </c>
      <c r="BD291">
        <v>2258902</v>
      </c>
      <c r="BE291" t="s">
        <v>4993</v>
      </c>
      <c r="BF291" t="str">
        <f>HYPERLINK("http://dx.doi.org/10.1080/07853890.2023.2258902","http://dx.doi.org/10.1080/07853890.2023.2258902")</f>
        <v>http://dx.doi.org/10.1080/07853890.2023.2258902</v>
      </c>
      <c r="BG291" t="s">
        <v>74</v>
      </c>
      <c r="BH291" t="s">
        <v>74</v>
      </c>
      <c r="BI291">
        <v>11</v>
      </c>
      <c r="BJ291" t="s">
        <v>663</v>
      </c>
      <c r="BK291" t="s">
        <v>102</v>
      </c>
      <c r="BL291" t="s">
        <v>664</v>
      </c>
      <c r="BM291" t="s">
        <v>4994</v>
      </c>
      <c r="BN291">
        <v>37733015</v>
      </c>
      <c r="BO291" t="s">
        <v>126</v>
      </c>
      <c r="BP291" t="s">
        <v>74</v>
      </c>
      <c r="BQ291" t="s">
        <v>74</v>
      </c>
      <c r="BR291" t="s">
        <v>105</v>
      </c>
      <c r="BS291" t="s">
        <v>4995</v>
      </c>
      <c r="BT291" t="str">
        <f>HYPERLINK("https%3A%2F%2Fwww.webofscience.com%2Fwos%2Fwoscc%2Ffull-record%2FWOS:001069239900001","View Full Record in Web of Science")</f>
        <v>View Full Record in Web of Science</v>
      </c>
    </row>
    <row r="292" spans="1:72" x14ac:dyDescent="0.15">
      <c r="A292" t="s">
        <v>72</v>
      </c>
      <c r="B292" t="s">
        <v>4996</v>
      </c>
      <c r="C292" t="s">
        <v>74</v>
      </c>
      <c r="D292" t="s">
        <v>74</v>
      </c>
      <c r="E292" t="s">
        <v>74</v>
      </c>
      <c r="F292" t="s">
        <v>4997</v>
      </c>
      <c r="G292" t="s">
        <v>74</v>
      </c>
      <c r="H292" t="s">
        <v>74</v>
      </c>
      <c r="I292" t="s">
        <v>4998</v>
      </c>
      <c r="J292" t="s">
        <v>278</v>
      </c>
      <c r="K292" t="s">
        <v>74</v>
      </c>
      <c r="L292" t="s">
        <v>74</v>
      </c>
      <c r="M292" t="s">
        <v>78</v>
      </c>
      <c r="N292" t="s">
        <v>79</v>
      </c>
      <c r="O292" t="s">
        <v>74</v>
      </c>
      <c r="P292" t="s">
        <v>74</v>
      </c>
      <c r="Q292" t="s">
        <v>74</v>
      </c>
      <c r="R292" t="s">
        <v>74</v>
      </c>
      <c r="S292" t="s">
        <v>74</v>
      </c>
      <c r="T292" t="s">
        <v>4999</v>
      </c>
      <c r="U292" t="s">
        <v>5000</v>
      </c>
      <c r="V292" t="s">
        <v>5001</v>
      </c>
      <c r="W292" t="s">
        <v>5002</v>
      </c>
      <c r="X292" t="s">
        <v>74</v>
      </c>
      <c r="Y292" t="s">
        <v>5003</v>
      </c>
      <c r="Z292" t="s">
        <v>5004</v>
      </c>
      <c r="AA292" t="s">
        <v>5005</v>
      </c>
      <c r="AB292" t="s">
        <v>5006</v>
      </c>
      <c r="AC292" t="s">
        <v>74</v>
      </c>
      <c r="AD292" t="s">
        <v>74</v>
      </c>
      <c r="AE292" t="s">
        <v>74</v>
      </c>
      <c r="AF292" t="s">
        <v>74</v>
      </c>
      <c r="AG292">
        <v>93</v>
      </c>
      <c r="AH292">
        <v>0</v>
      </c>
      <c r="AI292">
        <v>0</v>
      </c>
      <c r="AJ292">
        <v>3</v>
      </c>
      <c r="AK292">
        <v>3</v>
      </c>
      <c r="AL292" t="s">
        <v>287</v>
      </c>
      <c r="AM292" t="s">
        <v>288</v>
      </c>
      <c r="AN292" t="s">
        <v>289</v>
      </c>
      <c r="AO292" t="s">
        <v>290</v>
      </c>
      <c r="AP292" t="s">
        <v>74</v>
      </c>
      <c r="AQ292" t="s">
        <v>74</v>
      </c>
      <c r="AR292" t="s">
        <v>291</v>
      </c>
      <c r="AS292" t="s">
        <v>292</v>
      </c>
      <c r="AT292" t="s">
        <v>4919</v>
      </c>
      <c r="AU292">
        <v>2023</v>
      </c>
      <c r="AV292">
        <v>10</v>
      </c>
      <c r="AW292">
        <v>2</v>
      </c>
      <c r="AX292" t="s">
        <v>74</v>
      </c>
      <c r="AY292" t="s">
        <v>74</v>
      </c>
      <c r="AZ292" t="s">
        <v>74</v>
      </c>
      <c r="BA292" t="s">
        <v>74</v>
      </c>
      <c r="BB292" t="s">
        <v>74</v>
      </c>
      <c r="BC292" t="s">
        <v>74</v>
      </c>
      <c r="BD292">
        <v>2242164</v>
      </c>
      <c r="BE292" t="s">
        <v>5007</v>
      </c>
      <c r="BF292" t="str">
        <f>HYPERLINK("http://dx.doi.org/10.1080/23311975.2023.2242164","http://dx.doi.org/10.1080/23311975.2023.2242164")</f>
        <v>http://dx.doi.org/10.1080/23311975.2023.2242164</v>
      </c>
      <c r="BG292" t="s">
        <v>74</v>
      </c>
      <c r="BH292" t="s">
        <v>74</v>
      </c>
      <c r="BI292">
        <v>22</v>
      </c>
      <c r="BJ292" t="s">
        <v>294</v>
      </c>
      <c r="BK292" t="s">
        <v>211</v>
      </c>
      <c r="BL292" t="s">
        <v>295</v>
      </c>
      <c r="BM292" t="s">
        <v>5008</v>
      </c>
      <c r="BN292" t="s">
        <v>74</v>
      </c>
      <c r="BO292" t="s">
        <v>126</v>
      </c>
      <c r="BP292" t="s">
        <v>74</v>
      </c>
      <c r="BQ292" t="s">
        <v>74</v>
      </c>
      <c r="BR292" t="s">
        <v>105</v>
      </c>
      <c r="BS292" t="s">
        <v>5009</v>
      </c>
      <c r="BT292" t="str">
        <f>HYPERLINK("https%3A%2F%2Fwww.webofscience.com%2Fwos%2Fwoscc%2Ffull-record%2FWOS:001040619700001","View Full Record in Web of Science")</f>
        <v>View Full Record in Web of Science</v>
      </c>
    </row>
    <row r="293" spans="1:72" x14ac:dyDescent="0.15">
      <c r="A293" t="s">
        <v>72</v>
      </c>
      <c r="B293" t="s">
        <v>5010</v>
      </c>
      <c r="C293" t="s">
        <v>74</v>
      </c>
      <c r="D293" t="s">
        <v>74</v>
      </c>
      <c r="E293" t="s">
        <v>74</v>
      </c>
      <c r="F293" t="s">
        <v>5011</v>
      </c>
      <c r="G293" t="s">
        <v>74</v>
      </c>
      <c r="H293" t="s">
        <v>74</v>
      </c>
      <c r="I293" t="s">
        <v>5012</v>
      </c>
      <c r="J293" t="s">
        <v>278</v>
      </c>
      <c r="K293" t="s">
        <v>74</v>
      </c>
      <c r="L293" t="s">
        <v>74</v>
      </c>
      <c r="M293" t="s">
        <v>78</v>
      </c>
      <c r="N293" t="s">
        <v>79</v>
      </c>
      <c r="O293" t="s">
        <v>74</v>
      </c>
      <c r="P293" t="s">
        <v>74</v>
      </c>
      <c r="Q293" t="s">
        <v>74</v>
      </c>
      <c r="R293" t="s">
        <v>74</v>
      </c>
      <c r="S293" t="s">
        <v>74</v>
      </c>
      <c r="T293" t="s">
        <v>5013</v>
      </c>
      <c r="U293" t="s">
        <v>5014</v>
      </c>
      <c r="V293" t="s">
        <v>5015</v>
      </c>
      <c r="W293" t="s">
        <v>5016</v>
      </c>
      <c r="X293" t="s">
        <v>5017</v>
      </c>
      <c r="Y293" t="s">
        <v>5018</v>
      </c>
      <c r="Z293" t="s">
        <v>5019</v>
      </c>
      <c r="AA293" t="s">
        <v>74</v>
      </c>
      <c r="AB293" t="s">
        <v>74</v>
      </c>
      <c r="AC293" t="s">
        <v>74</v>
      </c>
      <c r="AD293" t="s">
        <v>74</v>
      </c>
      <c r="AE293" t="s">
        <v>74</v>
      </c>
      <c r="AF293" t="s">
        <v>74</v>
      </c>
      <c r="AG293">
        <v>43</v>
      </c>
      <c r="AH293">
        <v>0</v>
      </c>
      <c r="AI293">
        <v>0</v>
      </c>
      <c r="AJ293">
        <v>1</v>
      </c>
      <c r="AK293">
        <v>1</v>
      </c>
      <c r="AL293" t="s">
        <v>287</v>
      </c>
      <c r="AM293" t="s">
        <v>288</v>
      </c>
      <c r="AN293" t="s">
        <v>289</v>
      </c>
      <c r="AO293" t="s">
        <v>290</v>
      </c>
      <c r="AP293" t="s">
        <v>74</v>
      </c>
      <c r="AQ293" t="s">
        <v>74</v>
      </c>
      <c r="AR293" t="s">
        <v>291</v>
      </c>
      <c r="AS293" t="s">
        <v>292</v>
      </c>
      <c r="AT293" t="s">
        <v>4919</v>
      </c>
      <c r="AU293">
        <v>2023</v>
      </c>
      <c r="AV293">
        <v>10</v>
      </c>
      <c r="AW293">
        <v>2</v>
      </c>
      <c r="AX293" t="s">
        <v>74</v>
      </c>
      <c r="AY293" t="s">
        <v>74</v>
      </c>
      <c r="AZ293" t="s">
        <v>74</v>
      </c>
      <c r="BA293" t="s">
        <v>74</v>
      </c>
      <c r="BB293" t="s">
        <v>74</v>
      </c>
      <c r="BC293" t="s">
        <v>74</v>
      </c>
      <c r="BD293">
        <v>2220193</v>
      </c>
      <c r="BE293" t="s">
        <v>5020</v>
      </c>
      <c r="BF293" t="str">
        <f>HYPERLINK("http://dx.doi.org/10.1080/23311975.2023.2220193","http://dx.doi.org/10.1080/23311975.2023.2220193")</f>
        <v>http://dx.doi.org/10.1080/23311975.2023.2220193</v>
      </c>
      <c r="BG293" t="s">
        <v>74</v>
      </c>
      <c r="BH293" t="s">
        <v>74</v>
      </c>
      <c r="BI293">
        <v>23</v>
      </c>
      <c r="BJ293" t="s">
        <v>294</v>
      </c>
      <c r="BK293" t="s">
        <v>211</v>
      </c>
      <c r="BL293" t="s">
        <v>295</v>
      </c>
      <c r="BM293" t="s">
        <v>5021</v>
      </c>
      <c r="BN293" t="s">
        <v>74</v>
      </c>
      <c r="BO293" t="s">
        <v>74</v>
      </c>
      <c r="BP293" t="s">
        <v>74</v>
      </c>
      <c r="BQ293" t="s">
        <v>74</v>
      </c>
      <c r="BR293" t="s">
        <v>105</v>
      </c>
      <c r="BS293" t="s">
        <v>5022</v>
      </c>
      <c r="BT293" t="str">
        <f>HYPERLINK("https%3A%2F%2Fwww.webofscience.com%2Fwos%2Fwoscc%2Ffull-record%2FWOS:001003605600001","View Full Record in Web of Science")</f>
        <v>View Full Record in Web of Science</v>
      </c>
    </row>
    <row r="294" spans="1:72" x14ac:dyDescent="0.15">
      <c r="A294" t="s">
        <v>72</v>
      </c>
      <c r="B294" t="s">
        <v>5023</v>
      </c>
      <c r="C294" t="s">
        <v>74</v>
      </c>
      <c r="D294" t="s">
        <v>74</v>
      </c>
      <c r="E294" t="s">
        <v>74</v>
      </c>
      <c r="F294" t="s">
        <v>5024</v>
      </c>
      <c r="G294" t="s">
        <v>74</v>
      </c>
      <c r="H294" t="s">
        <v>74</v>
      </c>
      <c r="I294" t="s">
        <v>5025</v>
      </c>
      <c r="J294" t="s">
        <v>278</v>
      </c>
      <c r="K294" t="s">
        <v>74</v>
      </c>
      <c r="L294" t="s">
        <v>74</v>
      </c>
      <c r="M294" t="s">
        <v>78</v>
      </c>
      <c r="N294" t="s">
        <v>79</v>
      </c>
      <c r="O294" t="s">
        <v>74</v>
      </c>
      <c r="P294" t="s">
        <v>74</v>
      </c>
      <c r="Q294" t="s">
        <v>74</v>
      </c>
      <c r="R294" t="s">
        <v>74</v>
      </c>
      <c r="S294" t="s">
        <v>74</v>
      </c>
      <c r="T294" t="s">
        <v>5026</v>
      </c>
      <c r="U294" t="s">
        <v>5027</v>
      </c>
      <c r="V294" t="s">
        <v>5028</v>
      </c>
      <c r="W294" t="s">
        <v>5029</v>
      </c>
      <c r="X294" t="s">
        <v>5030</v>
      </c>
      <c r="Y294" t="s">
        <v>5031</v>
      </c>
      <c r="Z294" t="s">
        <v>5032</v>
      </c>
      <c r="AA294" t="s">
        <v>74</v>
      </c>
      <c r="AB294" t="s">
        <v>5033</v>
      </c>
      <c r="AC294" t="s">
        <v>74</v>
      </c>
      <c r="AD294" t="s">
        <v>74</v>
      </c>
      <c r="AE294" t="s">
        <v>74</v>
      </c>
      <c r="AF294" t="s">
        <v>74</v>
      </c>
      <c r="AG294">
        <v>82</v>
      </c>
      <c r="AH294">
        <v>0</v>
      </c>
      <c r="AI294">
        <v>0</v>
      </c>
      <c r="AJ294">
        <v>0</v>
      </c>
      <c r="AK294">
        <v>0</v>
      </c>
      <c r="AL294" t="s">
        <v>287</v>
      </c>
      <c r="AM294" t="s">
        <v>288</v>
      </c>
      <c r="AN294" t="s">
        <v>289</v>
      </c>
      <c r="AO294" t="s">
        <v>290</v>
      </c>
      <c r="AP294" t="s">
        <v>74</v>
      </c>
      <c r="AQ294" t="s">
        <v>74</v>
      </c>
      <c r="AR294" t="s">
        <v>291</v>
      </c>
      <c r="AS294" t="s">
        <v>292</v>
      </c>
      <c r="AT294" t="s">
        <v>4919</v>
      </c>
      <c r="AU294">
        <v>2023</v>
      </c>
      <c r="AV294">
        <v>10</v>
      </c>
      <c r="AW294">
        <v>2</v>
      </c>
      <c r="AX294" t="s">
        <v>74</v>
      </c>
      <c r="AY294" t="s">
        <v>74</v>
      </c>
      <c r="AZ294" t="s">
        <v>74</v>
      </c>
      <c r="BA294" t="s">
        <v>74</v>
      </c>
      <c r="BB294" t="s">
        <v>74</v>
      </c>
      <c r="BC294" t="s">
        <v>74</v>
      </c>
      <c r="BD294">
        <v>2217641</v>
      </c>
      <c r="BE294" t="s">
        <v>5034</v>
      </c>
      <c r="BF294" t="str">
        <f>HYPERLINK("http://dx.doi.org/10.1080/23311975.2023.2217641","http://dx.doi.org/10.1080/23311975.2023.2217641")</f>
        <v>http://dx.doi.org/10.1080/23311975.2023.2217641</v>
      </c>
      <c r="BG294" t="s">
        <v>74</v>
      </c>
      <c r="BH294" t="s">
        <v>74</v>
      </c>
      <c r="BI294">
        <v>20</v>
      </c>
      <c r="BJ294" t="s">
        <v>294</v>
      </c>
      <c r="BK294" t="s">
        <v>211</v>
      </c>
      <c r="BL294" t="s">
        <v>295</v>
      </c>
      <c r="BM294" t="s">
        <v>5035</v>
      </c>
      <c r="BN294" t="s">
        <v>74</v>
      </c>
      <c r="BO294" t="s">
        <v>126</v>
      </c>
      <c r="BP294" t="s">
        <v>74</v>
      </c>
      <c r="BQ294" t="s">
        <v>74</v>
      </c>
      <c r="BR294" t="s">
        <v>105</v>
      </c>
      <c r="BS294" t="s">
        <v>5036</v>
      </c>
      <c r="BT294" t="str">
        <f>HYPERLINK("https%3A%2F%2Fwww.webofscience.com%2Fwos%2Fwoscc%2Ffull-record%2FWOS:001007547200001","View Full Record in Web of Science")</f>
        <v>View Full Record in Web of Science</v>
      </c>
    </row>
    <row r="295" spans="1:72" x14ac:dyDescent="0.15">
      <c r="A295" t="s">
        <v>72</v>
      </c>
      <c r="B295" t="s">
        <v>5037</v>
      </c>
      <c r="C295" t="s">
        <v>74</v>
      </c>
      <c r="D295" t="s">
        <v>74</v>
      </c>
      <c r="E295" t="s">
        <v>74</v>
      </c>
      <c r="F295" t="s">
        <v>5038</v>
      </c>
      <c r="G295" t="s">
        <v>74</v>
      </c>
      <c r="H295" t="s">
        <v>74</v>
      </c>
      <c r="I295" t="s">
        <v>5039</v>
      </c>
      <c r="J295" t="s">
        <v>944</v>
      </c>
      <c r="K295" t="s">
        <v>74</v>
      </c>
      <c r="L295" t="s">
        <v>74</v>
      </c>
      <c r="M295" t="s">
        <v>78</v>
      </c>
      <c r="N295" t="s">
        <v>79</v>
      </c>
      <c r="O295" t="s">
        <v>74</v>
      </c>
      <c r="P295" t="s">
        <v>74</v>
      </c>
      <c r="Q295" t="s">
        <v>74</v>
      </c>
      <c r="R295" t="s">
        <v>74</v>
      </c>
      <c r="S295" t="s">
        <v>74</v>
      </c>
      <c r="T295" t="s">
        <v>5040</v>
      </c>
      <c r="U295" t="s">
        <v>5041</v>
      </c>
      <c r="V295" t="s">
        <v>5042</v>
      </c>
      <c r="W295" t="s">
        <v>5043</v>
      </c>
      <c r="X295" t="s">
        <v>5044</v>
      </c>
      <c r="Y295" t="s">
        <v>5045</v>
      </c>
      <c r="Z295" t="s">
        <v>5046</v>
      </c>
      <c r="AA295" t="s">
        <v>74</v>
      </c>
      <c r="AB295" t="s">
        <v>5047</v>
      </c>
      <c r="AC295" t="s">
        <v>5048</v>
      </c>
      <c r="AD295" t="s">
        <v>5049</v>
      </c>
      <c r="AE295" t="s">
        <v>5050</v>
      </c>
      <c r="AF295" t="s">
        <v>74</v>
      </c>
      <c r="AG295">
        <v>29</v>
      </c>
      <c r="AH295">
        <v>0</v>
      </c>
      <c r="AI295">
        <v>0</v>
      </c>
      <c r="AJ295">
        <v>5</v>
      </c>
      <c r="AK295">
        <v>5</v>
      </c>
      <c r="AL295" t="s">
        <v>92</v>
      </c>
      <c r="AM295" t="s">
        <v>93</v>
      </c>
      <c r="AN295" t="s">
        <v>94</v>
      </c>
      <c r="AO295" t="s">
        <v>954</v>
      </c>
      <c r="AP295" t="s">
        <v>955</v>
      </c>
      <c r="AQ295" t="s">
        <v>74</v>
      </c>
      <c r="AR295" t="s">
        <v>956</v>
      </c>
      <c r="AS295" t="s">
        <v>957</v>
      </c>
      <c r="AT295" t="s">
        <v>4919</v>
      </c>
      <c r="AU295">
        <v>2023</v>
      </c>
      <c r="AV295">
        <v>55</v>
      </c>
      <c r="AW295">
        <v>1</v>
      </c>
      <c r="AX295" t="s">
        <v>74</v>
      </c>
      <c r="AY295" t="s">
        <v>74</v>
      </c>
      <c r="AZ295" t="s">
        <v>74</v>
      </c>
      <c r="BA295" t="s">
        <v>74</v>
      </c>
      <c r="BB295">
        <v>1346</v>
      </c>
      <c r="BC295">
        <v>1354</v>
      </c>
      <c r="BD295" t="s">
        <v>74</v>
      </c>
      <c r="BE295" t="s">
        <v>5051</v>
      </c>
      <c r="BF295" t="str">
        <f>HYPERLINK("http://dx.doi.org/10.1080/07853890.2023.2192958","http://dx.doi.org/10.1080/07853890.2023.2192958")</f>
        <v>http://dx.doi.org/10.1080/07853890.2023.2192958</v>
      </c>
      <c r="BG295" t="s">
        <v>74</v>
      </c>
      <c r="BH295" t="s">
        <v>74</v>
      </c>
      <c r="BI295">
        <v>9</v>
      </c>
      <c r="BJ295" t="s">
        <v>663</v>
      </c>
      <c r="BK295" t="s">
        <v>102</v>
      </c>
      <c r="BL295" t="s">
        <v>664</v>
      </c>
      <c r="BM295" t="s">
        <v>5052</v>
      </c>
      <c r="BN295">
        <v>36995151</v>
      </c>
      <c r="BO295" t="s">
        <v>104</v>
      </c>
      <c r="BP295" t="s">
        <v>74</v>
      </c>
      <c r="BQ295" t="s">
        <v>74</v>
      </c>
      <c r="BR295" t="s">
        <v>105</v>
      </c>
      <c r="BS295" t="s">
        <v>5053</v>
      </c>
      <c r="BT295" t="str">
        <f>HYPERLINK("https%3A%2F%2Fwww.webofscience.com%2Fwos%2Fwoscc%2Ffull-record%2FWOS:000961052900001","View Full Record in Web of Science")</f>
        <v>View Full Record in Web of Science</v>
      </c>
    </row>
    <row r="296" spans="1:72" x14ac:dyDescent="0.15">
      <c r="A296" t="s">
        <v>72</v>
      </c>
      <c r="B296" t="s">
        <v>5054</v>
      </c>
      <c r="C296" t="s">
        <v>74</v>
      </c>
      <c r="D296" t="s">
        <v>74</v>
      </c>
      <c r="E296" t="s">
        <v>74</v>
      </c>
      <c r="F296" t="s">
        <v>5055</v>
      </c>
      <c r="G296" t="s">
        <v>74</v>
      </c>
      <c r="H296" t="s">
        <v>74</v>
      </c>
      <c r="I296" t="s">
        <v>5056</v>
      </c>
      <c r="J296" t="s">
        <v>944</v>
      </c>
      <c r="K296" t="s">
        <v>74</v>
      </c>
      <c r="L296" t="s">
        <v>74</v>
      </c>
      <c r="M296" t="s">
        <v>78</v>
      </c>
      <c r="N296" t="s">
        <v>79</v>
      </c>
      <c r="O296" t="s">
        <v>74</v>
      </c>
      <c r="P296" t="s">
        <v>74</v>
      </c>
      <c r="Q296" t="s">
        <v>74</v>
      </c>
      <c r="R296" t="s">
        <v>74</v>
      </c>
      <c r="S296" t="s">
        <v>74</v>
      </c>
      <c r="T296" t="s">
        <v>5057</v>
      </c>
      <c r="U296" t="s">
        <v>5058</v>
      </c>
      <c r="V296" t="s">
        <v>5059</v>
      </c>
      <c r="W296" t="s">
        <v>5060</v>
      </c>
      <c r="X296" t="s">
        <v>5061</v>
      </c>
      <c r="Y296" t="s">
        <v>5062</v>
      </c>
      <c r="Z296" t="s">
        <v>5063</v>
      </c>
      <c r="AA296" t="s">
        <v>74</v>
      </c>
      <c r="AB296" t="s">
        <v>74</v>
      </c>
      <c r="AC296" t="s">
        <v>5064</v>
      </c>
      <c r="AD296" t="s">
        <v>5065</v>
      </c>
      <c r="AE296" t="s">
        <v>5066</v>
      </c>
      <c r="AF296" t="s">
        <v>74</v>
      </c>
      <c r="AG296">
        <v>44</v>
      </c>
      <c r="AH296">
        <v>0</v>
      </c>
      <c r="AI296">
        <v>0</v>
      </c>
      <c r="AJ296">
        <v>13</v>
      </c>
      <c r="AK296">
        <v>13</v>
      </c>
      <c r="AL296" t="s">
        <v>92</v>
      </c>
      <c r="AM296" t="s">
        <v>93</v>
      </c>
      <c r="AN296" t="s">
        <v>94</v>
      </c>
      <c r="AO296" t="s">
        <v>954</v>
      </c>
      <c r="AP296" t="s">
        <v>955</v>
      </c>
      <c r="AQ296" t="s">
        <v>74</v>
      </c>
      <c r="AR296" t="s">
        <v>956</v>
      </c>
      <c r="AS296" t="s">
        <v>957</v>
      </c>
      <c r="AT296" t="s">
        <v>4919</v>
      </c>
      <c r="AU296">
        <v>2023</v>
      </c>
      <c r="AV296">
        <v>55</v>
      </c>
      <c r="AW296">
        <v>1</v>
      </c>
      <c r="AX296" t="s">
        <v>74</v>
      </c>
      <c r="AY296" t="s">
        <v>74</v>
      </c>
      <c r="AZ296" t="s">
        <v>74</v>
      </c>
      <c r="BA296" t="s">
        <v>74</v>
      </c>
      <c r="BB296" t="s">
        <v>74</v>
      </c>
      <c r="BC296" t="s">
        <v>74</v>
      </c>
      <c r="BD296">
        <v>2227844</v>
      </c>
      <c r="BE296" t="s">
        <v>5067</v>
      </c>
      <c r="BF296" t="str">
        <f>HYPERLINK("http://dx.doi.org/10.1080/07853890.2023.2227844","http://dx.doi.org/10.1080/07853890.2023.2227844")</f>
        <v>http://dx.doi.org/10.1080/07853890.2023.2227844</v>
      </c>
      <c r="BG296" t="s">
        <v>74</v>
      </c>
      <c r="BH296" t="s">
        <v>74</v>
      </c>
      <c r="BI296">
        <v>11</v>
      </c>
      <c r="BJ296" t="s">
        <v>663</v>
      </c>
      <c r="BK296" t="s">
        <v>102</v>
      </c>
      <c r="BL296" t="s">
        <v>664</v>
      </c>
      <c r="BM296" t="s">
        <v>5068</v>
      </c>
      <c r="BN296">
        <v>37354023</v>
      </c>
      <c r="BO296" t="s">
        <v>165</v>
      </c>
      <c r="BP296" t="s">
        <v>74</v>
      </c>
      <c r="BQ296" t="s">
        <v>74</v>
      </c>
      <c r="BR296" t="s">
        <v>105</v>
      </c>
      <c r="BS296" t="s">
        <v>5069</v>
      </c>
      <c r="BT296" t="str">
        <f>HYPERLINK("https%3A%2F%2Fwww.webofscience.com%2Fwos%2Fwoscc%2Ffull-record%2FWOS:001013256800001","View Full Record in Web of Science")</f>
        <v>View Full Record in Web of Science</v>
      </c>
    </row>
    <row r="297" spans="1:72" x14ac:dyDescent="0.15">
      <c r="A297" t="s">
        <v>72</v>
      </c>
      <c r="B297" t="s">
        <v>5070</v>
      </c>
      <c r="C297" t="s">
        <v>74</v>
      </c>
      <c r="D297" t="s">
        <v>74</v>
      </c>
      <c r="E297" t="s">
        <v>74</v>
      </c>
      <c r="F297" t="s">
        <v>5071</v>
      </c>
      <c r="G297" t="s">
        <v>74</v>
      </c>
      <c r="H297" t="s">
        <v>74</v>
      </c>
      <c r="I297" t="s">
        <v>5072</v>
      </c>
      <c r="J297" t="s">
        <v>278</v>
      </c>
      <c r="K297" t="s">
        <v>74</v>
      </c>
      <c r="L297" t="s">
        <v>74</v>
      </c>
      <c r="M297" t="s">
        <v>78</v>
      </c>
      <c r="N297" t="s">
        <v>79</v>
      </c>
      <c r="O297" t="s">
        <v>74</v>
      </c>
      <c r="P297" t="s">
        <v>74</v>
      </c>
      <c r="Q297" t="s">
        <v>74</v>
      </c>
      <c r="R297" t="s">
        <v>74</v>
      </c>
      <c r="S297" t="s">
        <v>74</v>
      </c>
      <c r="T297" t="s">
        <v>5073</v>
      </c>
      <c r="U297" t="s">
        <v>5074</v>
      </c>
      <c r="V297" t="s">
        <v>5075</v>
      </c>
      <c r="W297" t="s">
        <v>5076</v>
      </c>
      <c r="X297" t="s">
        <v>5077</v>
      </c>
      <c r="Y297" t="s">
        <v>5078</v>
      </c>
      <c r="Z297" t="s">
        <v>5079</v>
      </c>
      <c r="AA297" t="s">
        <v>74</v>
      </c>
      <c r="AB297" t="s">
        <v>74</v>
      </c>
      <c r="AC297" t="s">
        <v>74</v>
      </c>
      <c r="AD297" t="s">
        <v>74</v>
      </c>
      <c r="AE297" t="s">
        <v>74</v>
      </c>
      <c r="AF297" t="s">
        <v>74</v>
      </c>
      <c r="AG297">
        <v>71</v>
      </c>
      <c r="AH297">
        <v>1</v>
      </c>
      <c r="AI297">
        <v>1</v>
      </c>
      <c r="AJ297">
        <v>12</v>
      </c>
      <c r="AK297">
        <v>12</v>
      </c>
      <c r="AL297" t="s">
        <v>287</v>
      </c>
      <c r="AM297" t="s">
        <v>288</v>
      </c>
      <c r="AN297" t="s">
        <v>289</v>
      </c>
      <c r="AO297" t="s">
        <v>290</v>
      </c>
      <c r="AP297" t="s">
        <v>74</v>
      </c>
      <c r="AQ297" t="s">
        <v>74</v>
      </c>
      <c r="AR297" t="s">
        <v>291</v>
      </c>
      <c r="AS297" t="s">
        <v>292</v>
      </c>
      <c r="AT297" t="s">
        <v>4919</v>
      </c>
      <c r="AU297">
        <v>2023</v>
      </c>
      <c r="AV297">
        <v>10</v>
      </c>
      <c r="AW297">
        <v>2</v>
      </c>
      <c r="AX297" t="s">
        <v>74</v>
      </c>
      <c r="AY297" t="s">
        <v>74</v>
      </c>
      <c r="AZ297" t="s">
        <v>74</v>
      </c>
      <c r="BA297" t="s">
        <v>74</v>
      </c>
      <c r="BB297" t="s">
        <v>74</v>
      </c>
      <c r="BC297" t="s">
        <v>74</v>
      </c>
      <c r="BD297">
        <v>2204592</v>
      </c>
      <c r="BE297" t="s">
        <v>5080</v>
      </c>
      <c r="BF297" t="str">
        <f>HYPERLINK("http://dx.doi.org/10.1080/23311975.2023.2204592","http://dx.doi.org/10.1080/23311975.2023.2204592")</f>
        <v>http://dx.doi.org/10.1080/23311975.2023.2204592</v>
      </c>
      <c r="BG297" t="s">
        <v>74</v>
      </c>
      <c r="BH297" t="s">
        <v>74</v>
      </c>
      <c r="BI297">
        <v>18</v>
      </c>
      <c r="BJ297" t="s">
        <v>294</v>
      </c>
      <c r="BK297" t="s">
        <v>211</v>
      </c>
      <c r="BL297" t="s">
        <v>295</v>
      </c>
      <c r="BM297" t="s">
        <v>5081</v>
      </c>
      <c r="BN297" t="s">
        <v>74</v>
      </c>
      <c r="BO297" t="s">
        <v>126</v>
      </c>
      <c r="BP297" t="s">
        <v>74</v>
      </c>
      <c r="BQ297" t="s">
        <v>74</v>
      </c>
      <c r="BR297" t="s">
        <v>105</v>
      </c>
      <c r="BS297" t="s">
        <v>5082</v>
      </c>
      <c r="BT297" t="str">
        <f>HYPERLINK("https%3A%2F%2Fwww.webofscience.com%2Fwos%2Fwoscc%2Ffull-record%2FWOS:000981242700001","View Full Record in Web of Science")</f>
        <v>View Full Record in Web of Science</v>
      </c>
    </row>
    <row r="298" spans="1:72" x14ac:dyDescent="0.15">
      <c r="A298" t="s">
        <v>72</v>
      </c>
      <c r="B298" t="s">
        <v>5083</v>
      </c>
      <c r="C298" t="s">
        <v>74</v>
      </c>
      <c r="D298" t="s">
        <v>74</v>
      </c>
      <c r="E298" t="s">
        <v>74</v>
      </c>
      <c r="F298" t="s">
        <v>5084</v>
      </c>
      <c r="G298" t="s">
        <v>74</v>
      </c>
      <c r="H298" t="s">
        <v>74</v>
      </c>
      <c r="I298" t="s">
        <v>5085</v>
      </c>
      <c r="J298" t="s">
        <v>717</v>
      </c>
      <c r="K298" t="s">
        <v>74</v>
      </c>
      <c r="L298" t="s">
        <v>74</v>
      </c>
      <c r="M298" t="s">
        <v>78</v>
      </c>
      <c r="N298" t="s">
        <v>171</v>
      </c>
      <c r="O298" t="s">
        <v>74</v>
      </c>
      <c r="P298" t="s">
        <v>74</v>
      </c>
      <c r="Q298" t="s">
        <v>74</v>
      </c>
      <c r="R298" t="s">
        <v>74</v>
      </c>
      <c r="S298" t="s">
        <v>74</v>
      </c>
      <c r="T298" t="s">
        <v>5086</v>
      </c>
      <c r="U298" t="s">
        <v>5087</v>
      </c>
      <c r="V298" t="s">
        <v>5088</v>
      </c>
      <c r="W298" t="s">
        <v>5089</v>
      </c>
      <c r="X298" t="s">
        <v>5090</v>
      </c>
      <c r="Y298" t="s">
        <v>5091</v>
      </c>
      <c r="Z298" t="s">
        <v>5092</v>
      </c>
      <c r="AA298" t="s">
        <v>5093</v>
      </c>
      <c r="AB298" t="s">
        <v>5094</v>
      </c>
      <c r="AC298" t="s">
        <v>5095</v>
      </c>
      <c r="AD298" t="s">
        <v>5095</v>
      </c>
      <c r="AE298" t="s">
        <v>5096</v>
      </c>
      <c r="AF298" t="s">
        <v>74</v>
      </c>
      <c r="AG298">
        <v>99</v>
      </c>
      <c r="AH298">
        <v>0</v>
      </c>
      <c r="AI298">
        <v>0</v>
      </c>
      <c r="AJ298">
        <v>1</v>
      </c>
      <c r="AK298">
        <v>1</v>
      </c>
      <c r="AL298" t="s">
        <v>287</v>
      </c>
      <c r="AM298" t="s">
        <v>288</v>
      </c>
      <c r="AN298" t="s">
        <v>289</v>
      </c>
      <c r="AO298" t="s">
        <v>727</v>
      </c>
      <c r="AP298" t="s">
        <v>74</v>
      </c>
      <c r="AQ298" t="s">
        <v>74</v>
      </c>
      <c r="AR298" t="s">
        <v>728</v>
      </c>
      <c r="AS298" t="s">
        <v>729</v>
      </c>
      <c r="AT298" t="s">
        <v>5097</v>
      </c>
      <c r="AU298">
        <v>2023</v>
      </c>
      <c r="AV298">
        <v>10</v>
      </c>
      <c r="AW298">
        <v>2</v>
      </c>
      <c r="AX298" t="s">
        <v>74</v>
      </c>
      <c r="AY298" t="s">
        <v>74</v>
      </c>
      <c r="AZ298" t="s">
        <v>74</v>
      </c>
      <c r="BA298" t="s">
        <v>74</v>
      </c>
      <c r="BB298" t="s">
        <v>74</v>
      </c>
      <c r="BC298" t="s">
        <v>74</v>
      </c>
      <c r="BD298">
        <v>2248843</v>
      </c>
      <c r="BE298" t="s">
        <v>5098</v>
      </c>
      <c r="BF298" t="str">
        <f>HYPERLINK("http://dx.doi.org/10.1080/2331186X.2023.2248843","http://dx.doi.org/10.1080/2331186X.2023.2248843")</f>
        <v>http://dx.doi.org/10.1080/2331186X.2023.2248843</v>
      </c>
      <c r="BG298" t="s">
        <v>74</v>
      </c>
      <c r="BH298" t="s">
        <v>74</v>
      </c>
      <c r="BI298">
        <v>17</v>
      </c>
      <c r="BJ298" t="s">
        <v>271</v>
      </c>
      <c r="BK298" t="s">
        <v>211</v>
      </c>
      <c r="BL298" t="s">
        <v>271</v>
      </c>
      <c r="BM298" t="s">
        <v>5099</v>
      </c>
      <c r="BN298" t="s">
        <v>74</v>
      </c>
      <c r="BO298" t="s">
        <v>126</v>
      </c>
      <c r="BP298" t="s">
        <v>74</v>
      </c>
      <c r="BQ298" t="s">
        <v>74</v>
      </c>
      <c r="BR298" t="s">
        <v>105</v>
      </c>
      <c r="BS298" t="s">
        <v>5100</v>
      </c>
      <c r="BT298" t="str">
        <f>HYPERLINK("https%3A%2F%2Fwww.webofscience.com%2Fwos%2Fwoscc%2Ffull-record%2FWOS:001057961600001","View Full Record in Web of Science")</f>
        <v>View Full Record in Web of Science</v>
      </c>
    </row>
    <row r="299" spans="1:72" x14ac:dyDescent="0.15">
      <c r="A299" t="s">
        <v>72</v>
      </c>
      <c r="B299" t="s">
        <v>5101</v>
      </c>
      <c r="C299" t="s">
        <v>74</v>
      </c>
      <c r="D299" t="s">
        <v>74</v>
      </c>
      <c r="E299" t="s">
        <v>74</v>
      </c>
      <c r="F299" t="s">
        <v>5102</v>
      </c>
      <c r="G299" t="s">
        <v>74</v>
      </c>
      <c r="H299" t="s">
        <v>74</v>
      </c>
      <c r="I299" t="s">
        <v>5103</v>
      </c>
      <c r="J299" t="s">
        <v>278</v>
      </c>
      <c r="K299" t="s">
        <v>74</v>
      </c>
      <c r="L299" t="s">
        <v>74</v>
      </c>
      <c r="M299" t="s">
        <v>78</v>
      </c>
      <c r="N299" t="s">
        <v>79</v>
      </c>
      <c r="O299" t="s">
        <v>74</v>
      </c>
      <c r="P299" t="s">
        <v>74</v>
      </c>
      <c r="Q299" t="s">
        <v>74</v>
      </c>
      <c r="R299" t="s">
        <v>74</v>
      </c>
      <c r="S299" t="s">
        <v>74</v>
      </c>
      <c r="T299" t="s">
        <v>5104</v>
      </c>
      <c r="U299" t="s">
        <v>5105</v>
      </c>
      <c r="V299" t="s">
        <v>5106</v>
      </c>
      <c r="W299" t="s">
        <v>5107</v>
      </c>
      <c r="X299" t="s">
        <v>74</v>
      </c>
      <c r="Y299" t="s">
        <v>5108</v>
      </c>
      <c r="Z299" t="s">
        <v>5109</v>
      </c>
      <c r="AA299" t="s">
        <v>74</v>
      </c>
      <c r="AB299" t="s">
        <v>74</v>
      </c>
      <c r="AC299" t="s">
        <v>74</v>
      </c>
      <c r="AD299" t="s">
        <v>74</v>
      </c>
      <c r="AE299" t="s">
        <v>74</v>
      </c>
      <c r="AF299" t="s">
        <v>74</v>
      </c>
      <c r="AG299">
        <v>56</v>
      </c>
      <c r="AH299">
        <v>0</v>
      </c>
      <c r="AI299">
        <v>0</v>
      </c>
      <c r="AJ299">
        <v>0</v>
      </c>
      <c r="AK299">
        <v>0</v>
      </c>
      <c r="AL299" t="s">
        <v>287</v>
      </c>
      <c r="AM299" t="s">
        <v>288</v>
      </c>
      <c r="AN299" t="s">
        <v>289</v>
      </c>
      <c r="AO299" t="s">
        <v>290</v>
      </c>
      <c r="AP299" t="s">
        <v>74</v>
      </c>
      <c r="AQ299" t="s">
        <v>74</v>
      </c>
      <c r="AR299" t="s">
        <v>291</v>
      </c>
      <c r="AS299" t="s">
        <v>292</v>
      </c>
      <c r="AT299" t="s">
        <v>5097</v>
      </c>
      <c r="AU299">
        <v>2023</v>
      </c>
      <c r="AV299">
        <v>10</v>
      </c>
      <c r="AW299">
        <v>3</v>
      </c>
      <c r="AX299" t="s">
        <v>74</v>
      </c>
      <c r="AY299" t="s">
        <v>74</v>
      </c>
      <c r="AZ299" t="s">
        <v>74</v>
      </c>
      <c r="BA299" t="s">
        <v>74</v>
      </c>
      <c r="BB299" t="s">
        <v>74</v>
      </c>
      <c r="BC299" t="s">
        <v>74</v>
      </c>
      <c r="BD299">
        <v>2259615</v>
      </c>
      <c r="BE299" t="s">
        <v>5110</v>
      </c>
      <c r="BF299" t="str">
        <f>HYPERLINK("http://dx.doi.org/10.1080/23311975.2023.2259615","http://dx.doi.org/10.1080/23311975.2023.2259615")</f>
        <v>http://dx.doi.org/10.1080/23311975.2023.2259615</v>
      </c>
      <c r="BG299" t="s">
        <v>74</v>
      </c>
      <c r="BH299" t="s">
        <v>74</v>
      </c>
      <c r="BI299">
        <v>18</v>
      </c>
      <c r="BJ299" t="s">
        <v>294</v>
      </c>
      <c r="BK299" t="s">
        <v>211</v>
      </c>
      <c r="BL299" t="s">
        <v>295</v>
      </c>
      <c r="BM299" t="s">
        <v>5111</v>
      </c>
      <c r="BN299" t="s">
        <v>74</v>
      </c>
      <c r="BO299" t="s">
        <v>126</v>
      </c>
      <c r="BP299" t="s">
        <v>74</v>
      </c>
      <c r="BQ299" t="s">
        <v>74</v>
      </c>
      <c r="BR299" t="s">
        <v>105</v>
      </c>
      <c r="BS299" t="s">
        <v>5112</v>
      </c>
      <c r="BT299" t="str">
        <f>HYPERLINK("https%3A%2F%2Fwww.webofscience.com%2Fwos%2Fwoscc%2Ffull-record%2FWOS:001069230400001","View Full Record in Web of Science")</f>
        <v>View Full Record in Web of Science</v>
      </c>
    </row>
    <row r="300" spans="1:72" x14ac:dyDescent="0.15">
      <c r="A300" t="s">
        <v>72</v>
      </c>
      <c r="B300" t="s">
        <v>5113</v>
      </c>
      <c r="C300" t="s">
        <v>74</v>
      </c>
      <c r="D300" t="s">
        <v>74</v>
      </c>
      <c r="E300" t="s">
        <v>74</v>
      </c>
      <c r="F300" t="s">
        <v>5114</v>
      </c>
      <c r="G300" t="s">
        <v>74</v>
      </c>
      <c r="H300" t="s">
        <v>74</v>
      </c>
      <c r="I300" t="s">
        <v>5115</v>
      </c>
      <c r="J300" t="s">
        <v>736</v>
      </c>
      <c r="K300" t="s">
        <v>74</v>
      </c>
      <c r="L300" t="s">
        <v>74</v>
      </c>
      <c r="M300" t="s">
        <v>78</v>
      </c>
      <c r="N300" t="s">
        <v>79</v>
      </c>
      <c r="O300" t="s">
        <v>74</v>
      </c>
      <c r="P300" t="s">
        <v>74</v>
      </c>
      <c r="Q300" t="s">
        <v>74</v>
      </c>
      <c r="R300" t="s">
        <v>74</v>
      </c>
      <c r="S300" t="s">
        <v>74</v>
      </c>
      <c r="T300" t="s">
        <v>5116</v>
      </c>
      <c r="U300" t="s">
        <v>74</v>
      </c>
      <c r="V300" t="s">
        <v>5117</v>
      </c>
      <c r="W300" t="s">
        <v>5118</v>
      </c>
      <c r="X300" t="s">
        <v>5119</v>
      </c>
      <c r="Y300" t="s">
        <v>5120</v>
      </c>
      <c r="Z300" t="s">
        <v>5121</v>
      </c>
      <c r="AA300" t="s">
        <v>74</v>
      </c>
      <c r="AB300" t="s">
        <v>5122</v>
      </c>
      <c r="AC300" t="s">
        <v>5123</v>
      </c>
      <c r="AD300" t="s">
        <v>5124</v>
      </c>
      <c r="AE300" t="s">
        <v>5125</v>
      </c>
      <c r="AF300" t="s">
        <v>74</v>
      </c>
      <c r="AG300">
        <v>47</v>
      </c>
      <c r="AH300">
        <v>0</v>
      </c>
      <c r="AI300">
        <v>0</v>
      </c>
      <c r="AJ300">
        <v>1</v>
      </c>
      <c r="AK300">
        <v>1</v>
      </c>
      <c r="AL300" t="s">
        <v>92</v>
      </c>
      <c r="AM300" t="s">
        <v>93</v>
      </c>
      <c r="AN300" t="s">
        <v>94</v>
      </c>
      <c r="AO300" t="s">
        <v>74</v>
      </c>
      <c r="AP300" t="s">
        <v>748</v>
      </c>
      <c r="AQ300" t="s">
        <v>74</v>
      </c>
      <c r="AR300" t="s">
        <v>749</v>
      </c>
      <c r="AS300" t="s">
        <v>750</v>
      </c>
      <c r="AT300" t="s">
        <v>5126</v>
      </c>
      <c r="AU300">
        <v>2023</v>
      </c>
      <c r="AV300">
        <v>12</v>
      </c>
      <c r="AW300">
        <v>2</v>
      </c>
      <c r="AX300" t="s">
        <v>74</v>
      </c>
      <c r="AY300" t="s">
        <v>74</v>
      </c>
      <c r="AZ300" t="s">
        <v>74</v>
      </c>
      <c r="BA300" t="s">
        <v>74</v>
      </c>
      <c r="BB300" t="s">
        <v>74</v>
      </c>
      <c r="BC300" t="s">
        <v>74</v>
      </c>
      <c r="BD300">
        <v>2228934</v>
      </c>
      <c r="BE300" t="s">
        <v>5127</v>
      </c>
      <c r="BF300" t="str">
        <f>HYPERLINK("http://dx.doi.org/10.1080/22221751.2023.2228934","http://dx.doi.org/10.1080/22221751.2023.2228934")</f>
        <v>http://dx.doi.org/10.1080/22221751.2023.2228934</v>
      </c>
      <c r="BG300" t="s">
        <v>74</v>
      </c>
      <c r="BH300" t="s">
        <v>74</v>
      </c>
      <c r="BI300">
        <v>13</v>
      </c>
      <c r="BJ300" t="s">
        <v>752</v>
      </c>
      <c r="BK300" t="s">
        <v>102</v>
      </c>
      <c r="BL300" t="s">
        <v>752</v>
      </c>
      <c r="BM300" t="s">
        <v>5128</v>
      </c>
      <c r="BN300">
        <v>37345516</v>
      </c>
      <c r="BO300" t="s">
        <v>104</v>
      </c>
      <c r="BP300" t="s">
        <v>74</v>
      </c>
      <c r="BQ300" t="s">
        <v>74</v>
      </c>
      <c r="BR300" t="s">
        <v>105</v>
      </c>
      <c r="BS300" t="s">
        <v>5129</v>
      </c>
      <c r="BT300" t="str">
        <f>HYPERLINK("https%3A%2F%2Fwww.webofscience.com%2Fwos%2Fwoscc%2Ffull-record%2FWOS:001019552400001","View Full Record in Web of Science")</f>
        <v>View Full Record in Web of Science</v>
      </c>
    </row>
    <row r="301" spans="1:72" x14ac:dyDescent="0.15">
      <c r="A301" t="s">
        <v>72</v>
      </c>
      <c r="B301" t="s">
        <v>5130</v>
      </c>
      <c r="C301" t="s">
        <v>74</v>
      </c>
      <c r="D301" t="s">
        <v>74</v>
      </c>
      <c r="E301" t="s">
        <v>74</v>
      </c>
      <c r="F301" t="s">
        <v>5131</v>
      </c>
      <c r="G301" t="s">
        <v>74</v>
      </c>
      <c r="H301" t="s">
        <v>74</v>
      </c>
      <c r="I301" t="s">
        <v>5132</v>
      </c>
      <c r="J301" t="s">
        <v>736</v>
      </c>
      <c r="K301" t="s">
        <v>74</v>
      </c>
      <c r="L301" t="s">
        <v>74</v>
      </c>
      <c r="M301" t="s">
        <v>78</v>
      </c>
      <c r="N301" t="s">
        <v>1697</v>
      </c>
      <c r="O301" t="s">
        <v>74</v>
      </c>
      <c r="P301" t="s">
        <v>74</v>
      </c>
      <c r="Q301" t="s">
        <v>74</v>
      </c>
      <c r="R301" t="s">
        <v>74</v>
      </c>
      <c r="S301" t="s">
        <v>74</v>
      </c>
      <c r="T301" t="s">
        <v>74</v>
      </c>
      <c r="U301" t="s">
        <v>5133</v>
      </c>
      <c r="V301" t="s">
        <v>74</v>
      </c>
      <c r="W301" t="s">
        <v>5134</v>
      </c>
      <c r="X301" t="s">
        <v>5135</v>
      </c>
      <c r="Y301" t="s">
        <v>5136</v>
      </c>
      <c r="Z301" t="s">
        <v>5137</v>
      </c>
      <c r="AA301" t="s">
        <v>74</v>
      </c>
      <c r="AB301" t="s">
        <v>74</v>
      </c>
      <c r="AC301" t="s">
        <v>5138</v>
      </c>
      <c r="AD301" t="s">
        <v>1368</v>
      </c>
      <c r="AE301" t="s">
        <v>5139</v>
      </c>
      <c r="AF301" t="s">
        <v>74</v>
      </c>
      <c r="AG301">
        <v>12</v>
      </c>
      <c r="AH301">
        <v>0</v>
      </c>
      <c r="AI301">
        <v>0</v>
      </c>
      <c r="AJ301">
        <v>1</v>
      </c>
      <c r="AK301">
        <v>1</v>
      </c>
      <c r="AL301" t="s">
        <v>92</v>
      </c>
      <c r="AM301" t="s">
        <v>93</v>
      </c>
      <c r="AN301" t="s">
        <v>94</v>
      </c>
      <c r="AO301" t="s">
        <v>74</v>
      </c>
      <c r="AP301" t="s">
        <v>748</v>
      </c>
      <c r="AQ301" t="s">
        <v>74</v>
      </c>
      <c r="AR301" t="s">
        <v>749</v>
      </c>
      <c r="AS301" t="s">
        <v>750</v>
      </c>
      <c r="AT301" t="s">
        <v>5126</v>
      </c>
      <c r="AU301">
        <v>2023</v>
      </c>
      <c r="AV301">
        <v>12</v>
      </c>
      <c r="AW301">
        <v>2</v>
      </c>
      <c r="AX301" t="s">
        <v>74</v>
      </c>
      <c r="AY301" t="s">
        <v>74</v>
      </c>
      <c r="AZ301" t="s">
        <v>74</v>
      </c>
      <c r="BA301" t="s">
        <v>74</v>
      </c>
      <c r="BB301" t="s">
        <v>74</v>
      </c>
      <c r="BC301" t="s">
        <v>74</v>
      </c>
      <c r="BD301">
        <v>2231567</v>
      </c>
      <c r="BE301" t="s">
        <v>5140</v>
      </c>
      <c r="BF301" t="str">
        <f>HYPERLINK("http://dx.doi.org/10.1080/22221751.2023.2231567","http://dx.doi.org/10.1080/22221751.2023.2231567")</f>
        <v>http://dx.doi.org/10.1080/22221751.2023.2231567</v>
      </c>
      <c r="BG301" t="s">
        <v>74</v>
      </c>
      <c r="BH301" t="s">
        <v>74</v>
      </c>
      <c r="BI301">
        <v>3</v>
      </c>
      <c r="BJ301" t="s">
        <v>752</v>
      </c>
      <c r="BK301" t="s">
        <v>102</v>
      </c>
      <c r="BL301" t="s">
        <v>752</v>
      </c>
      <c r="BM301" t="s">
        <v>5141</v>
      </c>
      <c r="BN301">
        <v>37395078</v>
      </c>
      <c r="BO301" t="s">
        <v>1474</v>
      </c>
      <c r="BP301" t="s">
        <v>74</v>
      </c>
      <c r="BQ301" t="s">
        <v>74</v>
      </c>
      <c r="BR301" t="s">
        <v>105</v>
      </c>
      <c r="BS301" t="s">
        <v>5142</v>
      </c>
      <c r="BT301" t="str">
        <f>HYPERLINK("https%3A%2F%2Fwww.webofscience.com%2Fwos%2Fwoscc%2Ffull-record%2FWOS:001022603600001","View Full Record in Web of Science")</f>
        <v>View Full Record in Web of Science</v>
      </c>
    </row>
    <row r="302" spans="1:72" x14ac:dyDescent="0.15">
      <c r="A302" t="s">
        <v>72</v>
      </c>
      <c r="B302" t="s">
        <v>5143</v>
      </c>
      <c r="C302" t="s">
        <v>74</v>
      </c>
      <c r="D302" t="s">
        <v>74</v>
      </c>
      <c r="E302" t="s">
        <v>74</v>
      </c>
      <c r="F302" t="s">
        <v>5144</v>
      </c>
      <c r="G302" t="s">
        <v>74</v>
      </c>
      <c r="H302" t="s">
        <v>74</v>
      </c>
      <c r="I302" t="s">
        <v>5145</v>
      </c>
      <c r="J302" t="s">
        <v>5146</v>
      </c>
      <c r="K302" t="s">
        <v>74</v>
      </c>
      <c r="L302" t="s">
        <v>74</v>
      </c>
      <c r="M302" t="s">
        <v>78</v>
      </c>
      <c r="N302" t="s">
        <v>79</v>
      </c>
      <c r="O302" t="s">
        <v>74</v>
      </c>
      <c r="P302" t="s">
        <v>74</v>
      </c>
      <c r="Q302" t="s">
        <v>74</v>
      </c>
      <c r="R302" t="s">
        <v>74</v>
      </c>
      <c r="S302" t="s">
        <v>74</v>
      </c>
      <c r="T302" t="s">
        <v>5147</v>
      </c>
      <c r="U302" t="s">
        <v>5148</v>
      </c>
      <c r="V302" t="s">
        <v>5149</v>
      </c>
      <c r="W302" t="s">
        <v>5150</v>
      </c>
      <c r="X302" t="s">
        <v>5151</v>
      </c>
      <c r="Y302" t="s">
        <v>5152</v>
      </c>
      <c r="Z302" t="s">
        <v>5153</v>
      </c>
      <c r="AA302" t="s">
        <v>74</v>
      </c>
      <c r="AB302" t="s">
        <v>74</v>
      </c>
      <c r="AC302" t="s">
        <v>5154</v>
      </c>
      <c r="AD302" t="s">
        <v>5154</v>
      </c>
      <c r="AE302" t="s">
        <v>5155</v>
      </c>
      <c r="AF302" t="s">
        <v>74</v>
      </c>
      <c r="AG302">
        <v>80</v>
      </c>
      <c r="AH302">
        <v>0</v>
      </c>
      <c r="AI302">
        <v>0</v>
      </c>
      <c r="AJ302">
        <v>9</v>
      </c>
      <c r="AK302">
        <v>9</v>
      </c>
      <c r="AL302" t="s">
        <v>92</v>
      </c>
      <c r="AM302" t="s">
        <v>93</v>
      </c>
      <c r="AN302" t="s">
        <v>94</v>
      </c>
      <c r="AO302" t="s">
        <v>5156</v>
      </c>
      <c r="AP302" t="s">
        <v>5157</v>
      </c>
      <c r="AQ302" t="s">
        <v>74</v>
      </c>
      <c r="AR302" t="s">
        <v>5158</v>
      </c>
      <c r="AS302" t="s">
        <v>5159</v>
      </c>
      <c r="AT302" t="s">
        <v>5160</v>
      </c>
      <c r="AU302">
        <v>2023</v>
      </c>
      <c r="AV302">
        <v>24</v>
      </c>
      <c r="AW302">
        <v>1</v>
      </c>
      <c r="AX302" t="s">
        <v>74</v>
      </c>
      <c r="AY302" t="s">
        <v>74</v>
      </c>
      <c r="AZ302" t="s">
        <v>74</v>
      </c>
      <c r="BA302" t="s">
        <v>74</v>
      </c>
      <c r="BB302" t="s">
        <v>74</v>
      </c>
      <c r="BC302" t="s">
        <v>74</v>
      </c>
      <c r="BD302">
        <v>2241962</v>
      </c>
      <c r="BE302" t="s">
        <v>5161</v>
      </c>
      <c r="BF302" t="str">
        <f>HYPERLINK("http://dx.doi.org/10.1080/10298436.2023.2241962","http://dx.doi.org/10.1080/10298436.2023.2241962")</f>
        <v>http://dx.doi.org/10.1080/10298436.2023.2241962</v>
      </c>
      <c r="BG302" t="s">
        <v>74</v>
      </c>
      <c r="BH302" t="s">
        <v>74</v>
      </c>
      <c r="BI302">
        <v>26</v>
      </c>
      <c r="BJ302" t="s">
        <v>5162</v>
      </c>
      <c r="BK302" t="s">
        <v>102</v>
      </c>
      <c r="BL302" t="s">
        <v>5163</v>
      </c>
      <c r="BM302" t="s">
        <v>5164</v>
      </c>
      <c r="BN302" t="s">
        <v>74</v>
      </c>
      <c r="BO302" t="s">
        <v>74</v>
      </c>
      <c r="BP302" t="s">
        <v>74</v>
      </c>
      <c r="BQ302" t="s">
        <v>74</v>
      </c>
      <c r="BR302" t="s">
        <v>105</v>
      </c>
      <c r="BS302" t="s">
        <v>5165</v>
      </c>
      <c r="BT302" t="str">
        <f>HYPERLINK("https%3A%2F%2Fwww.webofscience.com%2Fwos%2Fwoscc%2Ffull-record%2FWOS:001042387300001","View Full Record in Web of Science")</f>
        <v>View Full Record in Web of Science</v>
      </c>
    </row>
    <row r="303" spans="1:72" x14ac:dyDescent="0.15">
      <c r="A303" t="s">
        <v>72</v>
      </c>
      <c r="B303" t="s">
        <v>5166</v>
      </c>
      <c r="C303" t="s">
        <v>74</v>
      </c>
      <c r="D303" t="s">
        <v>74</v>
      </c>
      <c r="E303" t="s">
        <v>74</v>
      </c>
      <c r="F303" t="s">
        <v>5167</v>
      </c>
      <c r="G303" t="s">
        <v>74</v>
      </c>
      <c r="H303" t="s">
        <v>74</v>
      </c>
      <c r="I303" t="s">
        <v>5168</v>
      </c>
      <c r="J303" t="s">
        <v>5146</v>
      </c>
      <c r="K303" t="s">
        <v>74</v>
      </c>
      <c r="L303" t="s">
        <v>74</v>
      </c>
      <c r="M303" t="s">
        <v>78</v>
      </c>
      <c r="N303" t="s">
        <v>79</v>
      </c>
      <c r="O303" t="s">
        <v>74</v>
      </c>
      <c r="P303" t="s">
        <v>74</v>
      </c>
      <c r="Q303" t="s">
        <v>74</v>
      </c>
      <c r="R303" t="s">
        <v>74</v>
      </c>
      <c r="S303" t="s">
        <v>74</v>
      </c>
      <c r="T303" t="s">
        <v>5169</v>
      </c>
      <c r="U303" t="s">
        <v>5170</v>
      </c>
      <c r="V303" t="s">
        <v>5171</v>
      </c>
      <c r="W303" t="s">
        <v>5172</v>
      </c>
      <c r="X303" t="s">
        <v>5173</v>
      </c>
      <c r="Y303" t="s">
        <v>5174</v>
      </c>
      <c r="Z303" t="s">
        <v>5175</v>
      </c>
      <c r="AA303" t="s">
        <v>74</v>
      </c>
      <c r="AB303" t="s">
        <v>74</v>
      </c>
      <c r="AC303" t="s">
        <v>74</v>
      </c>
      <c r="AD303" t="s">
        <v>74</v>
      </c>
      <c r="AE303" t="s">
        <v>74</v>
      </c>
      <c r="AF303" t="s">
        <v>74</v>
      </c>
      <c r="AG303">
        <v>80</v>
      </c>
      <c r="AH303">
        <v>0</v>
      </c>
      <c r="AI303">
        <v>0</v>
      </c>
      <c r="AJ303">
        <v>4</v>
      </c>
      <c r="AK303">
        <v>4</v>
      </c>
      <c r="AL303" t="s">
        <v>92</v>
      </c>
      <c r="AM303" t="s">
        <v>93</v>
      </c>
      <c r="AN303" t="s">
        <v>94</v>
      </c>
      <c r="AO303" t="s">
        <v>5156</v>
      </c>
      <c r="AP303" t="s">
        <v>5157</v>
      </c>
      <c r="AQ303" t="s">
        <v>74</v>
      </c>
      <c r="AR303" t="s">
        <v>5158</v>
      </c>
      <c r="AS303" t="s">
        <v>5159</v>
      </c>
      <c r="AT303" t="s">
        <v>5160</v>
      </c>
      <c r="AU303">
        <v>2023</v>
      </c>
      <c r="AV303">
        <v>24</v>
      </c>
      <c r="AW303">
        <v>1</v>
      </c>
      <c r="AX303" t="s">
        <v>74</v>
      </c>
      <c r="AY303" t="s">
        <v>74</v>
      </c>
      <c r="AZ303" t="s">
        <v>74</v>
      </c>
      <c r="BA303" t="s">
        <v>74</v>
      </c>
      <c r="BB303" t="s">
        <v>74</v>
      </c>
      <c r="BC303" t="s">
        <v>74</v>
      </c>
      <c r="BD303">
        <v>2247132</v>
      </c>
      <c r="BE303" t="s">
        <v>5176</v>
      </c>
      <c r="BF303" t="str">
        <f>HYPERLINK("http://dx.doi.org/10.1080/10298436.2023.2247132","http://dx.doi.org/10.1080/10298436.2023.2247132")</f>
        <v>http://dx.doi.org/10.1080/10298436.2023.2247132</v>
      </c>
      <c r="BG303" t="s">
        <v>74</v>
      </c>
      <c r="BH303" t="s">
        <v>74</v>
      </c>
      <c r="BI303">
        <v>19</v>
      </c>
      <c r="BJ303" t="s">
        <v>5162</v>
      </c>
      <c r="BK303" t="s">
        <v>102</v>
      </c>
      <c r="BL303" t="s">
        <v>5163</v>
      </c>
      <c r="BM303" t="s">
        <v>5177</v>
      </c>
      <c r="BN303" t="s">
        <v>74</v>
      </c>
      <c r="BO303" t="s">
        <v>74</v>
      </c>
      <c r="BP303" t="s">
        <v>74</v>
      </c>
      <c r="BQ303" t="s">
        <v>74</v>
      </c>
      <c r="BR303" t="s">
        <v>105</v>
      </c>
      <c r="BS303" t="s">
        <v>5178</v>
      </c>
      <c r="BT303" t="str">
        <f>HYPERLINK("https%3A%2F%2Fwww.webofscience.com%2Fwos%2Fwoscc%2Ffull-record%2FWOS:001050459600001","View Full Record in Web of Science")</f>
        <v>View Full Record in Web of Science</v>
      </c>
    </row>
    <row r="304" spans="1:72" x14ac:dyDescent="0.15">
      <c r="A304" t="s">
        <v>72</v>
      </c>
      <c r="B304" t="s">
        <v>5179</v>
      </c>
      <c r="C304" t="s">
        <v>74</v>
      </c>
      <c r="D304" t="s">
        <v>74</v>
      </c>
      <c r="E304" t="s">
        <v>74</v>
      </c>
      <c r="F304" t="s">
        <v>5180</v>
      </c>
      <c r="G304" t="s">
        <v>74</v>
      </c>
      <c r="H304" t="s">
        <v>74</v>
      </c>
      <c r="I304" t="s">
        <v>5181</v>
      </c>
      <c r="J304" t="s">
        <v>5146</v>
      </c>
      <c r="K304" t="s">
        <v>74</v>
      </c>
      <c r="L304" t="s">
        <v>74</v>
      </c>
      <c r="M304" t="s">
        <v>78</v>
      </c>
      <c r="N304" t="s">
        <v>79</v>
      </c>
      <c r="O304" t="s">
        <v>74</v>
      </c>
      <c r="P304" t="s">
        <v>74</v>
      </c>
      <c r="Q304" t="s">
        <v>74</v>
      </c>
      <c r="R304" t="s">
        <v>74</v>
      </c>
      <c r="S304" t="s">
        <v>74</v>
      </c>
      <c r="T304" t="s">
        <v>5182</v>
      </c>
      <c r="U304" t="s">
        <v>74</v>
      </c>
      <c r="V304" t="s">
        <v>5183</v>
      </c>
      <c r="W304" t="s">
        <v>5184</v>
      </c>
      <c r="X304" t="s">
        <v>5185</v>
      </c>
      <c r="Y304" t="s">
        <v>5186</v>
      </c>
      <c r="Z304" t="s">
        <v>5187</v>
      </c>
      <c r="AA304" t="s">
        <v>74</v>
      </c>
      <c r="AB304" t="s">
        <v>74</v>
      </c>
      <c r="AC304" t="s">
        <v>5188</v>
      </c>
      <c r="AD304" t="s">
        <v>5189</v>
      </c>
      <c r="AE304" t="s">
        <v>5190</v>
      </c>
      <c r="AF304" t="s">
        <v>74</v>
      </c>
      <c r="AG304">
        <v>23</v>
      </c>
      <c r="AH304">
        <v>0</v>
      </c>
      <c r="AI304">
        <v>0</v>
      </c>
      <c r="AJ304">
        <v>0</v>
      </c>
      <c r="AK304">
        <v>0</v>
      </c>
      <c r="AL304" t="s">
        <v>92</v>
      </c>
      <c r="AM304" t="s">
        <v>93</v>
      </c>
      <c r="AN304" t="s">
        <v>94</v>
      </c>
      <c r="AO304" t="s">
        <v>5156</v>
      </c>
      <c r="AP304" t="s">
        <v>5157</v>
      </c>
      <c r="AQ304" t="s">
        <v>74</v>
      </c>
      <c r="AR304" t="s">
        <v>5158</v>
      </c>
      <c r="AS304" t="s">
        <v>5159</v>
      </c>
      <c r="AT304" t="s">
        <v>5160</v>
      </c>
      <c r="AU304">
        <v>2023</v>
      </c>
      <c r="AV304">
        <v>24</v>
      </c>
      <c r="AW304">
        <v>1</v>
      </c>
      <c r="AX304" t="s">
        <v>74</v>
      </c>
      <c r="AY304" t="s">
        <v>74</v>
      </c>
      <c r="AZ304" t="s">
        <v>74</v>
      </c>
      <c r="BA304" t="s">
        <v>74</v>
      </c>
      <c r="BB304" t="s">
        <v>74</v>
      </c>
      <c r="BC304" t="s">
        <v>74</v>
      </c>
      <c r="BD304">
        <v>2241963</v>
      </c>
      <c r="BE304" t="s">
        <v>5191</v>
      </c>
      <c r="BF304" t="str">
        <f>HYPERLINK("http://dx.doi.org/10.1080/10298436.2023.2241963","http://dx.doi.org/10.1080/10298436.2023.2241963")</f>
        <v>http://dx.doi.org/10.1080/10298436.2023.2241963</v>
      </c>
      <c r="BG304" t="s">
        <v>74</v>
      </c>
      <c r="BH304" t="s">
        <v>74</v>
      </c>
      <c r="BI304">
        <v>13</v>
      </c>
      <c r="BJ304" t="s">
        <v>5162</v>
      </c>
      <c r="BK304" t="s">
        <v>102</v>
      </c>
      <c r="BL304" t="s">
        <v>5163</v>
      </c>
      <c r="BM304" t="s">
        <v>5192</v>
      </c>
      <c r="BN304" t="s">
        <v>74</v>
      </c>
      <c r="BO304" t="s">
        <v>74</v>
      </c>
      <c r="BP304" t="s">
        <v>74</v>
      </c>
      <c r="BQ304" t="s">
        <v>74</v>
      </c>
      <c r="BR304" t="s">
        <v>105</v>
      </c>
      <c r="BS304" t="s">
        <v>5193</v>
      </c>
      <c r="BT304" t="str">
        <f>HYPERLINK("https%3A%2F%2Fwww.webofscience.com%2Fwos%2Fwoscc%2Ffull-record%2FWOS:001042929900001","View Full Record in Web of Science")</f>
        <v>View Full Record in Web of Science</v>
      </c>
    </row>
    <row r="305" spans="1:72" x14ac:dyDescent="0.15">
      <c r="A305" t="s">
        <v>72</v>
      </c>
      <c r="B305" t="s">
        <v>5194</v>
      </c>
      <c r="C305" t="s">
        <v>74</v>
      </c>
      <c r="D305" t="s">
        <v>74</v>
      </c>
      <c r="E305" t="s">
        <v>74</v>
      </c>
      <c r="F305" t="s">
        <v>5195</v>
      </c>
      <c r="G305" t="s">
        <v>74</v>
      </c>
      <c r="H305" t="s">
        <v>74</v>
      </c>
      <c r="I305" t="s">
        <v>5196</v>
      </c>
      <c r="J305" t="s">
        <v>5146</v>
      </c>
      <c r="K305" t="s">
        <v>74</v>
      </c>
      <c r="L305" t="s">
        <v>74</v>
      </c>
      <c r="M305" t="s">
        <v>78</v>
      </c>
      <c r="N305" t="s">
        <v>79</v>
      </c>
      <c r="O305" t="s">
        <v>74</v>
      </c>
      <c r="P305" t="s">
        <v>74</v>
      </c>
      <c r="Q305" t="s">
        <v>74</v>
      </c>
      <c r="R305" t="s">
        <v>74</v>
      </c>
      <c r="S305" t="s">
        <v>74</v>
      </c>
      <c r="T305" t="s">
        <v>5197</v>
      </c>
      <c r="U305" t="s">
        <v>5198</v>
      </c>
      <c r="V305" t="s">
        <v>5199</v>
      </c>
      <c r="W305" t="s">
        <v>5200</v>
      </c>
      <c r="X305" t="s">
        <v>5201</v>
      </c>
      <c r="Y305" t="s">
        <v>5202</v>
      </c>
      <c r="Z305" t="s">
        <v>5203</v>
      </c>
      <c r="AA305" t="s">
        <v>74</v>
      </c>
      <c r="AB305" t="s">
        <v>74</v>
      </c>
      <c r="AC305" t="s">
        <v>5204</v>
      </c>
      <c r="AD305" t="s">
        <v>5205</v>
      </c>
      <c r="AE305" t="s">
        <v>5206</v>
      </c>
      <c r="AF305" t="s">
        <v>74</v>
      </c>
      <c r="AG305">
        <v>51</v>
      </c>
      <c r="AH305">
        <v>2</v>
      </c>
      <c r="AI305">
        <v>2</v>
      </c>
      <c r="AJ305">
        <v>24</v>
      </c>
      <c r="AK305">
        <v>45</v>
      </c>
      <c r="AL305" t="s">
        <v>92</v>
      </c>
      <c r="AM305" t="s">
        <v>93</v>
      </c>
      <c r="AN305" t="s">
        <v>94</v>
      </c>
      <c r="AO305" t="s">
        <v>5156</v>
      </c>
      <c r="AP305" t="s">
        <v>5157</v>
      </c>
      <c r="AQ305" t="s">
        <v>74</v>
      </c>
      <c r="AR305" t="s">
        <v>5158</v>
      </c>
      <c r="AS305" t="s">
        <v>5159</v>
      </c>
      <c r="AT305" t="s">
        <v>5160</v>
      </c>
      <c r="AU305">
        <v>2023</v>
      </c>
      <c r="AV305">
        <v>24</v>
      </c>
      <c r="AW305">
        <v>1</v>
      </c>
      <c r="AX305" t="s">
        <v>74</v>
      </c>
      <c r="AY305" t="s">
        <v>74</v>
      </c>
      <c r="AZ305" t="s">
        <v>74</v>
      </c>
      <c r="BA305" t="s">
        <v>74</v>
      </c>
      <c r="BB305" t="s">
        <v>74</v>
      </c>
      <c r="BC305" t="s">
        <v>74</v>
      </c>
      <c r="BD305">
        <v>2164891</v>
      </c>
      <c r="BE305" t="s">
        <v>5207</v>
      </c>
      <c r="BF305" t="str">
        <f>HYPERLINK("http://dx.doi.org/10.1080/10298436.2023.2164891","http://dx.doi.org/10.1080/10298436.2023.2164891")</f>
        <v>http://dx.doi.org/10.1080/10298436.2023.2164891</v>
      </c>
      <c r="BG305" t="s">
        <v>74</v>
      </c>
      <c r="BH305" t="s">
        <v>74</v>
      </c>
      <c r="BI305">
        <v>13</v>
      </c>
      <c r="BJ305" t="s">
        <v>5162</v>
      </c>
      <c r="BK305" t="s">
        <v>102</v>
      </c>
      <c r="BL305" t="s">
        <v>5163</v>
      </c>
      <c r="BM305" t="s">
        <v>5208</v>
      </c>
      <c r="BN305" t="s">
        <v>74</v>
      </c>
      <c r="BO305" t="s">
        <v>74</v>
      </c>
      <c r="BP305" t="s">
        <v>74</v>
      </c>
      <c r="BQ305" t="s">
        <v>74</v>
      </c>
      <c r="BR305" t="s">
        <v>105</v>
      </c>
      <c r="BS305" t="s">
        <v>5209</v>
      </c>
      <c r="BT305" t="str">
        <f>HYPERLINK("https%3A%2F%2Fwww.webofscience.com%2Fwos%2Fwoscc%2Ffull-record%2FWOS:000922103700001","View Full Record in Web of Science")</f>
        <v>View Full Record in Web of Science</v>
      </c>
    </row>
    <row r="306" spans="1:72" x14ac:dyDescent="0.15">
      <c r="A306" t="s">
        <v>72</v>
      </c>
      <c r="B306" t="s">
        <v>5210</v>
      </c>
      <c r="C306" t="s">
        <v>74</v>
      </c>
      <c r="D306" t="s">
        <v>74</v>
      </c>
      <c r="E306" t="s">
        <v>74</v>
      </c>
      <c r="F306" t="s">
        <v>5211</v>
      </c>
      <c r="G306" t="s">
        <v>74</v>
      </c>
      <c r="H306" t="s">
        <v>74</v>
      </c>
      <c r="I306" t="s">
        <v>5212</v>
      </c>
      <c r="J306" t="s">
        <v>5146</v>
      </c>
      <c r="K306" t="s">
        <v>74</v>
      </c>
      <c r="L306" t="s">
        <v>74</v>
      </c>
      <c r="M306" t="s">
        <v>78</v>
      </c>
      <c r="N306" t="s">
        <v>79</v>
      </c>
      <c r="O306" t="s">
        <v>74</v>
      </c>
      <c r="P306" t="s">
        <v>74</v>
      </c>
      <c r="Q306" t="s">
        <v>74</v>
      </c>
      <c r="R306" t="s">
        <v>74</v>
      </c>
      <c r="S306" t="s">
        <v>74</v>
      </c>
      <c r="T306" t="s">
        <v>5213</v>
      </c>
      <c r="U306" t="s">
        <v>5214</v>
      </c>
      <c r="V306" t="s">
        <v>5215</v>
      </c>
      <c r="W306" t="s">
        <v>5216</v>
      </c>
      <c r="X306" t="s">
        <v>5217</v>
      </c>
      <c r="Y306" t="s">
        <v>5218</v>
      </c>
      <c r="Z306" t="s">
        <v>5219</v>
      </c>
      <c r="AA306" t="s">
        <v>74</v>
      </c>
      <c r="AB306" t="s">
        <v>74</v>
      </c>
      <c r="AC306" t="s">
        <v>5220</v>
      </c>
      <c r="AD306" t="s">
        <v>5221</v>
      </c>
      <c r="AE306" t="s">
        <v>5222</v>
      </c>
      <c r="AF306" t="s">
        <v>74</v>
      </c>
      <c r="AG306">
        <v>46</v>
      </c>
      <c r="AH306">
        <v>0</v>
      </c>
      <c r="AI306">
        <v>0</v>
      </c>
      <c r="AJ306">
        <v>22</v>
      </c>
      <c r="AK306">
        <v>31</v>
      </c>
      <c r="AL306" t="s">
        <v>92</v>
      </c>
      <c r="AM306" t="s">
        <v>93</v>
      </c>
      <c r="AN306" t="s">
        <v>94</v>
      </c>
      <c r="AO306" t="s">
        <v>5156</v>
      </c>
      <c r="AP306" t="s">
        <v>5157</v>
      </c>
      <c r="AQ306" t="s">
        <v>74</v>
      </c>
      <c r="AR306" t="s">
        <v>5158</v>
      </c>
      <c r="AS306" t="s">
        <v>5159</v>
      </c>
      <c r="AT306" t="s">
        <v>5160</v>
      </c>
      <c r="AU306">
        <v>2023</v>
      </c>
      <c r="AV306">
        <v>24</v>
      </c>
      <c r="AW306">
        <v>1</v>
      </c>
      <c r="AX306" t="s">
        <v>74</v>
      </c>
      <c r="AY306" t="s">
        <v>74</v>
      </c>
      <c r="AZ306" t="s">
        <v>74</v>
      </c>
      <c r="BA306" t="s">
        <v>74</v>
      </c>
      <c r="BB306" t="s">
        <v>74</v>
      </c>
      <c r="BC306" t="s">
        <v>74</v>
      </c>
      <c r="BD306">
        <v>2165655</v>
      </c>
      <c r="BE306" t="s">
        <v>5223</v>
      </c>
      <c r="BF306" t="str">
        <f>HYPERLINK("http://dx.doi.org/10.1080/10298436.2023.2165655","http://dx.doi.org/10.1080/10298436.2023.2165655")</f>
        <v>http://dx.doi.org/10.1080/10298436.2023.2165655</v>
      </c>
      <c r="BG306" t="s">
        <v>74</v>
      </c>
      <c r="BH306" t="s">
        <v>74</v>
      </c>
      <c r="BI306">
        <v>10</v>
      </c>
      <c r="BJ306" t="s">
        <v>5162</v>
      </c>
      <c r="BK306" t="s">
        <v>102</v>
      </c>
      <c r="BL306" t="s">
        <v>5163</v>
      </c>
      <c r="BM306" t="s">
        <v>5224</v>
      </c>
      <c r="BN306" t="s">
        <v>74</v>
      </c>
      <c r="BO306" t="s">
        <v>74</v>
      </c>
      <c r="BP306" t="s">
        <v>74</v>
      </c>
      <c r="BQ306" t="s">
        <v>74</v>
      </c>
      <c r="BR306" t="s">
        <v>105</v>
      </c>
      <c r="BS306" t="s">
        <v>5225</v>
      </c>
      <c r="BT306" t="str">
        <f>HYPERLINK("https%3A%2F%2Fwww.webofscience.com%2Fwos%2Fwoscc%2Ffull-record%2FWOS:000922103300001","View Full Record in Web of Science")</f>
        <v>View Full Record in Web of Science</v>
      </c>
    </row>
    <row r="307" spans="1:72" x14ac:dyDescent="0.15">
      <c r="A307" t="s">
        <v>72</v>
      </c>
      <c r="B307" t="s">
        <v>5226</v>
      </c>
      <c r="C307" t="s">
        <v>74</v>
      </c>
      <c r="D307" t="s">
        <v>74</v>
      </c>
      <c r="E307" t="s">
        <v>74</v>
      </c>
      <c r="F307" t="s">
        <v>5227</v>
      </c>
      <c r="G307" t="s">
        <v>74</v>
      </c>
      <c r="H307" t="s">
        <v>74</v>
      </c>
      <c r="I307" t="s">
        <v>5228</v>
      </c>
      <c r="J307" t="s">
        <v>5146</v>
      </c>
      <c r="K307" t="s">
        <v>74</v>
      </c>
      <c r="L307" t="s">
        <v>74</v>
      </c>
      <c r="M307" t="s">
        <v>78</v>
      </c>
      <c r="N307" t="s">
        <v>79</v>
      </c>
      <c r="O307" t="s">
        <v>74</v>
      </c>
      <c r="P307" t="s">
        <v>74</v>
      </c>
      <c r="Q307" t="s">
        <v>74</v>
      </c>
      <c r="R307" t="s">
        <v>74</v>
      </c>
      <c r="S307" t="s">
        <v>74</v>
      </c>
      <c r="T307" t="s">
        <v>5229</v>
      </c>
      <c r="U307" t="s">
        <v>74</v>
      </c>
      <c r="V307" t="s">
        <v>5230</v>
      </c>
      <c r="W307" t="s">
        <v>5231</v>
      </c>
      <c r="X307" t="s">
        <v>5232</v>
      </c>
      <c r="Y307" t="s">
        <v>5233</v>
      </c>
      <c r="Z307" t="s">
        <v>5234</v>
      </c>
      <c r="AA307" t="s">
        <v>74</v>
      </c>
      <c r="AB307" t="s">
        <v>74</v>
      </c>
      <c r="AC307" t="s">
        <v>74</v>
      </c>
      <c r="AD307" t="s">
        <v>74</v>
      </c>
      <c r="AE307" t="s">
        <v>74</v>
      </c>
      <c r="AF307" t="s">
        <v>74</v>
      </c>
      <c r="AG307">
        <v>51</v>
      </c>
      <c r="AH307">
        <v>0</v>
      </c>
      <c r="AI307">
        <v>0</v>
      </c>
      <c r="AJ307">
        <v>59</v>
      </c>
      <c r="AK307">
        <v>70</v>
      </c>
      <c r="AL307" t="s">
        <v>92</v>
      </c>
      <c r="AM307" t="s">
        <v>93</v>
      </c>
      <c r="AN307" t="s">
        <v>94</v>
      </c>
      <c r="AO307" t="s">
        <v>5156</v>
      </c>
      <c r="AP307" t="s">
        <v>5157</v>
      </c>
      <c r="AQ307" t="s">
        <v>74</v>
      </c>
      <c r="AR307" t="s">
        <v>5158</v>
      </c>
      <c r="AS307" t="s">
        <v>5159</v>
      </c>
      <c r="AT307" t="s">
        <v>5160</v>
      </c>
      <c r="AU307">
        <v>2023</v>
      </c>
      <c r="AV307">
        <v>24</v>
      </c>
      <c r="AW307">
        <v>1</v>
      </c>
      <c r="AX307" t="s">
        <v>74</v>
      </c>
      <c r="AY307" t="s">
        <v>74</v>
      </c>
      <c r="AZ307" t="s">
        <v>74</v>
      </c>
      <c r="BA307" t="s">
        <v>74</v>
      </c>
      <c r="BB307" t="s">
        <v>74</v>
      </c>
      <c r="BC307" t="s">
        <v>74</v>
      </c>
      <c r="BD307">
        <v>2180638</v>
      </c>
      <c r="BE307" t="s">
        <v>5235</v>
      </c>
      <c r="BF307" t="str">
        <f>HYPERLINK("http://dx.doi.org/10.1080/10298436.2023.2180638","http://dx.doi.org/10.1080/10298436.2023.2180638")</f>
        <v>http://dx.doi.org/10.1080/10298436.2023.2180638</v>
      </c>
      <c r="BG307" t="s">
        <v>74</v>
      </c>
      <c r="BH307" t="s">
        <v>74</v>
      </c>
      <c r="BI307">
        <v>14</v>
      </c>
      <c r="BJ307" t="s">
        <v>5162</v>
      </c>
      <c r="BK307" t="s">
        <v>102</v>
      </c>
      <c r="BL307" t="s">
        <v>5163</v>
      </c>
      <c r="BM307" t="s">
        <v>5236</v>
      </c>
      <c r="BN307" t="s">
        <v>74</v>
      </c>
      <c r="BO307" t="s">
        <v>74</v>
      </c>
      <c r="BP307" t="s">
        <v>74</v>
      </c>
      <c r="BQ307" t="s">
        <v>74</v>
      </c>
      <c r="BR307" t="s">
        <v>105</v>
      </c>
      <c r="BS307" t="s">
        <v>5237</v>
      </c>
      <c r="BT307" t="str">
        <f>HYPERLINK("https%3A%2F%2Fwww.webofscience.com%2Fwos%2Fwoscc%2Ffull-record%2FWOS:000941826600001","View Full Record in Web of Science")</f>
        <v>View Full Record in Web of Science</v>
      </c>
    </row>
    <row r="308" spans="1:72" x14ac:dyDescent="0.15">
      <c r="A308" t="s">
        <v>72</v>
      </c>
      <c r="B308" t="s">
        <v>5238</v>
      </c>
      <c r="C308" t="s">
        <v>74</v>
      </c>
      <c r="D308" t="s">
        <v>74</v>
      </c>
      <c r="E308" t="s">
        <v>74</v>
      </c>
      <c r="F308" t="s">
        <v>5239</v>
      </c>
      <c r="G308" t="s">
        <v>74</v>
      </c>
      <c r="H308" t="s">
        <v>74</v>
      </c>
      <c r="I308" t="s">
        <v>5240</v>
      </c>
      <c r="J308" t="s">
        <v>5146</v>
      </c>
      <c r="K308" t="s">
        <v>74</v>
      </c>
      <c r="L308" t="s">
        <v>74</v>
      </c>
      <c r="M308" t="s">
        <v>78</v>
      </c>
      <c r="N308" t="s">
        <v>79</v>
      </c>
      <c r="O308" t="s">
        <v>74</v>
      </c>
      <c r="P308" t="s">
        <v>74</v>
      </c>
      <c r="Q308" t="s">
        <v>74</v>
      </c>
      <c r="R308" t="s">
        <v>74</v>
      </c>
      <c r="S308" t="s">
        <v>74</v>
      </c>
      <c r="T308" t="s">
        <v>5241</v>
      </c>
      <c r="U308" t="s">
        <v>5242</v>
      </c>
      <c r="V308" t="s">
        <v>5243</v>
      </c>
      <c r="W308" t="s">
        <v>5244</v>
      </c>
      <c r="X308" t="s">
        <v>5245</v>
      </c>
      <c r="Y308" t="s">
        <v>5246</v>
      </c>
      <c r="Z308" t="s">
        <v>5247</v>
      </c>
      <c r="AA308" t="s">
        <v>74</v>
      </c>
      <c r="AB308" t="s">
        <v>5248</v>
      </c>
      <c r="AC308" t="s">
        <v>74</v>
      </c>
      <c r="AD308" t="s">
        <v>74</v>
      </c>
      <c r="AE308" t="s">
        <v>74</v>
      </c>
      <c r="AF308" t="s">
        <v>74</v>
      </c>
      <c r="AG308">
        <v>39</v>
      </c>
      <c r="AH308">
        <v>0</v>
      </c>
      <c r="AI308">
        <v>0</v>
      </c>
      <c r="AJ308">
        <v>6</v>
      </c>
      <c r="AK308">
        <v>6</v>
      </c>
      <c r="AL308" t="s">
        <v>92</v>
      </c>
      <c r="AM308" t="s">
        <v>93</v>
      </c>
      <c r="AN308" t="s">
        <v>94</v>
      </c>
      <c r="AO308" t="s">
        <v>5156</v>
      </c>
      <c r="AP308" t="s">
        <v>5157</v>
      </c>
      <c r="AQ308" t="s">
        <v>74</v>
      </c>
      <c r="AR308" t="s">
        <v>5158</v>
      </c>
      <c r="AS308" t="s">
        <v>5159</v>
      </c>
      <c r="AT308" t="s">
        <v>5160</v>
      </c>
      <c r="AU308">
        <v>2023</v>
      </c>
      <c r="AV308">
        <v>24</v>
      </c>
      <c r="AW308">
        <v>1</v>
      </c>
      <c r="AX308" t="s">
        <v>74</v>
      </c>
      <c r="AY308" t="s">
        <v>74</v>
      </c>
      <c r="AZ308" t="s">
        <v>74</v>
      </c>
      <c r="BA308" t="s">
        <v>74</v>
      </c>
      <c r="BB308" t="s">
        <v>74</v>
      </c>
      <c r="BC308" t="s">
        <v>74</v>
      </c>
      <c r="BD308">
        <v>2182437</v>
      </c>
      <c r="BE308" t="s">
        <v>5249</v>
      </c>
      <c r="BF308" t="str">
        <f>HYPERLINK("http://dx.doi.org/10.1080/10298436.2023.2182437","http://dx.doi.org/10.1080/10298436.2023.2182437")</f>
        <v>http://dx.doi.org/10.1080/10298436.2023.2182437</v>
      </c>
      <c r="BG308" t="s">
        <v>74</v>
      </c>
      <c r="BH308" t="s">
        <v>74</v>
      </c>
      <c r="BI308">
        <v>16</v>
      </c>
      <c r="BJ308" t="s">
        <v>5162</v>
      </c>
      <c r="BK308" t="s">
        <v>102</v>
      </c>
      <c r="BL308" t="s">
        <v>5163</v>
      </c>
      <c r="BM308" t="s">
        <v>5250</v>
      </c>
      <c r="BN308" t="s">
        <v>74</v>
      </c>
      <c r="BO308" t="s">
        <v>74</v>
      </c>
      <c r="BP308" t="s">
        <v>74</v>
      </c>
      <c r="BQ308" t="s">
        <v>74</v>
      </c>
      <c r="BR308" t="s">
        <v>105</v>
      </c>
      <c r="BS308" t="s">
        <v>5251</v>
      </c>
      <c r="BT308" t="str">
        <f>HYPERLINK("https%3A%2F%2Fwww.webofscience.com%2Fwos%2Fwoscc%2Ffull-record%2FWOS:000943359100001","View Full Record in Web of Science")</f>
        <v>View Full Record in Web of Science</v>
      </c>
    </row>
    <row r="309" spans="1:72" x14ac:dyDescent="0.15">
      <c r="A309" t="s">
        <v>72</v>
      </c>
      <c r="B309" t="s">
        <v>5252</v>
      </c>
      <c r="C309" t="s">
        <v>74</v>
      </c>
      <c r="D309" t="s">
        <v>74</v>
      </c>
      <c r="E309" t="s">
        <v>74</v>
      </c>
      <c r="F309" t="s">
        <v>5253</v>
      </c>
      <c r="G309" t="s">
        <v>74</v>
      </c>
      <c r="H309" t="s">
        <v>74</v>
      </c>
      <c r="I309" t="s">
        <v>5254</v>
      </c>
      <c r="J309" t="s">
        <v>5146</v>
      </c>
      <c r="K309" t="s">
        <v>74</v>
      </c>
      <c r="L309" t="s">
        <v>74</v>
      </c>
      <c r="M309" t="s">
        <v>78</v>
      </c>
      <c r="N309" t="s">
        <v>79</v>
      </c>
      <c r="O309" t="s">
        <v>74</v>
      </c>
      <c r="P309" t="s">
        <v>74</v>
      </c>
      <c r="Q309" t="s">
        <v>74</v>
      </c>
      <c r="R309" t="s">
        <v>74</v>
      </c>
      <c r="S309" t="s">
        <v>74</v>
      </c>
      <c r="T309" t="s">
        <v>5255</v>
      </c>
      <c r="U309" t="s">
        <v>5256</v>
      </c>
      <c r="V309" t="s">
        <v>5257</v>
      </c>
      <c r="W309" t="s">
        <v>5258</v>
      </c>
      <c r="X309" t="s">
        <v>5259</v>
      </c>
      <c r="Y309" t="s">
        <v>5260</v>
      </c>
      <c r="Z309" t="s">
        <v>5261</v>
      </c>
      <c r="AA309" t="s">
        <v>74</v>
      </c>
      <c r="AB309" t="s">
        <v>74</v>
      </c>
      <c r="AC309" t="s">
        <v>5262</v>
      </c>
      <c r="AD309" t="s">
        <v>5263</v>
      </c>
      <c r="AE309" t="s">
        <v>5264</v>
      </c>
      <c r="AF309" t="s">
        <v>74</v>
      </c>
      <c r="AG309">
        <v>49</v>
      </c>
      <c r="AH309">
        <v>0</v>
      </c>
      <c r="AI309">
        <v>0</v>
      </c>
      <c r="AJ309">
        <v>1</v>
      </c>
      <c r="AK309">
        <v>1</v>
      </c>
      <c r="AL309" t="s">
        <v>92</v>
      </c>
      <c r="AM309" t="s">
        <v>93</v>
      </c>
      <c r="AN309" t="s">
        <v>94</v>
      </c>
      <c r="AO309" t="s">
        <v>5156</v>
      </c>
      <c r="AP309" t="s">
        <v>5157</v>
      </c>
      <c r="AQ309" t="s">
        <v>74</v>
      </c>
      <c r="AR309" t="s">
        <v>5158</v>
      </c>
      <c r="AS309" t="s">
        <v>5159</v>
      </c>
      <c r="AT309" t="s">
        <v>5160</v>
      </c>
      <c r="AU309">
        <v>2023</v>
      </c>
      <c r="AV309">
        <v>24</v>
      </c>
      <c r="AW309">
        <v>1</v>
      </c>
      <c r="AX309" t="s">
        <v>74</v>
      </c>
      <c r="AY309" t="s">
        <v>74</v>
      </c>
      <c r="AZ309" t="s">
        <v>74</v>
      </c>
      <c r="BA309" t="s">
        <v>74</v>
      </c>
      <c r="BB309" t="s">
        <v>74</v>
      </c>
      <c r="BC309" t="s">
        <v>74</v>
      </c>
      <c r="BD309">
        <v>2238112</v>
      </c>
      <c r="BE309" t="s">
        <v>5265</v>
      </c>
      <c r="BF309" t="str">
        <f>HYPERLINK("http://dx.doi.org/10.1080/10298436.2023.2238112","http://dx.doi.org/10.1080/10298436.2023.2238112")</f>
        <v>http://dx.doi.org/10.1080/10298436.2023.2238112</v>
      </c>
      <c r="BG309" t="s">
        <v>74</v>
      </c>
      <c r="BH309" t="s">
        <v>74</v>
      </c>
      <c r="BI309">
        <v>13</v>
      </c>
      <c r="BJ309" t="s">
        <v>5162</v>
      </c>
      <c r="BK309" t="s">
        <v>102</v>
      </c>
      <c r="BL309" t="s">
        <v>5163</v>
      </c>
      <c r="BM309" t="s">
        <v>5266</v>
      </c>
      <c r="BN309" t="s">
        <v>74</v>
      </c>
      <c r="BO309" t="s">
        <v>74</v>
      </c>
      <c r="BP309" t="s">
        <v>74</v>
      </c>
      <c r="BQ309" t="s">
        <v>74</v>
      </c>
      <c r="BR309" t="s">
        <v>105</v>
      </c>
      <c r="BS309" t="s">
        <v>5267</v>
      </c>
      <c r="BT309" t="str">
        <f>HYPERLINK("https%3A%2F%2Fwww.webofscience.com%2Fwos%2Fwoscc%2Ffull-record%2FWOS:001053346600001","View Full Record in Web of Science")</f>
        <v>View Full Record in Web of Science</v>
      </c>
    </row>
    <row r="310" spans="1:72" x14ac:dyDescent="0.15">
      <c r="A310" t="s">
        <v>72</v>
      </c>
      <c r="B310" t="s">
        <v>5268</v>
      </c>
      <c r="C310" t="s">
        <v>74</v>
      </c>
      <c r="D310" t="s">
        <v>74</v>
      </c>
      <c r="E310" t="s">
        <v>74</v>
      </c>
      <c r="F310" t="s">
        <v>5269</v>
      </c>
      <c r="G310" t="s">
        <v>74</v>
      </c>
      <c r="H310" t="s">
        <v>74</v>
      </c>
      <c r="I310" t="s">
        <v>5270</v>
      </c>
      <c r="J310" t="s">
        <v>4722</v>
      </c>
      <c r="K310" t="s">
        <v>74</v>
      </c>
      <c r="L310" t="s">
        <v>74</v>
      </c>
      <c r="M310" t="s">
        <v>78</v>
      </c>
      <c r="N310" t="s">
        <v>79</v>
      </c>
      <c r="O310" t="s">
        <v>74</v>
      </c>
      <c r="P310" t="s">
        <v>74</v>
      </c>
      <c r="Q310" t="s">
        <v>74</v>
      </c>
      <c r="R310" t="s">
        <v>74</v>
      </c>
      <c r="S310" t="s">
        <v>74</v>
      </c>
      <c r="T310" t="s">
        <v>5271</v>
      </c>
      <c r="U310" t="s">
        <v>5272</v>
      </c>
      <c r="V310" t="s">
        <v>5273</v>
      </c>
      <c r="W310" t="s">
        <v>5274</v>
      </c>
      <c r="X310" t="s">
        <v>5275</v>
      </c>
      <c r="Y310" t="s">
        <v>5276</v>
      </c>
      <c r="Z310" t="s">
        <v>5277</v>
      </c>
      <c r="AA310" t="s">
        <v>5278</v>
      </c>
      <c r="AB310" t="s">
        <v>5279</v>
      </c>
      <c r="AC310" t="s">
        <v>74</v>
      </c>
      <c r="AD310" t="s">
        <v>74</v>
      </c>
      <c r="AE310" t="s">
        <v>74</v>
      </c>
      <c r="AF310" t="s">
        <v>74</v>
      </c>
      <c r="AG310">
        <v>75</v>
      </c>
      <c r="AH310">
        <v>0</v>
      </c>
      <c r="AI310">
        <v>0</v>
      </c>
      <c r="AJ310">
        <v>0</v>
      </c>
      <c r="AK310">
        <v>0</v>
      </c>
      <c r="AL310" t="s">
        <v>92</v>
      </c>
      <c r="AM310" t="s">
        <v>93</v>
      </c>
      <c r="AN310" t="s">
        <v>94</v>
      </c>
      <c r="AO310" t="s">
        <v>4732</v>
      </c>
      <c r="AP310" t="s">
        <v>4733</v>
      </c>
      <c r="AQ310" t="s">
        <v>74</v>
      </c>
      <c r="AR310" t="s">
        <v>4734</v>
      </c>
      <c r="AS310" t="s">
        <v>4735</v>
      </c>
      <c r="AT310" t="s">
        <v>5280</v>
      </c>
      <c r="AU310">
        <v>2023</v>
      </c>
      <c r="AV310">
        <v>14</v>
      </c>
      <c r="AW310">
        <v>2</v>
      </c>
      <c r="AX310" t="s">
        <v>74</v>
      </c>
      <c r="AY310" t="s">
        <v>74</v>
      </c>
      <c r="AZ310" t="s">
        <v>74</v>
      </c>
      <c r="BA310" t="s">
        <v>74</v>
      </c>
      <c r="BB310" t="s">
        <v>74</v>
      </c>
      <c r="BC310" t="s">
        <v>74</v>
      </c>
      <c r="BD310">
        <v>2213110</v>
      </c>
      <c r="BE310" t="s">
        <v>5281</v>
      </c>
      <c r="BF310" t="str">
        <f>HYPERLINK("http://dx.doi.org/10.1080/20008066.2023.2213110","http://dx.doi.org/10.1080/20008066.2023.2213110")</f>
        <v>http://dx.doi.org/10.1080/20008066.2023.2213110</v>
      </c>
      <c r="BG310" t="s">
        <v>74</v>
      </c>
      <c r="BH310" t="s">
        <v>74</v>
      </c>
      <c r="BI310">
        <v>13</v>
      </c>
      <c r="BJ310" t="s">
        <v>4737</v>
      </c>
      <c r="BK310" t="s">
        <v>272</v>
      </c>
      <c r="BL310" t="s">
        <v>4738</v>
      </c>
      <c r="BM310" t="s">
        <v>5282</v>
      </c>
      <c r="BN310">
        <v>37227216</v>
      </c>
      <c r="BO310" t="s">
        <v>104</v>
      </c>
      <c r="BP310" t="s">
        <v>74</v>
      </c>
      <c r="BQ310" t="s">
        <v>74</v>
      </c>
      <c r="BR310" t="s">
        <v>105</v>
      </c>
      <c r="BS310" t="s">
        <v>5283</v>
      </c>
      <c r="BT310" t="str">
        <f>HYPERLINK("https%3A%2F%2Fwww.webofscience.com%2Fwos%2Fwoscc%2Ffull-record%2FWOS:000994604800001","View Full Record in Web of Science")</f>
        <v>View Full Record in Web of Science</v>
      </c>
    </row>
    <row r="311" spans="1:72" x14ac:dyDescent="0.15">
      <c r="A311" t="s">
        <v>72</v>
      </c>
      <c r="B311" t="s">
        <v>5284</v>
      </c>
      <c r="C311" t="s">
        <v>74</v>
      </c>
      <c r="D311" t="s">
        <v>74</v>
      </c>
      <c r="E311" t="s">
        <v>74</v>
      </c>
      <c r="F311" t="s">
        <v>5285</v>
      </c>
      <c r="G311" t="s">
        <v>74</v>
      </c>
      <c r="H311" t="s">
        <v>74</v>
      </c>
      <c r="I311" t="s">
        <v>5286</v>
      </c>
      <c r="J311" t="s">
        <v>4722</v>
      </c>
      <c r="K311" t="s">
        <v>74</v>
      </c>
      <c r="L311" t="s">
        <v>74</v>
      </c>
      <c r="M311" t="s">
        <v>78</v>
      </c>
      <c r="N311" t="s">
        <v>1697</v>
      </c>
      <c r="O311" t="s">
        <v>74</v>
      </c>
      <c r="P311" t="s">
        <v>74</v>
      </c>
      <c r="Q311" t="s">
        <v>74</v>
      </c>
      <c r="R311" t="s">
        <v>74</v>
      </c>
      <c r="S311" t="s">
        <v>74</v>
      </c>
      <c r="T311" t="s">
        <v>5287</v>
      </c>
      <c r="U311" t="s">
        <v>74</v>
      </c>
      <c r="V311" t="s">
        <v>5288</v>
      </c>
      <c r="W311" t="s">
        <v>5289</v>
      </c>
      <c r="X311" t="s">
        <v>5290</v>
      </c>
      <c r="Y311" t="s">
        <v>5291</v>
      </c>
      <c r="Z311" t="s">
        <v>5292</v>
      </c>
      <c r="AA311" t="s">
        <v>5293</v>
      </c>
      <c r="AB311" t="s">
        <v>5294</v>
      </c>
      <c r="AC311" t="s">
        <v>5295</v>
      </c>
      <c r="AD311" t="s">
        <v>5295</v>
      </c>
      <c r="AE311" t="s">
        <v>5296</v>
      </c>
      <c r="AF311" t="s">
        <v>74</v>
      </c>
      <c r="AG311">
        <v>12</v>
      </c>
      <c r="AH311">
        <v>1</v>
      </c>
      <c r="AI311">
        <v>1</v>
      </c>
      <c r="AJ311">
        <v>3</v>
      </c>
      <c r="AK311">
        <v>3</v>
      </c>
      <c r="AL311" t="s">
        <v>92</v>
      </c>
      <c r="AM311" t="s">
        <v>93</v>
      </c>
      <c r="AN311" t="s">
        <v>94</v>
      </c>
      <c r="AO311" t="s">
        <v>4732</v>
      </c>
      <c r="AP311" t="s">
        <v>4733</v>
      </c>
      <c r="AQ311" t="s">
        <v>74</v>
      </c>
      <c r="AR311" t="s">
        <v>4734</v>
      </c>
      <c r="AS311" t="s">
        <v>4735</v>
      </c>
      <c r="AT311" t="s">
        <v>5280</v>
      </c>
      <c r="AU311">
        <v>2023</v>
      </c>
      <c r="AV311">
        <v>14</v>
      </c>
      <c r="AW311">
        <v>2</v>
      </c>
      <c r="AX311" t="s">
        <v>74</v>
      </c>
      <c r="AY311" t="s">
        <v>74</v>
      </c>
      <c r="AZ311" t="s">
        <v>74</v>
      </c>
      <c r="BA311" t="s">
        <v>74</v>
      </c>
      <c r="BB311" t="s">
        <v>74</v>
      </c>
      <c r="BC311" t="s">
        <v>74</v>
      </c>
      <c r="BD311">
        <v>2207422</v>
      </c>
      <c r="BE311" t="s">
        <v>5297</v>
      </c>
      <c r="BF311" t="str">
        <f>HYPERLINK("http://dx.doi.org/10.1080/20008066.2023.2207422","http://dx.doi.org/10.1080/20008066.2023.2207422")</f>
        <v>http://dx.doi.org/10.1080/20008066.2023.2207422</v>
      </c>
      <c r="BG311" t="s">
        <v>74</v>
      </c>
      <c r="BH311" t="s">
        <v>74</v>
      </c>
      <c r="BI311">
        <v>5</v>
      </c>
      <c r="BJ311" t="s">
        <v>4737</v>
      </c>
      <c r="BK311" t="s">
        <v>272</v>
      </c>
      <c r="BL311" t="s">
        <v>4738</v>
      </c>
      <c r="BM311" t="s">
        <v>5298</v>
      </c>
      <c r="BN311">
        <v>37195138</v>
      </c>
      <c r="BO311" t="s">
        <v>104</v>
      </c>
      <c r="BP311" t="s">
        <v>74</v>
      </c>
      <c r="BQ311" t="s">
        <v>74</v>
      </c>
      <c r="BR311" t="s">
        <v>105</v>
      </c>
      <c r="BS311" t="s">
        <v>5299</v>
      </c>
      <c r="BT311" t="str">
        <f>HYPERLINK("https%3A%2F%2Fwww.webofscience.com%2Fwos%2Fwoscc%2Ffull-record%2FWOS:000993262700001","View Full Record in Web of Science")</f>
        <v>View Full Record in Web of Science</v>
      </c>
    </row>
    <row r="312" spans="1:72" x14ac:dyDescent="0.15">
      <c r="A312" t="s">
        <v>72</v>
      </c>
      <c r="B312" t="s">
        <v>5300</v>
      </c>
      <c r="C312" t="s">
        <v>74</v>
      </c>
      <c r="D312" t="s">
        <v>74</v>
      </c>
      <c r="E312" t="s">
        <v>74</v>
      </c>
      <c r="F312" t="s">
        <v>5301</v>
      </c>
      <c r="G312" t="s">
        <v>74</v>
      </c>
      <c r="H312" t="s">
        <v>74</v>
      </c>
      <c r="I312" t="s">
        <v>5302</v>
      </c>
      <c r="J312" t="s">
        <v>4722</v>
      </c>
      <c r="K312" t="s">
        <v>74</v>
      </c>
      <c r="L312" t="s">
        <v>74</v>
      </c>
      <c r="M312" t="s">
        <v>78</v>
      </c>
      <c r="N312" t="s">
        <v>2650</v>
      </c>
      <c r="O312" t="s">
        <v>74</v>
      </c>
      <c r="P312" t="s">
        <v>74</v>
      </c>
      <c r="Q312" t="s">
        <v>74</v>
      </c>
      <c r="R312" t="s">
        <v>74</v>
      </c>
      <c r="S312" t="s">
        <v>74</v>
      </c>
      <c r="T312" t="s">
        <v>5303</v>
      </c>
      <c r="U312" t="s">
        <v>5304</v>
      </c>
      <c r="V312" t="s">
        <v>5305</v>
      </c>
      <c r="W312" t="s">
        <v>5306</v>
      </c>
      <c r="X312" t="s">
        <v>74</v>
      </c>
      <c r="Y312" t="s">
        <v>5307</v>
      </c>
      <c r="Z312" t="s">
        <v>5308</v>
      </c>
      <c r="AA312" t="s">
        <v>74</v>
      </c>
      <c r="AB312" t="s">
        <v>5309</v>
      </c>
      <c r="AC312" t="s">
        <v>74</v>
      </c>
      <c r="AD312" t="s">
        <v>74</v>
      </c>
      <c r="AE312" t="s">
        <v>74</v>
      </c>
      <c r="AF312" t="s">
        <v>74</v>
      </c>
      <c r="AG312">
        <v>41</v>
      </c>
      <c r="AH312">
        <v>0</v>
      </c>
      <c r="AI312">
        <v>0</v>
      </c>
      <c r="AJ312">
        <v>4</v>
      </c>
      <c r="AK312">
        <v>4</v>
      </c>
      <c r="AL312" t="s">
        <v>92</v>
      </c>
      <c r="AM312" t="s">
        <v>93</v>
      </c>
      <c r="AN312" t="s">
        <v>94</v>
      </c>
      <c r="AO312" t="s">
        <v>4732</v>
      </c>
      <c r="AP312" t="s">
        <v>4733</v>
      </c>
      <c r="AQ312" t="s">
        <v>74</v>
      </c>
      <c r="AR312" t="s">
        <v>4734</v>
      </c>
      <c r="AS312" t="s">
        <v>4735</v>
      </c>
      <c r="AT312" t="s">
        <v>5280</v>
      </c>
      <c r="AU312">
        <v>2023</v>
      </c>
      <c r="AV312">
        <v>14</v>
      </c>
      <c r="AW312">
        <v>2</v>
      </c>
      <c r="AX312" t="s">
        <v>74</v>
      </c>
      <c r="AY312" t="s">
        <v>74</v>
      </c>
      <c r="AZ312" t="s">
        <v>74</v>
      </c>
      <c r="BA312" t="s">
        <v>74</v>
      </c>
      <c r="BB312" t="s">
        <v>74</v>
      </c>
      <c r="BC312" t="s">
        <v>74</v>
      </c>
      <c r="BD312">
        <v>2196899</v>
      </c>
      <c r="BE312" t="s">
        <v>5310</v>
      </c>
      <c r="BF312" t="str">
        <f>HYPERLINK("http://dx.doi.org/10.1080/20008066.2023.2196899","http://dx.doi.org/10.1080/20008066.2023.2196899")</f>
        <v>http://dx.doi.org/10.1080/20008066.2023.2196899</v>
      </c>
      <c r="BG312" t="s">
        <v>74</v>
      </c>
      <c r="BH312" t="s">
        <v>74</v>
      </c>
      <c r="BI312">
        <v>9</v>
      </c>
      <c r="BJ312" t="s">
        <v>4737</v>
      </c>
      <c r="BK312" t="s">
        <v>272</v>
      </c>
      <c r="BL312" t="s">
        <v>4738</v>
      </c>
      <c r="BM312" t="s">
        <v>5311</v>
      </c>
      <c r="BN312">
        <v>37078186</v>
      </c>
      <c r="BO312" t="s">
        <v>104</v>
      </c>
      <c r="BP312" t="s">
        <v>74</v>
      </c>
      <c r="BQ312" t="s">
        <v>74</v>
      </c>
      <c r="BR312" t="s">
        <v>105</v>
      </c>
      <c r="BS312" t="s">
        <v>5312</v>
      </c>
      <c r="BT312" t="str">
        <f>HYPERLINK("https%3A%2F%2Fwww.webofscience.com%2Fwos%2Fwoscc%2Ffull-record%2FWOS:000975647200001","View Full Record in Web of Science")</f>
        <v>View Full Record in Web of Science</v>
      </c>
    </row>
    <row r="313" spans="1:72" x14ac:dyDescent="0.15">
      <c r="A313" t="s">
        <v>72</v>
      </c>
      <c r="B313" t="s">
        <v>5313</v>
      </c>
      <c r="C313" t="s">
        <v>74</v>
      </c>
      <c r="D313" t="s">
        <v>74</v>
      </c>
      <c r="E313" t="s">
        <v>74</v>
      </c>
      <c r="F313" t="s">
        <v>5314</v>
      </c>
      <c r="G313" t="s">
        <v>74</v>
      </c>
      <c r="H313" t="s">
        <v>74</v>
      </c>
      <c r="I313" t="s">
        <v>5315</v>
      </c>
      <c r="J313" t="s">
        <v>4722</v>
      </c>
      <c r="K313" t="s">
        <v>74</v>
      </c>
      <c r="L313" t="s">
        <v>74</v>
      </c>
      <c r="M313" t="s">
        <v>78</v>
      </c>
      <c r="N313" t="s">
        <v>171</v>
      </c>
      <c r="O313" t="s">
        <v>74</v>
      </c>
      <c r="P313" t="s">
        <v>74</v>
      </c>
      <c r="Q313" t="s">
        <v>74</v>
      </c>
      <c r="R313" t="s">
        <v>74</v>
      </c>
      <c r="S313" t="s">
        <v>74</v>
      </c>
      <c r="T313" t="s">
        <v>5316</v>
      </c>
      <c r="U313" t="s">
        <v>5317</v>
      </c>
      <c r="V313" t="s">
        <v>5318</v>
      </c>
      <c r="W313" t="s">
        <v>5319</v>
      </c>
      <c r="X313" t="s">
        <v>5320</v>
      </c>
      <c r="Y313" t="s">
        <v>5321</v>
      </c>
      <c r="Z313" t="s">
        <v>5322</v>
      </c>
      <c r="AA313" t="s">
        <v>74</v>
      </c>
      <c r="AB313" t="s">
        <v>5323</v>
      </c>
      <c r="AC313" t="s">
        <v>5324</v>
      </c>
      <c r="AD313" t="s">
        <v>5325</v>
      </c>
      <c r="AE313" t="s">
        <v>5326</v>
      </c>
      <c r="AF313" t="s">
        <v>74</v>
      </c>
      <c r="AG313">
        <v>70</v>
      </c>
      <c r="AH313">
        <v>0</v>
      </c>
      <c r="AI313">
        <v>0</v>
      </c>
      <c r="AJ313">
        <v>11</v>
      </c>
      <c r="AK313">
        <v>11</v>
      </c>
      <c r="AL313" t="s">
        <v>92</v>
      </c>
      <c r="AM313" t="s">
        <v>93</v>
      </c>
      <c r="AN313" t="s">
        <v>94</v>
      </c>
      <c r="AO313" t="s">
        <v>4732</v>
      </c>
      <c r="AP313" t="s">
        <v>4733</v>
      </c>
      <c r="AQ313" t="s">
        <v>74</v>
      </c>
      <c r="AR313" t="s">
        <v>4734</v>
      </c>
      <c r="AS313" t="s">
        <v>4735</v>
      </c>
      <c r="AT313" t="s">
        <v>5280</v>
      </c>
      <c r="AU313">
        <v>2023</v>
      </c>
      <c r="AV313">
        <v>14</v>
      </c>
      <c r="AW313">
        <v>2</v>
      </c>
      <c r="AX313" t="s">
        <v>74</v>
      </c>
      <c r="AY313" t="s">
        <v>74</v>
      </c>
      <c r="AZ313" t="s">
        <v>74</v>
      </c>
      <c r="BA313" t="s">
        <v>74</v>
      </c>
      <c r="BB313" t="s">
        <v>74</v>
      </c>
      <c r="BC313" t="s">
        <v>74</v>
      </c>
      <c r="BD313">
        <v>2225152</v>
      </c>
      <c r="BE313" t="s">
        <v>5327</v>
      </c>
      <c r="BF313" t="str">
        <f>HYPERLINK("http://dx.doi.org/10.1080/20008066.2023.2225152","http://dx.doi.org/10.1080/20008066.2023.2225152")</f>
        <v>http://dx.doi.org/10.1080/20008066.2023.2225152</v>
      </c>
      <c r="BG313" t="s">
        <v>74</v>
      </c>
      <c r="BH313" t="s">
        <v>74</v>
      </c>
      <c r="BI313">
        <v>18</v>
      </c>
      <c r="BJ313" t="s">
        <v>4737</v>
      </c>
      <c r="BK313" t="s">
        <v>272</v>
      </c>
      <c r="BL313" t="s">
        <v>4738</v>
      </c>
      <c r="BM313" t="s">
        <v>5328</v>
      </c>
      <c r="BN313">
        <v>37427835</v>
      </c>
      <c r="BO313" t="s">
        <v>104</v>
      </c>
      <c r="BP313" t="s">
        <v>74</v>
      </c>
      <c r="BQ313" t="s">
        <v>74</v>
      </c>
      <c r="BR313" t="s">
        <v>105</v>
      </c>
      <c r="BS313" t="s">
        <v>5329</v>
      </c>
      <c r="BT313" t="str">
        <f>HYPERLINK("https%3A%2F%2Fwww.webofscience.com%2Fwos%2Fwoscc%2Ffull-record%2FWOS:001025457700001","View Full Record in Web of Science")</f>
        <v>View Full Record in Web of Science</v>
      </c>
    </row>
    <row r="314" spans="1:72" x14ac:dyDescent="0.15">
      <c r="A314" t="s">
        <v>72</v>
      </c>
      <c r="B314" t="s">
        <v>5330</v>
      </c>
      <c r="C314" t="s">
        <v>74</v>
      </c>
      <c r="D314" t="s">
        <v>74</v>
      </c>
      <c r="E314" t="s">
        <v>74</v>
      </c>
      <c r="F314" t="s">
        <v>5331</v>
      </c>
      <c r="G314" t="s">
        <v>74</v>
      </c>
      <c r="H314" t="s">
        <v>74</v>
      </c>
      <c r="I314" t="s">
        <v>5332</v>
      </c>
      <c r="J314" t="s">
        <v>5333</v>
      </c>
      <c r="K314" t="s">
        <v>74</v>
      </c>
      <c r="L314" t="s">
        <v>74</v>
      </c>
      <c r="M314" t="s">
        <v>78</v>
      </c>
      <c r="N314" t="s">
        <v>3443</v>
      </c>
      <c r="O314" t="s">
        <v>74</v>
      </c>
      <c r="P314" t="s">
        <v>74</v>
      </c>
      <c r="Q314" t="s">
        <v>74</v>
      </c>
      <c r="R314" t="s">
        <v>74</v>
      </c>
      <c r="S314" t="s">
        <v>74</v>
      </c>
      <c r="T314" t="s">
        <v>74</v>
      </c>
      <c r="U314" t="s">
        <v>74</v>
      </c>
      <c r="V314" t="s">
        <v>74</v>
      </c>
      <c r="W314" t="s">
        <v>5334</v>
      </c>
      <c r="X314" t="s">
        <v>5335</v>
      </c>
      <c r="Y314" t="s">
        <v>5336</v>
      </c>
      <c r="Z314" t="s">
        <v>5337</v>
      </c>
      <c r="AA314" t="s">
        <v>74</v>
      </c>
      <c r="AB314" t="s">
        <v>74</v>
      </c>
      <c r="AC314" t="s">
        <v>74</v>
      </c>
      <c r="AD314" t="s">
        <v>74</v>
      </c>
      <c r="AE314" t="s">
        <v>74</v>
      </c>
      <c r="AF314" t="s">
        <v>74</v>
      </c>
      <c r="AG314">
        <v>1</v>
      </c>
      <c r="AH314">
        <v>0</v>
      </c>
      <c r="AI314">
        <v>0</v>
      </c>
      <c r="AJ314">
        <v>0</v>
      </c>
      <c r="AK314">
        <v>0</v>
      </c>
      <c r="AL314" t="s">
        <v>1188</v>
      </c>
      <c r="AM314" t="s">
        <v>93</v>
      </c>
      <c r="AN314" t="s">
        <v>1189</v>
      </c>
      <c r="AO314" t="s">
        <v>5338</v>
      </c>
      <c r="AP314" t="s">
        <v>5339</v>
      </c>
      <c r="AQ314" t="s">
        <v>74</v>
      </c>
      <c r="AR314" t="s">
        <v>5340</v>
      </c>
      <c r="AS314" t="s">
        <v>5341</v>
      </c>
      <c r="AT314" t="s">
        <v>5342</v>
      </c>
      <c r="AU314">
        <v>2023</v>
      </c>
      <c r="AV314">
        <v>22</v>
      </c>
      <c r="AW314" t="s">
        <v>5343</v>
      </c>
      <c r="AX314" t="s">
        <v>74</v>
      </c>
      <c r="AY314" t="s">
        <v>74</v>
      </c>
      <c r="AZ314" t="s">
        <v>5344</v>
      </c>
      <c r="BA314" t="s">
        <v>74</v>
      </c>
      <c r="BB314">
        <v>834</v>
      </c>
      <c r="BC314">
        <v>836</v>
      </c>
      <c r="BD314" t="s">
        <v>74</v>
      </c>
      <c r="BE314" t="s">
        <v>5345</v>
      </c>
      <c r="BF314" t="str">
        <f>HYPERLINK("http://dx.doi.org/10.1080/14742837.2022.2031959","http://dx.doi.org/10.1080/14742837.2022.2031959")</f>
        <v>http://dx.doi.org/10.1080/14742837.2022.2031959</v>
      </c>
      <c r="BG314" t="s">
        <v>74</v>
      </c>
      <c r="BH314" t="s">
        <v>74</v>
      </c>
      <c r="BI314">
        <v>3</v>
      </c>
      <c r="BJ314" t="s">
        <v>5346</v>
      </c>
      <c r="BK314" t="s">
        <v>272</v>
      </c>
      <c r="BL314" t="s">
        <v>5347</v>
      </c>
      <c r="BM314" t="s">
        <v>5348</v>
      </c>
      <c r="BN314" t="s">
        <v>74</v>
      </c>
      <c r="BO314" t="s">
        <v>74</v>
      </c>
      <c r="BP314" t="s">
        <v>74</v>
      </c>
      <c r="BQ314" t="s">
        <v>74</v>
      </c>
      <c r="BR314" t="s">
        <v>105</v>
      </c>
      <c r="BS314" t="s">
        <v>5349</v>
      </c>
      <c r="BT314" t="str">
        <f>HYPERLINK("https%3A%2F%2Fwww.webofscience.com%2Fwos%2Fwoscc%2Ffull-record%2FWOS:001054061000016","View Full Record in Web of Science")</f>
        <v>View Full Record in Web of Science</v>
      </c>
    </row>
    <row r="315" spans="1:72" x14ac:dyDescent="0.15">
      <c r="A315" t="s">
        <v>72</v>
      </c>
      <c r="B315" t="s">
        <v>5350</v>
      </c>
      <c r="C315" t="s">
        <v>74</v>
      </c>
      <c r="D315" t="s">
        <v>74</v>
      </c>
      <c r="E315" t="s">
        <v>74</v>
      </c>
      <c r="F315" t="s">
        <v>5351</v>
      </c>
      <c r="G315" t="s">
        <v>74</v>
      </c>
      <c r="H315" t="s">
        <v>74</v>
      </c>
      <c r="I315" t="s">
        <v>5352</v>
      </c>
      <c r="J315" t="s">
        <v>5353</v>
      </c>
      <c r="K315" t="s">
        <v>74</v>
      </c>
      <c r="L315" t="s">
        <v>74</v>
      </c>
      <c r="M315" t="s">
        <v>78</v>
      </c>
      <c r="N315" t="s">
        <v>79</v>
      </c>
      <c r="O315" t="s">
        <v>74</v>
      </c>
      <c r="P315" t="s">
        <v>74</v>
      </c>
      <c r="Q315" t="s">
        <v>74</v>
      </c>
      <c r="R315" t="s">
        <v>74</v>
      </c>
      <c r="S315" t="s">
        <v>74</v>
      </c>
      <c r="T315" t="s">
        <v>5354</v>
      </c>
      <c r="U315" t="s">
        <v>5355</v>
      </c>
      <c r="V315" t="s">
        <v>5356</v>
      </c>
      <c r="W315" t="s">
        <v>5357</v>
      </c>
      <c r="X315" t="s">
        <v>5358</v>
      </c>
      <c r="Y315" t="s">
        <v>5359</v>
      </c>
      <c r="Z315" t="s">
        <v>5360</v>
      </c>
      <c r="AA315" t="s">
        <v>74</v>
      </c>
      <c r="AB315" t="s">
        <v>74</v>
      </c>
      <c r="AC315" t="s">
        <v>5361</v>
      </c>
      <c r="AD315" t="s">
        <v>5362</v>
      </c>
      <c r="AE315" t="s">
        <v>5363</v>
      </c>
      <c r="AF315" t="s">
        <v>74</v>
      </c>
      <c r="AG315">
        <v>35</v>
      </c>
      <c r="AH315">
        <v>0</v>
      </c>
      <c r="AI315">
        <v>0</v>
      </c>
      <c r="AJ315">
        <v>4</v>
      </c>
      <c r="AK315">
        <v>4</v>
      </c>
      <c r="AL315" t="s">
        <v>184</v>
      </c>
      <c r="AM315" t="s">
        <v>185</v>
      </c>
      <c r="AN315" t="s">
        <v>186</v>
      </c>
      <c r="AO315" t="s">
        <v>5364</v>
      </c>
      <c r="AP315" t="s">
        <v>5365</v>
      </c>
      <c r="AQ315" t="s">
        <v>74</v>
      </c>
      <c r="AR315" t="s">
        <v>5366</v>
      </c>
      <c r="AS315" t="s">
        <v>5367</v>
      </c>
      <c r="AT315" t="s">
        <v>5368</v>
      </c>
      <c r="AU315">
        <v>2023</v>
      </c>
      <c r="AV315">
        <v>20</v>
      </c>
      <c r="AW315">
        <v>2</v>
      </c>
      <c r="AX315" t="s">
        <v>74</v>
      </c>
      <c r="AY315" t="s">
        <v>74</v>
      </c>
      <c r="AZ315" t="s">
        <v>74</v>
      </c>
      <c r="BA315" t="s">
        <v>74</v>
      </c>
      <c r="BB315" t="s">
        <v>74</v>
      </c>
      <c r="BC315" t="s">
        <v>74</v>
      </c>
      <c r="BD315">
        <v>2246646</v>
      </c>
      <c r="BE315" t="s">
        <v>5369</v>
      </c>
      <c r="BF315" t="str">
        <f>HYPERLINK("http://dx.doi.org/10.1080/15440478.2023.2246646","http://dx.doi.org/10.1080/15440478.2023.2246646")</f>
        <v>http://dx.doi.org/10.1080/15440478.2023.2246646</v>
      </c>
      <c r="BG315" t="s">
        <v>74</v>
      </c>
      <c r="BH315" t="s">
        <v>74</v>
      </c>
      <c r="BI315">
        <v>19</v>
      </c>
      <c r="BJ315" t="s">
        <v>5370</v>
      </c>
      <c r="BK315" t="s">
        <v>102</v>
      </c>
      <c r="BL315" t="s">
        <v>1594</v>
      </c>
      <c r="BM315" t="s">
        <v>5371</v>
      </c>
      <c r="BN315" t="s">
        <v>74</v>
      </c>
      <c r="BO315" t="s">
        <v>126</v>
      </c>
      <c r="BP315" t="s">
        <v>74</v>
      </c>
      <c r="BQ315" t="s">
        <v>74</v>
      </c>
      <c r="BR315" t="s">
        <v>105</v>
      </c>
      <c r="BS315" t="s">
        <v>5372</v>
      </c>
      <c r="BT315" t="str">
        <f>HYPERLINK("https%3A%2F%2Fwww.webofscience.com%2Fwos%2Fwoscc%2Ffull-record%2FWOS:001050467400001","View Full Record in Web of Science")</f>
        <v>View Full Record in Web of Science</v>
      </c>
    </row>
    <row r="316" spans="1:72" x14ac:dyDescent="0.15">
      <c r="A316" t="s">
        <v>72</v>
      </c>
      <c r="B316" t="s">
        <v>5373</v>
      </c>
      <c r="C316" t="s">
        <v>74</v>
      </c>
      <c r="D316" t="s">
        <v>74</v>
      </c>
      <c r="E316" t="s">
        <v>74</v>
      </c>
      <c r="F316" t="s">
        <v>5374</v>
      </c>
      <c r="G316" t="s">
        <v>74</v>
      </c>
      <c r="H316" t="s">
        <v>74</v>
      </c>
      <c r="I316" t="s">
        <v>5375</v>
      </c>
      <c r="J316" t="s">
        <v>5376</v>
      </c>
      <c r="K316" t="s">
        <v>74</v>
      </c>
      <c r="L316" t="s">
        <v>74</v>
      </c>
      <c r="M316" t="s">
        <v>78</v>
      </c>
      <c r="N316" t="s">
        <v>2650</v>
      </c>
      <c r="O316" t="s">
        <v>74</v>
      </c>
      <c r="P316" t="s">
        <v>74</v>
      </c>
      <c r="Q316" t="s">
        <v>74</v>
      </c>
      <c r="R316" t="s">
        <v>74</v>
      </c>
      <c r="S316" t="s">
        <v>74</v>
      </c>
      <c r="T316" t="s">
        <v>74</v>
      </c>
      <c r="U316" t="s">
        <v>5377</v>
      </c>
      <c r="V316" t="s">
        <v>74</v>
      </c>
      <c r="W316" t="s">
        <v>5378</v>
      </c>
      <c r="X316" t="s">
        <v>5379</v>
      </c>
      <c r="Y316" t="s">
        <v>5380</v>
      </c>
      <c r="Z316" t="s">
        <v>5381</v>
      </c>
      <c r="AA316" t="s">
        <v>74</v>
      </c>
      <c r="AB316" t="s">
        <v>74</v>
      </c>
      <c r="AC316" t="s">
        <v>74</v>
      </c>
      <c r="AD316" t="s">
        <v>74</v>
      </c>
      <c r="AE316" t="s">
        <v>74</v>
      </c>
      <c r="AF316" t="s">
        <v>74</v>
      </c>
      <c r="AG316">
        <v>39</v>
      </c>
      <c r="AH316">
        <v>0</v>
      </c>
      <c r="AI316">
        <v>0</v>
      </c>
      <c r="AJ316">
        <v>0</v>
      </c>
      <c r="AK316">
        <v>0</v>
      </c>
      <c r="AL316" t="s">
        <v>92</v>
      </c>
      <c r="AM316" t="s">
        <v>93</v>
      </c>
      <c r="AN316" t="s">
        <v>94</v>
      </c>
      <c r="AO316" t="s">
        <v>5382</v>
      </c>
      <c r="AP316" t="s">
        <v>5383</v>
      </c>
      <c r="AQ316" t="s">
        <v>74</v>
      </c>
      <c r="AR316" t="s">
        <v>5384</v>
      </c>
      <c r="AS316" t="s">
        <v>5385</v>
      </c>
      <c r="AT316" t="s">
        <v>5386</v>
      </c>
      <c r="AU316">
        <v>2023</v>
      </c>
      <c r="AV316">
        <v>70</v>
      </c>
      <c r="AW316">
        <v>7</v>
      </c>
      <c r="AX316" t="s">
        <v>74</v>
      </c>
      <c r="AY316" t="s">
        <v>74</v>
      </c>
      <c r="AZ316" t="s">
        <v>5344</v>
      </c>
      <c r="BA316" t="s">
        <v>74</v>
      </c>
      <c r="BB316">
        <v>899</v>
      </c>
      <c r="BC316">
        <v>907</v>
      </c>
      <c r="BD316" t="s">
        <v>74</v>
      </c>
      <c r="BE316" t="s">
        <v>5387</v>
      </c>
      <c r="BF316" t="str">
        <f>HYPERLINK("http://dx.doi.org/10.1080/08120099.2023.2228857","http://dx.doi.org/10.1080/08120099.2023.2228857")</f>
        <v>http://dx.doi.org/10.1080/08120099.2023.2228857</v>
      </c>
      <c r="BG316" t="s">
        <v>74</v>
      </c>
      <c r="BH316" t="s">
        <v>74</v>
      </c>
      <c r="BI316">
        <v>9</v>
      </c>
      <c r="BJ316" t="s">
        <v>5388</v>
      </c>
      <c r="BK316" t="s">
        <v>102</v>
      </c>
      <c r="BL316" t="s">
        <v>5389</v>
      </c>
      <c r="BM316" t="s">
        <v>5390</v>
      </c>
      <c r="BN316" t="s">
        <v>74</v>
      </c>
      <c r="BO316" t="s">
        <v>5391</v>
      </c>
      <c r="BP316" t="s">
        <v>74</v>
      </c>
      <c r="BQ316" t="s">
        <v>74</v>
      </c>
      <c r="BR316" t="s">
        <v>105</v>
      </c>
      <c r="BS316" t="s">
        <v>5392</v>
      </c>
      <c r="BT316" t="str">
        <f>HYPERLINK("https%3A%2F%2Fwww.webofscience.com%2Fwos%2Fwoscc%2Ffull-record%2FWOS:001048048300001","View Full Record in Web of Science")</f>
        <v>View Full Record in Web of Science</v>
      </c>
    </row>
    <row r="317" spans="1:72" x14ac:dyDescent="0.15">
      <c r="A317" t="s">
        <v>72</v>
      </c>
      <c r="B317" t="s">
        <v>5393</v>
      </c>
      <c r="C317" t="s">
        <v>74</v>
      </c>
      <c r="D317" t="s">
        <v>74</v>
      </c>
      <c r="E317" t="s">
        <v>74</v>
      </c>
      <c r="F317" t="s">
        <v>5394</v>
      </c>
      <c r="G317" t="s">
        <v>74</v>
      </c>
      <c r="H317" t="s">
        <v>74</v>
      </c>
      <c r="I317" t="s">
        <v>5395</v>
      </c>
      <c r="J317" t="s">
        <v>5396</v>
      </c>
      <c r="K317" t="s">
        <v>74</v>
      </c>
      <c r="L317" t="s">
        <v>74</v>
      </c>
      <c r="M317" t="s">
        <v>78</v>
      </c>
      <c r="N317" t="s">
        <v>79</v>
      </c>
      <c r="O317" t="s">
        <v>74</v>
      </c>
      <c r="P317" t="s">
        <v>74</v>
      </c>
      <c r="Q317" t="s">
        <v>74</v>
      </c>
      <c r="R317" t="s">
        <v>74</v>
      </c>
      <c r="S317" t="s">
        <v>74</v>
      </c>
      <c r="T317" t="s">
        <v>5397</v>
      </c>
      <c r="U317" t="s">
        <v>74</v>
      </c>
      <c r="V317" t="s">
        <v>5398</v>
      </c>
      <c r="W317" t="s">
        <v>5399</v>
      </c>
      <c r="X317" t="s">
        <v>5400</v>
      </c>
      <c r="Y317" t="s">
        <v>5401</v>
      </c>
      <c r="Z317" t="s">
        <v>5402</v>
      </c>
      <c r="AA317" t="s">
        <v>5403</v>
      </c>
      <c r="AB317" t="s">
        <v>5404</v>
      </c>
      <c r="AC317" t="s">
        <v>5405</v>
      </c>
      <c r="AD317" t="s">
        <v>5406</v>
      </c>
      <c r="AE317" t="s">
        <v>5407</v>
      </c>
      <c r="AF317" t="s">
        <v>74</v>
      </c>
      <c r="AG317">
        <v>20</v>
      </c>
      <c r="AH317">
        <v>0</v>
      </c>
      <c r="AI317">
        <v>0</v>
      </c>
      <c r="AJ317">
        <v>4</v>
      </c>
      <c r="AK317">
        <v>4</v>
      </c>
      <c r="AL317" t="s">
        <v>184</v>
      </c>
      <c r="AM317" t="s">
        <v>185</v>
      </c>
      <c r="AN317" t="s">
        <v>186</v>
      </c>
      <c r="AO317" t="s">
        <v>5408</v>
      </c>
      <c r="AP317" t="s">
        <v>74</v>
      </c>
      <c r="AQ317" t="s">
        <v>74</v>
      </c>
      <c r="AR317" t="s">
        <v>5409</v>
      </c>
      <c r="AS317" t="s">
        <v>5410</v>
      </c>
      <c r="AT317" t="s">
        <v>5386</v>
      </c>
      <c r="AU317">
        <v>2023</v>
      </c>
      <c r="AV317">
        <v>11</v>
      </c>
      <c r="AW317">
        <v>10</v>
      </c>
      <c r="AX317" t="s">
        <v>74</v>
      </c>
      <c r="AY317" t="s">
        <v>74</v>
      </c>
      <c r="AZ317" t="s">
        <v>74</v>
      </c>
      <c r="BA317" t="s">
        <v>74</v>
      </c>
      <c r="BB317">
        <v>856</v>
      </c>
      <c r="BC317">
        <v>862</v>
      </c>
      <c r="BD317" t="s">
        <v>74</v>
      </c>
      <c r="BE317" t="s">
        <v>5411</v>
      </c>
      <c r="BF317" t="str">
        <f>HYPERLINK("http://dx.doi.org/10.1080/21663831.2023.2253267","http://dx.doi.org/10.1080/21663831.2023.2253267")</f>
        <v>http://dx.doi.org/10.1080/21663831.2023.2253267</v>
      </c>
      <c r="BG317" t="s">
        <v>74</v>
      </c>
      <c r="BH317" t="s">
        <v>74</v>
      </c>
      <c r="BI317">
        <v>7</v>
      </c>
      <c r="BJ317" t="s">
        <v>1593</v>
      </c>
      <c r="BK317" t="s">
        <v>102</v>
      </c>
      <c r="BL317" t="s">
        <v>1594</v>
      </c>
      <c r="BM317" t="s">
        <v>5412</v>
      </c>
      <c r="BN317" t="s">
        <v>74</v>
      </c>
      <c r="BO317" t="s">
        <v>126</v>
      </c>
      <c r="BP317" t="s">
        <v>74</v>
      </c>
      <c r="BQ317" t="s">
        <v>74</v>
      </c>
      <c r="BR317" t="s">
        <v>105</v>
      </c>
      <c r="BS317" t="s">
        <v>5413</v>
      </c>
      <c r="BT317" t="str">
        <f>HYPERLINK("https%3A%2F%2Fwww.webofscience.com%2Fwos%2Fwoscc%2Ffull-record%2FWOS:001061791200001","View Full Record in Web of Science")</f>
        <v>View Full Record in Web of Science</v>
      </c>
    </row>
    <row r="318" spans="1:72" x14ac:dyDescent="0.15">
      <c r="A318" t="s">
        <v>72</v>
      </c>
      <c r="B318" t="s">
        <v>5414</v>
      </c>
      <c r="C318" t="s">
        <v>74</v>
      </c>
      <c r="D318" t="s">
        <v>74</v>
      </c>
      <c r="E318" t="s">
        <v>74</v>
      </c>
      <c r="F318" t="s">
        <v>5415</v>
      </c>
      <c r="G318" t="s">
        <v>74</v>
      </c>
      <c r="H318" t="s">
        <v>74</v>
      </c>
      <c r="I318" t="s">
        <v>5416</v>
      </c>
      <c r="J318" t="s">
        <v>5417</v>
      </c>
      <c r="K318" t="s">
        <v>74</v>
      </c>
      <c r="L318" t="s">
        <v>74</v>
      </c>
      <c r="M318" t="s">
        <v>78</v>
      </c>
      <c r="N318" t="s">
        <v>79</v>
      </c>
      <c r="O318" t="s">
        <v>74</v>
      </c>
      <c r="P318" t="s">
        <v>74</v>
      </c>
      <c r="Q318" t="s">
        <v>74</v>
      </c>
      <c r="R318" t="s">
        <v>74</v>
      </c>
      <c r="S318" t="s">
        <v>74</v>
      </c>
      <c r="T318" t="s">
        <v>5418</v>
      </c>
      <c r="U318" t="s">
        <v>5419</v>
      </c>
      <c r="V318" t="s">
        <v>5420</v>
      </c>
      <c r="W318" t="s">
        <v>5421</v>
      </c>
      <c r="X318" t="s">
        <v>5422</v>
      </c>
      <c r="Y318" t="s">
        <v>5423</v>
      </c>
      <c r="Z318" t="s">
        <v>5424</v>
      </c>
      <c r="AA318" t="s">
        <v>74</v>
      </c>
      <c r="AB318" t="s">
        <v>74</v>
      </c>
      <c r="AC318" t="s">
        <v>5425</v>
      </c>
      <c r="AD318" t="s">
        <v>5426</v>
      </c>
      <c r="AE318" t="s">
        <v>5427</v>
      </c>
      <c r="AF318" t="s">
        <v>74</v>
      </c>
      <c r="AG318">
        <v>55</v>
      </c>
      <c r="AH318">
        <v>0</v>
      </c>
      <c r="AI318">
        <v>0</v>
      </c>
      <c r="AJ318">
        <v>1</v>
      </c>
      <c r="AK318">
        <v>1</v>
      </c>
      <c r="AL318" t="s">
        <v>92</v>
      </c>
      <c r="AM318" t="s">
        <v>93</v>
      </c>
      <c r="AN318" t="s">
        <v>94</v>
      </c>
      <c r="AO318" t="s">
        <v>5428</v>
      </c>
      <c r="AP318" t="s">
        <v>5429</v>
      </c>
      <c r="AQ318" t="s">
        <v>74</v>
      </c>
      <c r="AR318" t="s">
        <v>5430</v>
      </c>
      <c r="AS318" t="s">
        <v>5431</v>
      </c>
      <c r="AT318" t="s">
        <v>5386</v>
      </c>
      <c r="AU318">
        <v>2023</v>
      </c>
      <c r="AV318">
        <v>100</v>
      </c>
      <c r="AW318">
        <v>10</v>
      </c>
      <c r="AX318" t="s">
        <v>74</v>
      </c>
      <c r="AY318" t="s">
        <v>74</v>
      </c>
      <c r="AZ318" t="s">
        <v>74</v>
      </c>
      <c r="BA318" t="s">
        <v>74</v>
      </c>
      <c r="BB318">
        <v>2014</v>
      </c>
      <c r="BC318">
        <v>2025</v>
      </c>
      <c r="BD318" t="s">
        <v>74</v>
      </c>
      <c r="BE318" t="s">
        <v>5432</v>
      </c>
      <c r="BF318" t="str">
        <f>HYPERLINK("http://dx.doi.org/10.1080/00207160.2023.2248286","http://dx.doi.org/10.1080/00207160.2023.2248286")</f>
        <v>http://dx.doi.org/10.1080/00207160.2023.2248286</v>
      </c>
      <c r="BG318" t="s">
        <v>74</v>
      </c>
      <c r="BH318" t="s">
        <v>5433</v>
      </c>
      <c r="BI318">
        <v>12</v>
      </c>
      <c r="BJ318" t="s">
        <v>5434</v>
      </c>
      <c r="BK318" t="s">
        <v>102</v>
      </c>
      <c r="BL318" t="s">
        <v>5435</v>
      </c>
      <c r="BM318" t="s">
        <v>5436</v>
      </c>
      <c r="BN318" t="s">
        <v>74</v>
      </c>
      <c r="BO318" t="s">
        <v>74</v>
      </c>
      <c r="BP318" t="s">
        <v>74</v>
      </c>
      <c r="BQ318" t="s">
        <v>74</v>
      </c>
      <c r="BR318" t="s">
        <v>105</v>
      </c>
      <c r="BS318" t="s">
        <v>5437</v>
      </c>
      <c r="BT318" t="str">
        <f>HYPERLINK("https%3A%2F%2Fwww.webofscience.com%2Fwos%2Fwoscc%2Ffull-record%2FWOS:001060131000001","View Full Record in Web of Science")</f>
        <v>View Full Record in Web of Science</v>
      </c>
    </row>
    <row r="319" spans="1:72" x14ac:dyDescent="0.15">
      <c r="A319" t="s">
        <v>72</v>
      </c>
      <c r="B319" t="s">
        <v>5438</v>
      </c>
      <c r="C319" t="s">
        <v>74</v>
      </c>
      <c r="D319" t="s">
        <v>74</v>
      </c>
      <c r="E319" t="s">
        <v>74</v>
      </c>
      <c r="F319" t="s">
        <v>5439</v>
      </c>
      <c r="G319" t="s">
        <v>74</v>
      </c>
      <c r="H319" t="s">
        <v>74</v>
      </c>
      <c r="I319" t="s">
        <v>5440</v>
      </c>
      <c r="J319" t="s">
        <v>5441</v>
      </c>
      <c r="K319" t="s">
        <v>74</v>
      </c>
      <c r="L319" t="s">
        <v>74</v>
      </c>
      <c r="M319" t="s">
        <v>78</v>
      </c>
      <c r="N319" t="s">
        <v>2650</v>
      </c>
      <c r="O319" t="s">
        <v>74</v>
      </c>
      <c r="P319" t="s">
        <v>74</v>
      </c>
      <c r="Q319" t="s">
        <v>74</v>
      </c>
      <c r="R319" t="s">
        <v>74</v>
      </c>
      <c r="S319" t="s">
        <v>74</v>
      </c>
      <c r="T319" t="s">
        <v>74</v>
      </c>
      <c r="U319" t="s">
        <v>74</v>
      </c>
      <c r="V319" t="s">
        <v>74</v>
      </c>
      <c r="W319" t="s">
        <v>74</v>
      </c>
      <c r="X319" t="s">
        <v>74</v>
      </c>
      <c r="Y319" t="s">
        <v>74</v>
      </c>
      <c r="Z319" t="s">
        <v>74</v>
      </c>
      <c r="AA319" t="s">
        <v>74</v>
      </c>
      <c r="AB319" t="s">
        <v>74</v>
      </c>
      <c r="AC319" t="s">
        <v>74</v>
      </c>
      <c r="AD319" t="s">
        <v>74</v>
      </c>
      <c r="AE319" t="s">
        <v>74</v>
      </c>
      <c r="AF319" t="s">
        <v>74</v>
      </c>
      <c r="AG319">
        <v>8</v>
      </c>
      <c r="AH319">
        <v>0</v>
      </c>
      <c r="AI319">
        <v>0</v>
      </c>
      <c r="AJ319">
        <v>0</v>
      </c>
      <c r="AK319">
        <v>0</v>
      </c>
      <c r="AL319" t="s">
        <v>1188</v>
      </c>
      <c r="AM319" t="s">
        <v>93</v>
      </c>
      <c r="AN319" t="s">
        <v>1189</v>
      </c>
      <c r="AO319" t="s">
        <v>5442</v>
      </c>
      <c r="AP319" t="s">
        <v>5443</v>
      </c>
      <c r="AQ319" t="s">
        <v>74</v>
      </c>
      <c r="AR319" t="s">
        <v>5444</v>
      </c>
      <c r="AS319" t="s">
        <v>5445</v>
      </c>
      <c r="AT319" t="s">
        <v>5386</v>
      </c>
      <c r="AU319">
        <v>2023</v>
      </c>
      <c r="AV319">
        <v>46</v>
      </c>
      <c r="AW319">
        <v>13</v>
      </c>
      <c r="AX319" t="s">
        <v>74</v>
      </c>
      <c r="AY319" t="s">
        <v>74</v>
      </c>
      <c r="AZ319" t="s">
        <v>74</v>
      </c>
      <c r="BA319" t="s">
        <v>74</v>
      </c>
      <c r="BB319">
        <v>2813</v>
      </c>
      <c r="BC319">
        <v>2814</v>
      </c>
      <c r="BD319" t="s">
        <v>74</v>
      </c>
      <c r="BE319" t="s">
        <v>5446</v>
      </c>
      <c r="BF319" t="str">
        <f>HYPERLINK("http://dx.doi.org/10.1080/01419870.2023.2238805","http://dx.doi.org/10.1080/01419870.2023.2238805")</f>
        <v>http://dx.doi.org/10.1080/01419870.2023.2238805</v>
      </c>
      <c r="BG319" t="s">
        <v>74</v>
      </c>
      <c r="BH319" t="s">
        <v>74</v>
      </c>
      <c r="BI319">
        <v>2</v>
      </c>
      <c r="BJ319" t="s">
        <v>5447</v>
      </c>
      <c r="BK319" t="s">
        <v>272</v>
      </c>
      <c r="BL319" t="s">
        <v>5447</v>
      </c>
      <c r="BM319" t="s">
        <v>5448</v>
      </c>
      <c r="BN319" t="s">
        <v>74</v>
      </c>
      <c r="BO319" t="s">
        <v>5391</v>
      </c>
      <c r="BP319" t="s">
        <v>74</v>
      </c>
      <c r="BQ319" t="s">
        <v>74</v>
      </c>
      <c r="BR319" t="s">
        <v>105</v>
      </c>
      <c r="BS319" t="s">
        <v>5449</v>
      </c>
      <c r="BT319" t="str">
        <f>HYPERLINK("https%3A%2F%2Fwww.webofscience.com%2Fwos%2Fwoscc%2Ffull-record%2FWOS:001057932900001","View Full Record in Web of Science")</f>
        <v>View Full Record in Web of Science</v>
      </c>
    </row>
    <row r="320" spans="1:72" x14ac:dyDescent="0.15">
      <c r="A320" t="s">
        <v>72</v>
      </c>
      <c r="B320" t="s">
        <v>5450</v>
      </c>
      <c r="C320" t="s">
        <v>74</v>
      </c>
      <c r="D320" t="s">
        <v>74</v>
      </c>
      <c r="E320" t="s">
        <v>74</v>
      </c>
      <c r="F320" t="s">
        <v>5451</v>
      </c>
      <c r="G320" t="s">
        <v>74</v>
      </c>
      <c r="H320" t="s">
        <v>74</v>
      </c>
      <c r="I320" t="s">
        <v>5452</v>
      </c>
      <c r="J320" t="s">
        <v>5453</v>
      </c>
      <c r="K320" t="s">
        <v>74</v>
      </c>
      <c r="L320" t="s">
        <v>74</v>
      </c>
      <c r="M320" t="s">
        <v>78</v>
      </c>
      <c r="N320" t="s">
        <v>79</v>
      </c>
      <c r="O320" t="s">
        <v>74</v>
      </c>
      <c r="P320" t="s">
        <v>74</v>
      </c>
      <c r="Q320" t="s">
        <v>74</v>
      </c>
      <c r="R320" t="s">
        <v>74</v>
      </c>
      <c r="S320" t="s">
        <v>74</v>
      </c>
      <c r="T320" t="s">
        <v>5454</v>
      </c>
      <c r="U320" t="s">
        <v>5455</v>
      </c>
      <c r="V320" t="s">
        <v>5456</v>
      </c>
      <c r="W320" t="s">
        <v>5457</v>
      </c>
      <c r="X320" t="s">
        <v>5458</v>
      </c>
      <c r="Y320" t="s">
        <v>5459</v>
      </c>
      <c r="Z320" t="s">
        <v>5460</v>
      </c>
      <c r="AA320" t="s">
        <v>5461</v>
      </c>
      <c r="AB320" t="s">
        <v>5462</v>
      </c>
      <c r="AC320" t="s">
        <v>74</v>
      </c>
      <c r="AD320" t="s">
        <v>74</v>
      </c>
      <c r="AE320" t="s">
        <v>74</v>
      </c>
      <c r="AF320" t="s">
        <v>74</v>
      </c>
      <c r="AG320">
        <v>31</v>
      </c>
      <c r="AH320">
        <v>0</v>
      </c>
      <c r="AI320">
        <v>0</v>
      </c>
      <c r="AJ320">
        <v>1</v>
      </c>
      <c r="AK320">
        <v>1</v>
      </c>
      <c r="AL320" t="s">
        <v>184</v>
      </c>
      <c r="AM320" t="s">
        <v>185</v>
      </c>
      <c r="AN320" t="s">
        <v>186</v>
      </c>
      <c r="AO320" t="s">
        <v>5463</v>
      </c>
      <c r="AP320" t="s">
        <v>5464</v>
      </c>
      <c r="AQ320" t="s">
        <v>74</v>
      </c>
      <c r="AR320" t="s">
        <v>5465</v>
      </c>
      <c r="AS320" t="s">
        <v>5466</v>
      </c>
      <c r="AT320" t="s">
        <v>5467</v>
      </c>
      <c r="AU320">
        <v>2023</v>
      </c>
      <c r="AV320">
        <v>45</v>
      </c>
      <c r="AW320">
        <v>4</v>
      </c>
      <c r="AX320" t="s">
        <v>74</v>
      </c>
      <c r="AY320" t="s">
        <v>74</v>
      </c>
      <c r="AZ320" t="s">
        <v>74</v>
      </c>
      <c r="BA320" t="s">
        <v>74</v>
      </c>
      <c r="BB320">
        <v>10952</v>
      </c>
      <c r="BC320">
        <v>10970</v>
      </c>
      <c r="BD320" t="s">
        <v>74</v>
      </c>
      <c r="BE320" t="s">
        <v>5468</v>
      </c>
      <c r="BF320" t="str">
        <f>HYPERLINK("http://dx.doi.org/10.1080/15567036.2023.2253762","http://dx.doi.org/10.1080/15567036.2023.2253762")</f>
        <v>http://dx.doi.org/10.1080/15567036.2023.2253762</v>
      </c>
      <c r="BG320" t="s">
        <v>74</v>
      </c>
      <c r="BH320" t="s">
        <v>74</v>
      </c>
      <c r="BI320">
        <v>19</v>
      </c>
      <c r="BJ320" t="s">
        <v>5469</v>
      </c>
      <c r="BK320" t="s">
        <v>102</v>
      </c>
      <c r="BL320" t="s">
        <v>5470</v>
      </c>
      <c r="BM320" t="s">
        <v>5471</v>
      </c>
      <c r="BN320" t="s">
        <v>74</v>
      </c>
      <c r="BO320" t="s">
        <v>74</v>
      </c>
      <c r="BP320" t="s">
        <v>74</v>
      </c>
      <c r="BQ320" t="s">
        <v>74</v>
      </c>
      <c r="BR320" t="s">
        <v>105</v>
      </c>
      <c r="BS320" t="s">
        <v>5472</v>
      </c>
      <c r="BT320" t="str">
        <f>HYPERLINK("https%3A%2F%2Fwww.webofscience.com%2Fwos%2Fwoscc%2Ffull-record%2FWOS:001063298900001","View Full Record in Web of Science")</f>
        <v>View Full Record in Web of Science</v>
      </c>
    </row>
    <row r="321" spans="1:72" x14ac:dyDescent="0.15">
      <c r="A321" t="s">
        <v>72</v>
      </c>
      <c r="B321" t="s">
        <v>5473</v>
      </c>
      <c r="C321" t="s">
        <v>74</v>
      </c>
      <c r="D321" t="s">
        <v>74</v>
      </c>
      <c r="E321" t="s">
        <v>74</v>
      </c>
      <c r="F321" t="s">
        <v>5474</v>
      </c>
      <c r="G321" t="s">
        <v>74</v>
      </c>
      <c r="H321" t="s">
        <v>74</v>
      </c>
      <c r="I321" t="s">
        <v>5475</v>
      </c>
      <c r="J321" t="s">
        <v>5453</v>
      </c>
      <c r="K321" t="s">
        <v>74</v>
      </c>
      <c r="L321" t="s">
        <v>74</v>
      </c>
      <c r="M321" t="s">
        <v>78</v>
      </c>
      <c r="N321" t="s">
        <v>79</v>
      </c>
      <c r="O321" t="s">
        <v>74</v>
      </c>
      <c r="P321" t="s">
        <v>74</v>
      </c>
      <c r="Q321" t="s">
        <v>74</v>
      </c>
      <c r="R321" t="s">
        <v>74</v>
      </c>
      <c r="S321" t="s">
        <v>74</v>
      </c>
      <c r="T321" t="s">
        <v>5476</v>
      </c>
      <c r="U321" t="s">
        <v>5477</v>
      </c>
      <c r="V321" t="s">
        <v>5478</v>
      </c>
      <c r="W321" t="s">
        <v>5479</v>
      </c>
      <c r="X321" t="s">
        <v>5480</v>
      </c>
      <c r="Y321" t="s">
        <v>5481</v>
      </c>
      <c r="Z321" t="s">
        <v>5482</v>
      </c>
      <c r="AA321" t="s">
        <v>74</v>
      </c>
      <c r="AB321" t="s">
        <v>5483</v>
      </c>
      <c r="AC321" t="s">
        <v>74</v>
      </c>
      <c r="AD321" t="s">
        <v>74</v>
      </c>
      <c r="AE321" t="s">
        <v>74</v>
      </c>
      <c r="AF321" t="s">
        <v>74</v>
      </c>
      <c r="AG321">
        <v>57</v>
      </c>
      <c r="AH321">
        <v>0</v>
      </c>
      <c r="AI321">
        <v>0</v>
      </c>
      <c r="AJ321">
        <v>1</v>
      </c>
      <c r="AK321">
        <v>1</v>
      </c>
      <c r="AL321" t="s">
        <v>184</v>
      </c>
      <c r="AM321" t="s">
        <v>185</v>
      </c>
      <c r="AN321" t="s">
        <v>186</v>
      </c>
      <c r="AO321" t="s">
        <v>5463</v>
      </c>
      <c r="AP321" t="s">
        <v>5464</v>
      </c>
      <c r="AQ321" t="s">
        <v>74</v>
      </c>
      <c r="AR321" t="s">
        <v>5465</v>
      </c>
      <c r="AS321" t="s">
        <v>5466</v>
      </c>
      <c r="AT321" t="s">
        <v>5467</v>
      </c>
      <c r="AU321">
        <v>2023</v>
      </c>
      <c r="AV321">
        <v>45</v>
      </c>
      <c r="AW321">
        <v>4</v>
      </c>
      <c r="AX321" t="s">
        <v>74</v>
      </c>
      <c r="AY321" t="s">
        <v>74</v>
      </c>
      <c r="AZ321" t="s">
        <v>74</v>
      </c>
      <c r="BA321" t="s">
        <v>74</v>
      </c>
      <c r="BB321">
        <v>10381</v>
      </c>
      <c r="BC321">
        <v>10407</v>
      </c>
      <c r="BD321" t="s">
        <v>74</v>
      </c>
      <c r="BE321" t="s">
        <v>5484</v>
      </c>
      <c r="BF321" t="str">
        <f>HYPERLINK("http://dx.doi.org/10.1080/15567036.2023.2245771","http://dx.doi.org/10.1080/15567036.2023.2245771")</f>
        <v>http://dx.doi.org/10.1080/15567036.2023.2245771</v>
      </c>
      <c r="BG321" t="s">
        <v>74</v>
      </c>
      <c r="BH321" t="s">
        <v>74</v>
      </c>
      <c r="BI321">
        <v>27</v>
      </c>
      <c r="BJ321" t="s">
        <v>5469</v>
      </c>
      <c r="BK321" t="s">
        <v>102</v>
      </c>
      <c r="BL321" t="s">
        <v>5470</v>
      </c>
      <c r="BM321" t="s">
        <v>5485</v>
      </c>
      <c r="BN321" t="s">
        <v>74</v>
      </c>
      <c r="BO321" t="s">
        <v>5486</v>
      </c>
      <c r="BP321" t="s">
        <v>74</v>
      </c>
      <c r="BQ321" t="s">
        <v>74</v>
      </c>
      <c r="BR321" t="s">
        <v>105</v>
      </c>
      <c r="BS321" t="s">
        <v>5487</v>
      </c>
      <c r="BT321" t="str">
        <f>HYPERLINK("https%3A%2F%2Fwww.webofscience.com%2Fwos%2Fwoscc%2Ffull-record%2FWOS:001048964000001","View Full Record in Web of Science")</f>
        <v>View Full Record in Web of Science</v>
      </c>
    </row>
    <row r="322" spans="1:72" x14ac:dyDescent="0.15">
      <c r="A322" t="s">
        <v>72</v>
      </c>
      <c r="B322" t="s">
        <v>5488</v>
      </c>
      <c r="C322" t="s">
        <v>74</v>
      </c>
      <c r="D322" t="s">
        <v>74</v>
      </c>
      <c r="E322" t="s">
        <v>74</v>
      </c>
      <c r="F322" t="s">
        <v>5489</v>
      </c>
      <c r="G322" t="s">
        <v>74</v>
      </c>
      <c r="H322" t="s">
        <v>74</v>
      </c>
      <c r="I322" t="s">
        <v>5490</v>
      </c>
      <c r="J322" t="s">
        <v>5491</v>
      </c>
      <c r="K322" t="s">
        <v>74</v>
      </c>
      <c r="L322" t="s">
        <v>74</v>
      </c>
      <c r="M322" t="s">
        <v>78</v>
      </c>
      <c r="N322" t="s">
        <v>5492</v>
      </c>
      <c r="O322" t="s">
        <v>74</v>
      </c>
      <c r="P322" t="s">
        <v>74</v>
      </c>
      <c r="Q322" t="s">
        <v>74</v>
      </c>
      <c r="R322" t="s">
        <v>74</v>
      </c>
      <c r="S322" t="s">
        <v>74</v>
      </c>
      <c r="T322" t="s">
        <v>5493</v>
      </c>
      <c r="U322" t="s">
        <v>5494</v>
      </c>
      <c r="V322" t="s">
        <v>5495</v>
      </c>
      <c r="W322" t="s">
        <v>5496</v>
      </c>
      <c r="X322" t="s">
        <v>5497</v>
      </c>
      <c r="Y322" t="s">
        <v>5498</v>
      </c>
      <c r="Z322" t="s">
        <v>5499</v>
      </c>
      <c r="AA322" t="s">
        <v>74</v>
      </c>
      <c r="AB322" t="s">
        <v>5500</v>
      </c>
      <c r="AC322" t="s">
        <v>74</v>
      </c>
      <c r="AD322" t="s">
        <v>74</v>
      </c>
      <c r="AE322" t="s">
        <v>74</v>
      </c>
      <c r="AF322" t="s">
        <v>74</v>
      </c>
      <c r="AG322">
        <v>91</v>
      </c>
      <c r="AH322">
        <v>0</v>
      </c>
      <c r="AI322">
        <v>0</v>
      </c>
      <c r="AJ322">
        <v>1</v>
      </c>
      <c r="AK322">
        <v>1</v>
      </c>
      <c r="AL322" t="s">
        <v>1188</v>
      </c>
      <c r="AM322" t="s">
        <v>93</v>
      </c>
      <c r="AN322" t="s">
        <v>1189</v>
      </c>
      <c r="AO322" t="s">
        <v>5501</v>
      </c>
      <c r="AP322" t="s">
        <v>5502</v>
      </c>
      <c r="AQ322" t="s">
        <v>74</v>
      </c>
      <c r="AR322" t="s">
        <v>5503</v>
      </c>
      <c r="AS322" t="s">
        <v>5504</v>
      </c>
      <c r="AT322" t="s">
        <v>5505</v>
      </c>
      <c r="AU322">
        <v>2023</v>
      </c>
      <c r="AV322" t="s">
        <v>74</v>
      </c>
      <c r="AW322" t="s">
        <v>74</v>
      </c>
      <c r="AX322" t="s">
        <v>74</v>
      </c>
      <c r="AY322" t="s">
        <v>74</v>
      </c>
      <c r="AZ322" t="s">
        <v>74</v>
      </c>
      <c r="BA322" t="s">
        <v>74</v>
      </c>
      <c r="BB322" t="s">
        <v>74</v>
      </c>
      <c r="BC322" t="s">
        <v>74</v>
      </c>
      <c r="BD322" t="s">
        <v>74</v>
      </c>
      <c r="BE322" t="s">
        <v>5506</v>
      </c>
      <c r="BF322" t="str">
        <f>HYPERLINK("http://dx.doi.org/10.1080/14751798.2023.2240654","http://dx.doi.org/10.1080/14751798.2023.2240654")</f>
        <v>http://dx.doi.org/10.1080/14751798.2023.2240654</v>
      </c>
      <c r="BG322" t="s">
        <v>74</v>
      </c>
      <c r="BH322" t="s">
        <v>5433</v>
      </c>
      <c r="BI322">
        <v>20</v>
      </c>
      <c r="BJ322" t="s">
        <v>5507</v>
      </c>
      <c r="BK322" t="s">
        <v>211</v>
      </c>
      <c r="BL322" t="s">
        <v>5507</v>
      </c>
      <c r="BM322" t="s">
        <v>5508</v>
      </c>
      <c r="BN322" t="s">
        <v>74</v>
      </c>
      <c r="BO322" t="s">
        <v>74</v>
      </c>
      <c r="BP322" t="s">
        <v>74</v>
      </c>
      <c r="BQ322" t="s">
        <v>74</v>
      </c>
      <c r="BR322" t="s">
        <v>105</v>
      </c>
      <c r="BS322" t="s">
        <v>5509</v>
      </c>
      <c r="BT322" t="str">
        <f>HYPERLINK("https%3A%2F%2Fwww.webofscience.com%2Fwos%2Fwoscc%2Ffull-record%2FWOS:001050317400001","View Full Record in Web of Science")</f>
        <v>View Full Record in Web of Science</v>
      </c>
    </row>
    <row r="323" spans="1:72" x14ac:dyDescent="0.15">
      <c r="A323" t="s">
        <v>72</v>
      </c>
      <c r="B323" t="s">
        <v>5510</v>
      </c>
      <c r="C323" t="s">
        <v>74</v>
      </c>
      <c r="D323" t="s">
        <v>74</v>
      </c>
      <c r="E323" t="s">
        <v>74</v>
      </c>
      <c r="F323" t="s">
        <v>5511</v>
      </c>
      <c r="G323" t="s">
        <v>74</v>
      </c>
      <c r="H323" t="s">
        <v>74</v>
      </c>
      <c r="I323" t="s">
        <v>5512</v>
      </c>
      <c r="J323" t="s">
        <v>5513</v>
      </c>
      <c r="K323" t="s">
        <v>74</v>
      </c>
      <c r="L323" t="s">
        <v>74</v>
      </c>
      <c r="M323" t="s">
        <v>78</v>
      </c>
      <c r="N323" t="s">
        <v>79</v>
      </c>
      <c r="O323" t="s">
        <v>74</v>
      </c>
      <c r="P323" t="s">
        <v>74</v>
      </c>
      <c r="Q323" t="s">
        <v>74</v>
      </c>
      <c r="R323" t="s">
        <v>74</v>
      </c>
      <c r="S323" t="s">
        <v>74</v>
      </c>
      <c r="T323" t="s">
        <v>74</v>
      </c>
      <c r="U323" t="s">
        <v>5514</v>
      </c>
      <c r="V323" t="s">
        <v>74</v>
      </c>
      <c r="W323" t="s">
        <v>5515</v>
      </c>
      <c r="X323" t="s">
        <v>5516</v>
      </c>
      <c r="Y323" t="s">
        <v>5517</v>
      </c>
      <c r="Z323" t="s">
        <v>5518</v>
      </c>
      <c r="AA323" t="s">
        <v>74</v>
      </c>
      <c r="AB323" t="s">
        <v>74</v>
      </c>
      <c r="AC323" t="s">
        <v>74</v>
      </c>
      <c r="AD323" t="s">
        <v>74</v>
      </c>
      <c r="AE323" t="s">
        <v>74</v>
      </c>
      <c r="AF323" t="s">
        <v>74</v>
      </c>
      <c r="AG323">
        <v>21</v>
      </c>
      <c r="AH323">
        <v>0</v>
      </c>
      <c r="AI323">
        <v>0</v>
      </c>
      <c r="AJ323">
        <v>0</v>
      </c>
      <c r="AK323">
        <v>0</v>
      </c>
      <c r="AL323" t="s">
        <v>1188</v>
      </c>
      <c r="AM323" t="s">
        <v>93</v>
      </c>
      <c r="AN323" t="s">
        <v>1189</v>
      </c>
      <c r="AO323" t="s">
        <v>5519</v>
      </c>
      <c r="AP323" t="s">
        <v>5520</v>
      </c>
      <c r="AQ323" t="s">
        <v>74</v>
      </c>
      <c r="AR323" t="s">
        <v>5521</v>
      </c>
      <c r="AS323" t="s">
        <v>5522</v>
      </c>
      <c r="AT323" t="s">
        <v>5467</v>
      </c>
      <c r="AU323">
        <v>2023</v>
      </c>
      <c r="AV323">
        <v>72</v>
      </c>
      <c r="AW323">
        <v>4</v>
      </c>
      <c r="AX323" t="s">
        <v>74</v>
      </c>
      <c r="AY323" t="s">
        <v>74</v>
      </c>
      <c r="AZ323" t="s">
        <v>74</v>
      </c>
      <c r="BA323" t="s">
        <v>74</v>
      </c>
      <c r="BB323">
        <v>423</v>
      </c>
      <c r="BC323">
        <v>428</v>
      </c>
      <c r="BD323" t="s">
        <v>74</v>
      </c>
      <c r="BE323" t="s">
        <v>5523</v>
      </c>
      <c r="BF323" t="str">
        <f>HYPERLINK("http://dx.doi.org/10.1080/03634523.2023.2234516","http://dx.doi.org/10.1080/03634523.2023.2234516")</f>
        <v>http://dx.doi.org/10.1080/03634523.2023.2234516</v>
      </c>
      <c r="BG323" t="s">
        <v>74</v>
      </c>
      <c r="BH323" t="s">
        <v>74</v>
      </c>
      <c r="BI323">
        <v>6</v>
      </c>
      <c r="BJ323" t="s">
        <v>5524</v>
      </c>
      <c r="BK323" t="s">
        <v>211</v>
      </c>
      <c r="BL323" t="s">
        <v>5524</v>
      </c>
      <c r="BM323" t="s">
        <v>5525</v>
      </c>
      <c r="BN323" t="s">
        <v>74</v>
      </c>
      <c r="BO323" t="s">
        <v>5391</v>
      </c>
      <c r="BP323" t="s">
        <v>74</v>
      </c>
      <c r="BQ323" t="s">
        <v>74</v>
      </c>
      <c r="BR323" t="s">
        <v>105</v>
      </c>
      <c r="BS323" t="s">
        <v>5526</v>
      </c>
      <c r="BT323" t="str">
        <f>HYPERLINK("https%3A%2F%2Fwww.webofscience.com%2Fwos%2Fwoscc%2Ffull-record%2FWOS:001043431400008","View Full Record in Web of Science")</f>
        <v>View Full Record in Web of Science</v>
      </c>
    </row>
    <row r="324" spans="1:72" x14ac:dyDescent="0.15">
      <c r="A324" t="s">
        <v>72</v>
      </c>
      <c r="B324" t="s">
        <v>5527</v>
      </c>
      <c r="C324" t="s">
        <v>74</v>
      </c>
      <c r="D324" t="s">
        <v>74</v>
      </c>
      <c r="E324" t="s">
        <v>74</v>
      </c>
      <c r="F324" t="s">
        <v>5528</v>
      </c>
      <c r="G324" t="s">
        <v>74</v>
      </c>
      <c r="H324" t="s">
        <v>74</v>
      </c>
      <c r="I324" t="s">
        <v>5529</v>
      </c>
      <c r="J324" t="s">
        <v>5530</v>
      </c>
      <c r="K324" t="s">
        <v>74</v>
      </c>
      <c r="L324" t="s">
        <v>74</v>
      </c>
      <c r="M324" t="s">
        <v>78</v>
      </c>
      <c r="N324" t="s">
        <v>5492</v>
      </c>
      <c r="O324" t="s">
        <v>74</v>
      </c>
      <c r="P324" t="s">
        <v>74</v>
      </c>
      <c r="Q324" t="s">
        <v>74</v>
      </c>
      <c r="R324" t="s">
        <v>74</v>
      </c>
      <c r="S324" t="s">
        <v>74</v>
      </c>
      <c r="T324" t="s">
        <v>5531</v>
      </c>
      <c r="U324" t="s">
        <v>5532</v>
      </c>
      <c r="V324" t="s">
        <v>5533</v>
      </c>
      <c r="W324" t="s">
        <v>5534</v>
      </c>
      <c r="X324" t="s">
        <v>5535</v>
      </c>
      <c r="Y324" t="s">
        <v>5536</v>
      </c>
      <c r="Z324" t="s">
        <v>5537</v>
      </c>
      <c r="AA324" t="s">
        <v>74</v>
      </c>
      <c r="AB324" t="s">
        <v>74</v>
      </c>
      <c r="AC324" t="s">
        <v>5538</v>
      </c>
      <c r="AD324" t="s">
        <v>5538</v>
      </c>
      <c r="AE324" t="s">
        <v>5538</v>
      </c>
      <c r="AF324" t="s">
        <v>74</v>
      </c>
      <c r="AG324">
        <v>63</v>
      </c>
      <c r="AH324">
        <v>0</v>
      </c>
      <c r="AI324">
        <v>0</v>
      </c>
      <c r="AJ324">
        <v>0</v>
      </c>
      <c r="AK324">
        <v>0</v>
      </c>
      <c r="AL324" t="s">
        <v>1188</v>
      </c>
      <c r="AM324" t="s">
        <v>93</v>
      </c>
      <c r="AN324" t="s">
        <v>1189</v>
      </c>
      <c r="AO324" t="s">
        <v>5539</v>
      </c>
      <c r="AP324" t="s">
        <v>5540</v>
      </c>
      <c r="AQ324" t="s">
        <v>74</v>
      </c>
      <c r="AR324" t="s">
        <v>5541</v>
      </c>
      <c r="AS324" t="s">
        <v>5542</v>
      </c>
      <c r="AT324" t="s">
        <v>5543</v>
      </c>
      <c r="AU324">
        <v>2023</v>
      </c>
      <c r="AV324" t="s">
        <v>74</v>
      </c>
      <c r="AW324" t="s">
        <v>74</v>
      </c>
      <c r="AX324" t="s">
        <v>74</v>
      </c>
      <c r="AY324" t="s">
        <v>74</v>
      </c>
      <c r="AZ324" t="s">
        <v>74</v>
      </c>
      <c r="BA324" t="s">
        <v>74</v>
      </c>
      <c r="BB324" t="s">
        <v>74</v>
      </c>
      <c r="BC324" t="s">
        <v>74</v>
      </c>
      <c r="BD324" t="s">
        <v>74</v>
      </c>
      <c r="BE324" t="s">
        <v>5544</v>
      </c>
      <c r="BF324" t="str">
        <f>HYPERLINK("http://dx.doi.org/10.1080/00313831.2023.2263469","http://dx.doi.org/10.1080/00313831.2023.2263469")</f>
        <v>http://dx.doi.org/10.1080/00313831.2023.2263469</v>
      </c>
      <c r="BG324" t="s">
        <v>74</v>
      </c>
      <c r="BH324" t="s">
        <v>5545</v>
      </c>
      <c r="BI324">
        <v>18</v>
      </c>
      <c r="BJ324" t="s">
        <v>271</v>
      </c>
      <c r="BK324" t="s">
        <v>272</v>
      </c>
      <c r="BL324" t="s">
        <v>271</v>
      </c>
      <c r="BM324" t="s">
        <v>5546</v>
      </c>
      <c r="BN324" t="s">
        <v>74</v>
      </c>
      <c r="BO324" t="s">
        <v>887</v>
      </c>
      <c r="BP324" t="s">
        <v>74</v>
      </c>
      <c r="BQ324" t="s">
        <v>74</v>
      </c>
      <c r="BR324" t="s">
        <v>105</v>
      </c>
      <c r="BS324" t="s">
        <v>5547</v>
      </c>
      <c r="BT324" t="str">
        <f>HYPERLINK("https%3A%2F%2Fwww.webofscience.com%2Fwos%2Fwoscc%2Ffull-record%2FWOS:001073066100001","View Full Record in Web of Science")</f>
        <v>View Full Record in Web of Science</v>
      </c>
    </row>
    <row r="325" spans="1:72" x14ac:dyDescent="0.15">
      <c r="A325" t="s">
        <v>72</v>
      </c>
      <c r="B325" t="s">
        <v>5548</v>
      </c>
      <c r="C325" t="s">
        <v>74</v>
      </c>
      <c r="D325" t="s">
        <v>74</v>
      </c>
      <c r="E325" t="s">
        <v>74</v>
      </c>
      <c r="F325" t="s">
        <v>5549</v>
      </c>
      <c r="G325" t="s">
        <v>74</v>
      </c>
      <c r="H325" t="s">
        <v>74</v>
      </c>
      <c r="I325" t="s">
        <v>5550</v>
      </c>
      <c r="J325" t="s">
        <v>5551</v>
      </c>
      <c r="K325" t="s">
        <v>74</v>
      </c>
      <c r="L325" t="s">
        <v>74</v>
      </c>
      <c r="M325" t="s">
        <v>78</v>
      </c>
      <c r="N325" t="s">
        <v>5492</v>
      </c>
      <c r="O325" t="s">
        <v>74</v>
      </c>
      <c r="P325" t="s">
        <v>74</v>
      </c>
      <c r="Q325" t="s">
        <v>74</v>
      </c>
      <c r="R325" t="s">
        <v>74</v>
      </c>
      <c r="S325" t="s">
        <v>74</v>
      </c>
      <c r="T325" t="s">
        <v>5552</v>
      </c>
      <c r="U325" t="s">
        <v>5553</v>
      </c>
      <c r="V325" t="s">
        <v>5554</v>
      </c>
      <c r="W325" t="s">
        <v>5555</v>
      </c>
      <c r="X325" t="s">
        <v>5556</v>
      </c>
      <c r="Y325" t="s">
        <v>5557</v>
      </c>
      <c r="Z325" t="s">
        <v>5558</v>
      </c>
      <c r="AA325" t="s">
        <v>74</v>
      </c>
      <c r="AB325" t="s">
        <v>74</v>
      </c>
      <c r="AC325" t="s">
        <v>5559</v>
      </c>
      <c r="AD325" t="s">
        <v>5559</v>
      </c>
      <c r="AE325" t="s">
        <v>5559</v>
      </c>
      <c r="AF325" t="s">
        <v>74</v>
      </c>
      <c r="AG325">
        <v>54</v>
      </c>
      <c r="AH325">
        <v>0</v>
      </c>
      <c r="AI325">
        <v>0</v>
      </c>
      <c r="AJ325">
        <v>0</v>
      </c>
      <c r="AK325">
        <v>0</v>
      </c>
      <c r="AL325" t="s">
        <v>1188</v>
      </c>
      <c r="AM325" t="s">
        <v>93</v>
      </c>
      <c r="AN325" t="s">
        <v>1189</v>
      </c>
      <c r="AO325" t="s">
        <v>5560</v>
      </c>
      <c r="AP325" t="s">
        <v>5561</v>
      </c>
      <c r="AQ325" t="s">
        <v>74</v>
      </c>
      <c r="AR325" t="s">
        <v>5562</v>
      </c>
      <c r="AS325" t="s">
        <v>5563</v>
      </c>
      <c r="AT325" t="s">
        <v>5564</v>
      </c>
      <c r="AU325">
        <v>2023</v>
      </c>
      <c r="AV325" t="s">
        <v>74</v>
      </c>
      <c r="AW325" t="s">
        <v>74</v>
      </c>
      <c r="AX325" t="s">
        <v>74</v>
      </c>
      <c r="AY325" t="s">
        <v>74</v>
      </c>
      <c r="AZ325" t="s">
        <v>74</v>
      </c>
      <c r="BA325" t="s">
        <v>74</v>
      </c>
      <c r="BB325" t="s">
        <v>74</v>
      </c>
      <c r="BC325" t="s">
        <v>74</v>
      </c>
      <c r="BD325" t="s">
        <v>74</v>
      </c>
      <c r="BE325" t="s">
        <v>5565</v>
      </c>
      <c r="BF325" t="str">
        <f>HYPERLINK("http://dx.doi.org/10.1080/07294360.2023.2258820","http://dx.doi.org/10.1080/07294360.2023.2258820")</f>
        <v>http://dx.doi.org/10.1080/07294360.2023.2258820</v>
      </c>
      <c r="BG325" t="s">
        <v>74</v>
      </c>
      <c r="BH325" t="s">
        <v>5545</v>
      </c>
      <c r="BI325">
        <v>15</v>
      </c>
      <c r="BJ325" t="s">
        <v>271</v>
      </c>
      <c r="BK325" t="s">
        <v>272</v>
      </c>
      <c r="BL325" t="s">
        <v>271</v>
      </c>
      <c r="BM325" t="s">
        <v>5566</v>
      </c>
      <c r="BN325" t="s">
        <v>74</v>
      </c>
      <c r="BO325" t="s">
        <v>74</v>
      </c>
      <c r="BP325" t="s">
        <v>74</v>
      </c>
      <c r="BQ325" t="s">
        <v>74</v>
      </c>
      <c r="BR325" t="s">
        <v>105</v>
      </c>
      <c r="BS325" t="s">
        <v>5567</v>
      </c>
      <c r="BT325" t="str">
        <f>HYPERLINK("https%3A%2F%2Fwww.webofscience.com%2Fwos%2Fwoscc%2Ffull-record%2FWOS:001073022100001","View Full Record in Web of Science")</f>
        <v>View Full Record in Web of Science</v>
      </c>
    </row>
    <row r="326" spans="1:72" x14ac:dyDescent="0.15">
      <c r="A326" t="s">
        <v>72</v>
      </c>
      <c r="B326" t="s">
        <v>5568</v>
      </c>
      <c r="C326" t="s">
        <v>74</v>
      </c>
      <c r="D326" t="s">
        <v>74</v>
      </c>
      <c r="E326" t="s">
        <v>74</v>
      </c>
      <c r="F326" t="s">
        <v>5569</v>
      </c>
      <c r="G326" t="s">
        <v>74</v>
      </c>
      <c r="H326" t="s">
        <v>74</v>
      </c>
      <c r="I326" t="s">
        <v>5570</v>
      </c>
      <c r="J326" t="s">
        <v>5571</v>
      </c>
      <c r="K326" t="s">
        <v>74</v>
      </c>
      <c r="L326" t="s">
        <v>74</v>
      </c>
      <c r="M326" t="s">
        <v>78</v>
      </c>
      <c r="N326" t="s">
        <v>5492</v>
      </c>
      <c r="O326" t="s">
        <v>74</v>
      </c>
      <c r="P326" t="s">
        <v>74</v>
      </c>
      <c r="Q326" t="s">
        <v>74</v>
      </c>
      <c r="R326" t="s">
        <v>74</v>
      </c>
      <c r="S326" t="s">
        <v>74</v>
      </c>
      <c r="T326" t="s">
        <v>5572</v>
      </c>
      <c r="U326" t="s">
        <v>5573</v>
      </c>
      <c r="V326" t="s">
        <v>5574</v>
      </c>
      <c r="W326" t="s">
        <v>5575</v>
      </c>
      <c r="X326" t="s">
        <v>5576</v>
      </c>
      <c r="Y326" t="s">
        <v>5577</v>
      </c>
      <c r="Z326" t="s">
        <v>5578</v>
      </c>
      <c r="AA326" t="s">
        <v>74</v>
      </c>
      <c r="AB326" t="s">
        <v>74</v>
      </c>
      <c r="AC326" t="s">
        <v>5579</v>
      </c>
      <c r="AD326" t="s">
        <v>5580</v>
      </c>
      <c r="AE326" t="s">
        <v>5581</v>
      </c>
      <c r="AF326" t="s">
        <v>74</v>
      </c>
      <c r="AG326">
        <v>63</v>
      </c>
      <c r="AH326">
        <v>0</v>
      </c>
      <c r="AI326">
        <v>0</v>
      </c>
      <c r="AJ326">
        <v>0</v>
      </c>
      <c r="AK326">
        <v>0</v>
      </c>
      <c r="AL326" t="s">
        <v>1188</v>
      </c>
      <c r="AM326" t="s">
        <v>93</v>
      </c>
      <c r="AN326" t="s">
        <v>1189</v>
      </c>
      <c r="AO326" t="s">
        <v>5582</v>
      </c>
      <c r="AP326" t="s">
        <v>5583</v>
      </c>
      <c r="AQ326" t="s">
        <v>74</v>
      </c>
      <c r="AR326" t="s">
        <v>5584</v>
      </c>
      <c r="AS326" t="s">
        <v>5585</v>
      </c>
      <c r="AT326" t="s">
        <v>5586</v>
      </c>
      <c r="AU326">
        <v>2023</v>
      </c>
      <c r="AV326" t="s">
        <v>74</v>
      </c>
      <c r="AW326" t="s">
        <v>74</v>
      </c>
      <c r="AX326" t="s">
        <v>74</v>
      </c>
      <c r="AY326" t="s">
        <v>74</v>
      </c>
      <c r="AZ326" t="s">
        <v>74</v>
      </c>
      <c r="BA326" t="s">
        <v>74</v>
      </c>
      <c r="BB326" t="s">
        <v>74</v>
      </c>
      <c r="BC326" t="s">
        <v>74</v>
      </c>
      <c r="BD326" t="s">
        <v>74</v>
      </c>
      <c r="BE326" t="s">
        <v>5587</v>
      </c>
      <c r="BF326" t="str">
        <f>HYPERLINK("http://dx.doi.org/10.1080/00343404.2023.2244527","http://dx.doi.org/10.1080/00343404.2023.2244527")</f>
        <v>http://dx.doi.org/10.1080/00343404.2023.2244527</v>
      </c>
      <c r="BG326" t="s">
        <v>74</v>
      </c>
      <c r="BH326" t="s">
        <v>5545</v>
      </c>
      <c r="BI326">
        <v>12</v>
      </c>
      <c r="BJ326" t="s">
        <v>5588</v>
      </c>
      <c r="BK326" t="s">
        <v>272</v>
      </c>
      <c r="BL326" t="s">
        <v>5589</v>
      </c>
      <c r="BM326" t="s">
        <v>5590</v>
      </c>
      <c r="BN326" t="s">
        <v>74</v>
      </c>
      <c r="BO326" t="s">
        <v>74</v>
      </c>
      <c r="BP326" t="s">
        <v>74</v>
      </c>
      <c r="BQ326" t="s">
        <v>74</v>
      </c>
      <c r="BR326" t="s">
        <v>105</v>
      </c>
      <c r="BS326" t="s">
        <v>5591</v>
      </c>
      <c r="BT326" t="str">
        <f>HYPERLINK("https%3A%2F%2Fwww.webofscience.com%2Fwos%2Fwoscc%2Ffull-record%2FWOS:001071534200001","View Full Record in Web of Science")</f>
        <v>View Full Record in Web of Science</v>
      </c>
    </row>
    <row r="327" spans="1:72" x14ac:dyDescent="0.15">
      <c r="A327" t="s">
        <v>72</v>
      </c>
      <c r="B327" t="s">
        <v>5592</v>
      </c>
      <c r="C327" t="s">
        <v>74</v>
      </c>
      <c r="D327" t="s">
        <v>74</v>
      </c>
      <c r="E327" t="s">
        <v>74</v>
      </c>
      <c r="F327" t="s">
        <v>5593</v>
      </c>
      <c r="G327" t="s">
        <v>74</v>
      </c>
      <c r="H327" t="s">
        <v>74</v>
      </c>
      <c r="I327" t="s">
        <v>5594</v>
      </c>
      <c r="J327" t="s">
        <v>5595</v>
      </c>
      <c r="K327" t="s">
        <v>74</v>
      </c>
      <c r="L327" t="s">
        <v>74</v>
      </c>
      <c r="M327" t="s">
        <v>78</v>
      </c>
      <c r="N327" t="s">
        <v>5492</v>
      </c>
      <c r="O327" t="s">
        <v>74</v>
      </c>
      <c r="P327" t="s">
        <v>74</v>
      </c>
      <c r="Q327" t="s">
        <v>74</v>
      </c>
      <c r="R327" t="s">
        <v>74</v>
      </c>
      <c r="S327" t="s">
        <v>74</v>
      </c>
      <c r="T327" t="s">
        <v>5596</v>
      </c>
      <c r="U327" t="s">
        <v>5597</v>
      </c>
      <c r="V327" t="s">
        <v>5598</v>
      </c>
      <c r="W327" t="s">
        <v>5599</v>
      </c>
      <c r="X327" t="s">
        <v>5600</v>
      </c>
      <c r="Y327" t="s">
        <v>5601</v>
      </c>
      <c r="Z327" t="s">
        <v>5602</v>
      </c>
      <c r="AA327" t="s">
        <v>74</v>
      </c>
      <c r="AB327" t="s">
        <v>74</v>
      </c>
      <c r="AC327" t="s">
        <v>5603</v>
      </c>
      <c r="AD327" t="s">
        <v>5603</v>
      </c>
      <c r="AE327" t="s">
        <v>5603</v>
      </c>
      <c r="AF327" t="s">
        <v>74</v>
      </c>
      <c r="AG327">
        <v>35</v>
      </c>
      <c r="AH327">
        <v>0</v>
      </c>
      <c r="AI327">
        <v>0</v>
      </c>
      <c r="AJ327">
        <v>0</v>
      </c>
      <c r="AK327">
        <v>0</v>
      </c>
      <c r="AL327" t="s">
        <v>1188</v>
      </c>
      <c r="AM327" t="s">
        <v>93</v>
      </c>
      <c r="AN327" t="s">
        <v>1189</v>
      </c>
      <c r="AO327" t="s">
        <v>5604</v>
      </c>
      <c r="AP327" t="s">
        <v>5605</v>
      </c>
      <c r="AQ327" t="s">
        <v>74</v>
      </c>
      <c r="AR327" t="s">
        <v>5606</v>
      </c>
      <c r="AS327" t="s">
        <v>5607</v>
      </c>
      <c r="AT327" t="s">
        <v>5586</v>
      </c>
      <c r="AU327">
        <v>2023</v>
      </c>
      <c r="AV327" t="s">
        <v>74</v>
      </c>
      <c r="AW327" t="s">
        <v>74</v>
      </c>
      <c r="AX327" t="s">
        <v>74</v>
      </c>
      <c r="AY327" t="s">
        <v>74</v>
      </c>
      <c r="AZ327" t="s">
        <v>74</v>
      </c>
      <c r="BA327" t="s">
        <v>74</v>
      </c>
      <c r="BB327" t="s">
        <v>74</v>
      </c>
      <c r="BC327" t="s">
        <v>74</v>
      </c>
      <c r="BD327" t="s">
        <v>74</v>
      </c>
      <c r="BE327" t="s">
        <v>5608</v>
      </c>
      <c r="BF327" t="str">
        <f>HYPERLINK("http://dx.doi.org/10.1080/03075079.2023.2262507","http://dx.doi.org/10.1080/03075079.2023.2262507")</f>
        <v>http://dx.doi.org/10.1080/03075079.2023.2262507</v>
      </c>
      <c r="BG327" t="s">
        <v>74</v>
      </c>
      <c r="BH327" t="s">
        <v>5545</v>
      </c>
      <c r="BI327">
        <v>12</v>
      </c>
      <c r="BJ327" t="s">
        <v>271</v>
      </c>
      <c r="BK327" t="s">
        <v>272</v>
      </c>
      <c r="BL327" t="s">
        <v>271</v>
      </c>
      <c r="BM327" t="s">
        <v>5609</v>
      </c>
      <c r="BN327" t="s">
        <v>74</v>
      </c>
      <c r="BO327" t="s">
        <v>887</v>
      </c>
      <c r="BP327" t="s">
        <v>74</v>
      </c>
      <c r="BQ327" t="s">
        <v>74</v>
      </c>
      <c r="BR327" t="s">
        <v>105</v>
      </c>
      <c r="BS327" t="s">
        <v>5610</v>
      </c>
      <c r="BT327" t="str">
        <f>HYPERLINK("https%3A%2F%2Fwww.webofscience.com%2Fwos%2Fwoscc%2Ffull-record%2FWOS:001070158800001","View Full Record in Web of Science")</f>
        <v>View Full Record in Web of Science</v>
      </c>
    </row>
    <row r="328" spans="1:72" x14ac:dyDescent="0.15">
      <c r="A328" t="s">
        <v>72</v>
      </c>
      <c r="B328" t="s">
        <v>5611</v>
      </c>
      <c r="C328" t="s">
        <v>74</v>
      </c>
      <c r="D328" t="s">
        <v>74</v>
      </c>
      <c r="E328" t="s">
        <v>74</v>
      </c>
      <c r="F328" t="s">
        <v>5612</v>
      </c>
      <c r="G328" t="s">
        <v>74</v>
      </c>
      <c r="H328" t="s">
        <v>74</v>
      </c>
      <c r="I328" t="s">
        <v>5613</v>
      </c>
      <c r="J328" t="s">
        <v>5614</v>
      </c>
      <c r="K328" t="s">
        <v>74</v>
      </c>
      <c r="L328" t="s">
        <v>74</v>
      </c>
      <c r="M328" t="s">
        <v>78</v>
      </c>
      <c r="N328" t="s">
        <v>5492</v>
      </c>
      <c r="O328" t="s">
        <v>74</v>
      </c>
      <c r="P328" t="s">
        <v>74</v>
      </c>
      <c r="Q328" t="s">
        <v>74</v>
      </c>
      <c r="R328" t="s">
        <v>74</v>
      </c>
      <c r="S328" t="s">
        <v>74</v>
      </c>
      <c r="T328" t="s">
        <v>5615</v>
      </c>
      <c r="U328" t="s">
        <v>5616</v>
      </c>
      <c r="V328" t="s">
        <v>5617</v>
      </c>
      <c r="W328" t="s">
        <v>5618</v>
      </c>
      <c r="X328" t="s">
        <v>5619</v>
      </c>
      <c r="Y328" t="s">
        <v>5620</v>
      </c>
      <c r="Z328" t="s">
        <v>5621</v>
      </c>
      <c r="AA328" t="s">
        <v>74</v>
      </c>
      <c r="AB328" t="s">
        <v>74</v>
      </c>
      <c r="AC328" t="s">
        <v>5622</v>
      </c>
      <c r="AD328" t="s">
        <v>5623</v>
      </c>
      <c r="AE328" t="s">
        <v>5624</v>
      </c>
      <c r="AF328" t="s">
        <v>74</v>
      </c>
      <c r="AG328">
        <v>41</v>
      </c>
      <c r="AH328">
        <v>0</v>
      </c>
      <c r="AI328">
        <v>0</v>
      </c>
      <c r="AJ328">
        <v>0</v>
      </c>
      <c r="AK328">
        <v>0</v>
      </c>
      <c r="AL328" t="s">
        <v>92</v>
      </c>
      <c r="AM328" t="s">
        <v>93</v>
      </c>
      <c r="AN328" t="s">
        <v>94</v>
      </c>
      <c r="AO328" t="s">
        <v>5625</v>
      </c>
      <c r="AP328" t="s">
        <v>5626</v>
      </c>
      <c r="AQ328" t="s">
        <v>74</v>
      </c>
      <c r="AR328" t="s">
        <v>5627</v>
      </c>
      <c r="AS328" t="s">
        <v>5628</v>
      </c>
      <c r="AT328" t="s">
        <v>5586</v>
      </c>
      <c r="AU328">
        <v>2023</v>
      </c>
      <c r="AV328" t="s">
        <v>74</v>
      </c>
      <c r="AW328" t="s">
        <v>74</v>
      </c>
      <c r="AX328" t="s">
        <v>74</v>
      </c>
      <c r="AY328" t="s">
        <v>74</v>
      </c>
      <c r="AZ328" t="s">
        <v>74</v>
      </c>
      <c r="BA328" t="s">
        <v>74</v>
      </c>
      <c r="BB328" t="s">
        <v>74</v>
      </c>
      <c r="BC328" t="s">
        <v>74</v>
      </c>
      <c r="BD328" t="s">
        <v>74</v>
      </c>
      <c r="BE328" t="s">
        <v>5629</v>
      </c>
      <c r="BF328" t="str">
        <f>HYPERLINK("http://dx.doi.org/10.1080/24754269.2023.2261351","http://dx.doi.org/10.1080/24754269.2023.2261351")</f>
        <v>http://dx.doi.org/10.1080/24754269.2023.2261351</v>
      </c>
      <c r="BG328" t="s">
        <v>74</v>
      </c>
      <c r="BH328" t="s">
        <v>5545</v>
      </c>
      <c r="BI328">
        <v>14</v>
      </c>
      <c r="BJ328" t="s">
        <v>5630</v>
      </c>
      <c r="BK328" t="s">
        <v>211</v>
      </c>
      <c r="BL328" t="s">
        <v>5435</v>
      </c>
      <c r="BM328" t="s">
        <v>5631</v>
      </c>
      <c r="BN328" t="s">
        <v>74</v>
      </c>
      <c r="BO328" t="s">
        <v>126</v>
      </c>
      <c r="BP328" t="s">
        <v>74</v>
      </c>
      <c r="BQ328" t="s">
        <v>74</v>
      </c>
      <c r="BR328" t="s">
        <v>105</v>
      </c>
      <c r="BS328" t="s">
        <v>5632</v>
      </c>
      <c r="BT328" t="str">
        <f>HYPERLINK("https%3A%2F%2Fwww.webofscience.com%2Fwos%2Fwoscc%2Ffull-record%2FWOS:001072154300001","View Full Record in Web of Science")</f>
        <v>View Full Record in Web of Science</v>
      </c>
    </row>
    <row r="329" spans="1:72" x14ac:dyDescent="0.15">
      <c r="A329" t="s">
        <v>72</v>
      </c>
      <c r="B329" t="s">
        <v>5633</v>
      </c>
      <c r="C329" t="s">
        <v>74</v>
      </c>
      <c r="D329" t="s">
        <v>74</v>
      </c>
      <c r="E329" t="s">
        <v>74</v>
      </c>
      <c r="F329" t="s">
        <v>5634</v>
      </c>
      <c r="G329" t="s">
        <v>74</v>
      </c>
      <c r="H329" t="s">
        <v>74</v>
      </c>
      <c r="I329" t="s">
        <v>5635</v>
      </c>
      <c r="J329" t="s">
        <v>5636</v>
      </c>
      <c r="K329" t="s">
        <v>74</v>
      </c>
      <c r="L329" t="s">
        <v>74</v>
      </c>
      <c r="M329" t="s">
        <v>78</v>
      </c>
      <c r="N329" t="s">
        <v>5492</v>
      </c>
      <c r="O329" t="s">
        <v>74</v>
      </c>
      <c r="P329" t="s">
        <v>74</v>
      </c>
      <c r="Q329" t="s">
        <v>74</v>
      </c>
      <c r="R329" t="s">
        <v>74</v>
      </c>
      <c r="S329" t="s">
        <v>74</v>
      </c>
      <c r="T329" t="s">
        <v>5637</v>
      </c>
      <c r="U329" t="s">
        <v>5638</v>
      </c>
      <c r="V329" t="s">
        <v>5639</v>
      </c>
      <c r="W329" t="s">
        <v>5640</v>
      </c>
      <c r="X329" t="s">
        <v>5641</v>
      </c>
      <c r="Y329" t="s">
        <v>5642</v>
      </c>
      <c r="Z329" t="s">
        <v>5643</v>
      </c>
      <c r="AA329" t="s">
        <v>74</v>
      </c>
      <c r="AB329" t="s">
        <v>74</v>
      </c>
      <c r="AC329" t="s">
        <v>74</v>
      </c>
      <c r="AD329" t="s">
        <v>74</v>
      </c>
      <c r="AE329" t="s">
        <v>74</v>
      </c>
      <c r="AF329" t="s">
        <v>74</v>
      </c>
      <c r="AG329">
        <v>24</v>
      </c>
      <c r="AH329">
        <v>0</v>
      </c>
      <c r="AI329">
        <v>0</v>
      </c>
      <c r="AJ329">
        <v>0</v>
      </c>
      <c r="AK329">
        <v>0</v>
      </c>
      <c r="AL329" t="s">
        <v>92</v>
      </c>
      <c r="AM329" t="s">
        <v>93</v>
      </c>
      <c r="AN329" t="s">
        <v>94</v>
      </c>
      <c r="AO329" t="s">
        <v>5644</v>
      </c>
      <c r="AP329" t="s">
        <v>5645</v>
      </c>
      <c r="AQ329" t="s">
        <v>74</v>
      </c>
      <c r="AR329" t="s">
        <v>5646</v>
      </c>
      <c r="AS329" t="s">
        <v>5647</v>
      </c>
      <c r="AT329" t="s">
        <v>5586</v>
      </c>
      <c r="AU329">
        <v>2023</v>
      </c>
      <c r="AV329" t="s">
        <v>74</v>
      </c>
      <c r="AW329" t="s">
        <v>74</v>
      </c>
      <c r="AX329" t="s">
        <v>74</v>
      </c>
      <c r="AY329" t="s">
        <v>74</v>
      </c>
      <c r="AZ329" t="s">
        <v>74</v>
      </c>
      <c r="BA329" t="s">
        <v>74</v>
      </c>
      <c r="BB329" t="s">
        <v>74</v>
      </c>
      <c r="BC329" t="s">
        <v>74</v>
      </c>
      <c r="BD329" t="s">
        <v>74</v>
      </c>
      <c r="BE329" t="s">
        <v>5648</v>
      </c>
      <c r="BF329" t="str">
        <f>HYPERLINK("http://dx.doi.org/10.1080/02670844.2023.2260049","http://dx.doi.org/10.1080/02670844.2023.2260049")</f>
        <v>http://dx.doi.org/10.1080/02670844.2023.2260049</v>
      </c>
      <c r="BG329" t="s">
        <v>74</v>
      </c>
      <c r="BH329" t="s">
        <v>5545</v>
      </c>
      <c r="BI329">
        <v>7</v>
      </c>
      <c r="BJ329" t="s">
        <v>5649</v>
      </c>
      <c r="BK329" t="s">
        <v>102</v>
      </c>
      <c r="BL329" t="s">
        <v>1594</v>
      </c>
      <c r="BM329" t="s">
        <v>5650</v>
      </c>
      <c r="BN329" t="s">
        <v>74</v>
      </c>
      <c r="BO329" t="s">
        <v>74</v>
      </c>
      <c r="BP329" t="s">
        <v>74</v>
      </c>
      <c r="BQ329" t="s">
        <v>74</v>
      </c>
      <c r="BR329" t="s">
        <v>105</v>
      </c>
      <c r="BS329" t="s">
        <v>5651</v>
      </c>
      <c r="BT329" t="str">
        <f>HYPERLINK("https%3A%2F%2Fwww.webofscience.com%2Fwos%2Fwoscc%2Ffull-record%2FWOS:001071554100001","View Full Record in Web of Science")</f>
        <v>View Full Record in Web of Science</v>
      </c>
    </row>
    <row r="330" spans="1:72" x14ac:dyDescent="0.15">
      <c r="A330" t="s">
        <v>72</v>
      </c>
      <c r="B330" t="s">
        <v>5652</v>
      </c>
      <c r="C330" t="s">
        <v>74</v>
      </c>
      <c r="D330" t="s">
        <v>74</v>
      </c>
      <c r="E330" t="s">
        <v>74</v>
      </c>
      <c r="F330" t="s">
        <v>5653</v>
      </c>
      <c r="G330" t="s">
        <v>74</v>
      </c>
      <c r="H330" t="s">
        <v>74</v>
      </c>
      <c r="I330" t="s">
        <v>5654</v>
      </c>
      <c r="J330" t="s">
        <v>5655</v>
      </c>
      <c r="K330" t="s">
        <v>74</v>
      </c>
      <c r="L330" t="s">
        <v>74</v>
      </c>
      <c r="M330" t="s">
        <v>78</v>
      </c>
      <c r="N330" t="s">
        <v>5492</v>
      </c>
      <c r="O330" t="s">
        <v>74</v>
      </c>
      <c r="P330" t="s">
        <v>74</v>
      </c>
      <c r="Q330" t="s">
        <v>74</v>
      </c>
      <c r="R330" t="s">
        <v>74</v>
      </c>
      <c r="S330" t="s">
        <v>74</v>
      </c>
      <c r="T330" t="s">
        <v>74</v>
      </c>
      <c r="U330" t="s">
        <v>5656</v>
      </c>
      <c r="V330" t="s">
        <v>5657</v>
      </c>
      <c r="W330" t="s">
        <v>5658</v>
      </c>
      <c r="X330" t="s">
        <v>5659</v>
      </c>
      <c r="Y330" t="s">
        <v>5660</v>
      </c>
      <c r="Z330" t="s">
        <v>5661</v>
      </c>
      <c r="AA330" t="s">
        <v>74</v>
      </c>
      <c r="AB330" t="s">
        <v>5662</v>
      </c>
      <c r="AC330" t="s">
        <v>5663</v>
      </c>
      <c r="AD330" t="s">
        <v>5664</v>
      </c>
      <c r="AE330" t="s">
        <v>5665</v>
      </c>
      <c r="AF330" t="s">
        <v>74</v>
      </c>
      <c r="AG330">
        <v>69</v>
      </c>
      <c r="AH330">
        <v>0</v>
      </c>
      <c r="AI330">
        <v>0</v>
      </c>
      <c r="AJ330">
        <v>0</v>
      </c>
      <c r="AK330">
        <v>0</v>
      </c>
      <c r="AL330" t="s">
        <v>1188</v>
      </c>
      <c r="AM330" t="s">
        <v>93</v>
      </c>
      <c r="AN330" t="s">
        <v>1189</v>
      </c>
      <c r="AO330" t="s">
        <v>5666</v>
      </c>
      <c r="AP330" t="s">
        <v>5667</v>
      </c>
      <c r="AQ330" t="s">
        <v>74</v>
      </c>
      <c r="AR330" t="s">
        <v>5668</v>
      </c>
      <c r="AS330" t="s">
        <v>5669</v>
      </c>
      <c r="AT330" t="s">
        <v>5670</v>
      </c>
      <c r="AU330">
        <v>2023</v>
      </c>
      <c r="AV330" t="s">
        <v>74</v>
      </c>
      <c r="AW330" t="s">
        <v>74</v>
      </c>
      <c r="AX330" t="s">
        <v>74</v>
      </c>
      <c r="AY330" t="s">
        <v>74</v>
      </c>
      <c r="AZ330" t="s">
        <v>74</v>
      </c>
      <c r="BA330" t="s">
        <v>74</v>
      </c>
      <c r="BB330" t="s">
        <v>74</v>
      </c>
      <c r="BC330" t="s">
        <v>74</v>
      </c>
      <c r="BD330" t="s">
        <v>74</v>
      </c>
      <c r="BE330" t="s">
        <v>5671</v>
      </c>
      <c r="BF330" t="str">
        <f>HYPERLINK("http://dx.doi.org/10.1080/10409289.2023.2260680","http://dx.doi.org/10.1080/10409289.2023.2260680")</f>
        <v>http://dx.doi.org/10.1080/10409289.2023.2260680</v>
      </c>
      <c r="BG330" t="s">
        <v>74</v>
      </c>
      <c r="BH330" t="s">
        <v>5545</v>
      </c>
      <c r="BI330">
        <v>18</v>
      </c>
      <c r="BJ330" t="s">
        <v>5672</v>
      </c>
      <c r="BK330" t="s">
        <v>272</v>
      </c>
      <c r="BL330" t="s">
        <v>5673</v>
      </c>
      <c r="BM330" t="s">
        <v>5674</v>
      </c>
      <c r="BN330" t="s">
        <v>74</v>
      </c>
      <c r="BO330" t="s">
        <v>74</v>
      </c>
      <c r="BP330" t="s">
        <v>74</v>
      </c>
      <c r="BQ330" t="s">
        <v>74</v>
      </c>
      <c r="BR330" t="s">
        <v>105</v>
      </c>
      <c r="BS330" t="s">
        <v>5675</v>
      </c>
      <c r="BT330" t="str">
        <f>HYPERLINK("https%3A%2F%2Fwww.webofscience.com%2Fwos%2Fwoscc%2Ffull-record%2FWOS:001070553800001","View Full Record in Web of Science")</f>
        <v>View Full Record in Web of Science</v>
      </c>
    </row>
    <row r="331" spans="1:72" x14ac:dyDescent="0.15">
      <c r="A331" t="s">
        <v>72</v>
      </c>
      <c r="B331" t="s">
        <v>5676</v>
      </c>
      <c r="C331" t="s">
        <v>74</v>
      </c>
      <c r="D331" t="s">
        <v>74</v>
      </c>
      <c r="E331" t="s">
        <v>74</v>
      </c>
      <c r="F331" t="s">
        <v>5677</v>
      </c>
      <c r="G331" t="s">
        <v>74</v>
      </c>
      <c r="H331" t="s">
        <v>74</v>
      </c>
      <c r="I331" t="s">
        <v>5678</v>
      </c>
      <c r="J331" t="s">
        <v>5679</v>
      </c>
      <c r="K331" t="s">
        <v>74</v>
      </c>
      <c r="L331" t="s">
        <v>74</v>
      </c>
      <c r="M331" t="s">
        <v>78</v>
      </c>
      <c r="N331" t="s">
        <v>5492</v>
      </c>
      <c r="O331" t="s">
        <v>74</v>
      </c>
      <c r="P331" t="s">
        <v>74</v>
      </c>
      <c r="Q331" t="s">
        <v>74</v>
      </c>
      <c r="R331" t="s">
        <v>74</v>
      </c>
      <c r="S331" t="s">
        <v>74</v>
      </c>
      <c r="T331" t="s">
        <v>5680</v>
      </c>
      <c r="U331" t="s">
        <v>5681</v>
      </c>
      <c r="V331" t="s">
        <v>5682</v>
      </c>
      <c r="W331" t="s">
        <v>5683</v>
      </c>
      <c r="X331" t="s">
        <v>5684</v>
      </c>
      <c r="Y331" t="s">
        <v>5685</v>
      </c>
      <c r="Z331" t="s">
        <v>5686</v>
      </c>
      <c r="AA331" t="s">
        <v>74</v>
      </c>
      <c r="AB331" t="s">
        <v>74</v>
      </c>
      <c r="AC331" t="s">
        <v>5687</v>
      </c>
      <c r="AD331" t="s">
        <v>1368</v>
      </c>
      <c r="AE331" t="s">
        <v>5688</v>
      </c>
      <c r="AF331" t="s">
        <v>74</v>
      </c>
      <c r="AG331">
        <v>29</v>
      </c>
      <c r="AH331">
        <v>0</v>
      </c>
      <c r="AI331">
        <v>0</v>
      </c>
      <c r="AJ331">
        <v>0</v>
      </c>
      <c r="AK331">
        <v>0</v>
      </c>
      <c r="AL331" t="s">
        <v>184</v>
      </c>
      <c r="AM331" t="s">
        <v>185</v>
      </c>
      <c r="AN331" t="s">
        <v>186</v>
      </c>
      <c r="AO331" t="s">
        <v>5689</v>
      </c>
      <c r="AP331" t="s">
        <v>5690</v>
      </c>
      <c r="AQ331" t="s">
        <v>74</v>
      </c>
      <c r="AR331" t="s">
        <v>5691</v>
      </c>
      <c r="AS331" t="s">
        <v>5692</v>
      </c>
      <c r="AT331" t="s">
        <v>5670</v>
      </c>
      <c r="AU331">
        <v>2023</v>
      </c>
      <c r="AV331" t="s">
        <v>74</v>
      </c>
      <c r="AW331" t="s">
        <v>74</v>
      </c>
      <c r="AX331" t="s">
        <v>74</v>
      </c>
      <c r="AY331" t="s">
        <v>74</v>
      </c>
      <c r="AZ331" t="s">
        <v>74</v>
      </c>
      <c r="BA331" t="s">
        <v>74</v>
      </c>
      <c r="BB331" t="s">
        <v>74</v>
      </c>
      <c r="BC331" t="s">
        <v>74</v>
      </c>
      <c r="BD331" t="s">
        <v>74</v>
      </c>
      <c r="BE331" t="s">
        <v>5693</v>
      </c>
      <c r="BF331" t="str">
        <f>HYPERLINK("http://dx.doi.org/10.1080/02726351.2023.2261391","http://dx.doi.org/10.1080/02726351.2023.2261391")</f>
        <v>http://dx.doi.org/10.1080/02726351.2023.2261391</v>
      </c>
      <c r="BG331" t="s">
        <v>74</v>
      </c>
      <c r="BH331" t="s">
        <v>5545</v>
      </c>
      <c r="BI331">
        <v>13</v>
      </c>
      <c r="BJ331" t="s">
        <v>2840</v>
      </c>
      <c r="BK331" t="s">
        <v>102</v>
      </c>
      <c r="BL331" t="s">
        <v>1095</v>
      </c>
      <c r="BM331" t="s">
        <v>5694</v>
      </c>
      <c r="BN331" t="s">
        <v>74</v>
      </c>
      <c r="BO331" t="s">
        <v>74</v>
      </c>
      <c r="BP331" t="s">
        <v>74</v>
      </c>
      <c r="BQ331" t="s">
        <v>74</v>
      </c>
      <c r="BR331" t="s">
        <v>105</v>
      </c>
      <c r="BS331" t="s">
        <v>5695</v>
      </c>
      <c r="BT331" t="str">
        <f>HYPERLINK("https%3A%2F%2Fwww.webofscience.com%2Fwos%2Fwoscc%2Ffull-record%2FWOS:001071548700001","View Full Record in Web of Science")</f>
        <v>View Full Record in Web of Science</v>
      </c>
    </row>
    <row r="332" spans="1:72" x14ac:dyDescent="0.15">
      <c r="A332" t="s">
        <v>72</v>
      </c>
      <c r="B332" t="s">
        <v>5696</v>
      </c>
      <c r="C332" t="s">
        <v>74</v>
      </c>
      <c r="D332" t="s">
        <v>74</v>
      </c>
      <c r="E332" t="s">
        <v>74</v>
      </c>
      <c r="F332" t="s">
        <v>5697</v>
      </c>
      <c r="G332" t="s">
        <v>74</v>
      </c>
      <c r="H332" t="s">
        <v>74</v>
      </c>
      <c r="I332" t="s">
        <v>5698</v>
      </c>
      <c r="J332" t="s">
        <v>5699</v>
      </c>
      <c r="K332" t="s">
        <v>74</v>
      </c>
      <c r="L332" t="s">
        <v>74</v>
      </c>
      <c r="M332" t="s">
        <v>78</v>
      </c>
      <c r="N332" t="s">
        <v>5492</v>
      </c>
      <c r="O332" t="s">
        <v>74</v>
      </c>
      <c r="P332" t="s">
        <v>74</v>
      </c>
      <c r="Q332" t="s">
        <v>74</v>
      </c>
      <c r="R332" t="s">
        <v>74</v>
      </c>
      <c r="S332" t="s">
        <v>74</v>
      </c>
      <c r="T332" t="s">
        <v>5700</v>
      </c>
      <c r="U332" t="s">
        <v>5701</v>
      </c>
      <c r="V332" t="s">
        <v>5702</v>
      </c>
      <c r="W332" t="s">
        <v>5703</v>
      </c>
      <c r="X332" t="s">
        <v>74</v>
      </c>
      <c r="Y332" t="s">
        <v>5704</v>
      </c>
      <c r="Z332" t="s">
        <v>5705</v>
      </c>
      <c r="AA332" t="s">
        <v>74</v>
      </c>
      <c r="AB332" t="s">
        <v>74</v>
      </c>
      <c r="AC332" t="s">
        <v>5706</v>
      </c>
      <c r="AD332" t="s">
        <v>5706</v>
      </c>
      <c r="AE332" t="s">
        <v>5706</v>
      </c>
      <c r="AF332" t="s">
        <v>74</v>
      </c>
      <c r="AG332">
        <v>57</v>
      </c>
      <c r="AH332">
        <v>0</v>
      </c>
      <c r="AI332">
        <v>0</v>
      </c>
      <c r="AJ332">
        <v>0</v>
      </c>
      <c r="AK332">
        <v>0</v>
      </c>
      <c r="AL332" t="s">
        <v>1188</v>
      </c>
      <c r="AM332" t="s">
        <v>93</v>
      </c>
      <c r="AN332" t="s">
        <v>1189</v>
      </c>
      <c r="AO332" t="s">
        <v>5707</v>
      </c>
      <c r="AP332" t="s">
        <v>5708</v>
      </c>
      <c r="AQ332" t="s">
        <v>74</v>
      </c>
      <c r="AR332" t="s">
        <v>5709</v>
      </c>
      <c r="AS332" t="s">
        <v>5710</v>
      </c>
      <c r="AT332" t="s">
        <v>5711</v>
      </c>
      <c r="AU332">
        <v>2023</v>
      </c>
      <c r="AV332" t="s">
        <v>74</v>
      </c>
      <c r="AW332" t="s">
        <v>74</v>
      </c>
      <c r="AX332" t="s">
        <v>74</v>
      </c>
      <c r="AY332" t="s">
        <v>74</v>
      </c>
      <c r="AZ332" t="s">
        <v>74</v>
      </c>
      <c r="BA332" t="s">
        <v>74</v>
      </c>
      <c r="BB332" t="s">
        <v>74</v>
      </c>
      <c r="BC332" t="s">
        <v>74</v>
      </c>
      <c r="BD332" t="s">
        <v>74</v>
      </c>
      <c r="BE332" t="s">
        <v>5712</v>
      </c>
      <c r="BF332" t="str">
        <f>HYPERLINK("http://dx.doi.org/10.1080/00131881.2023.2256747","http://dx.doi.org/10.1080/00131881.2023.2256747")</f>
        <v>http://dx.doi.org/10.1080/00131881.2023.2256747</v>
      </c>
      <c r="BG332" t="s">
        <v>74</v>
      </c>
      <c r="BH332" t="s">
        <v>5545</v>
      </c>
      <c r="BI332">
        <v>19</v>
      </c>
      <c r="BJ332" t="s">
        <v>271</v>
      </c>
      <c r="BK332" t="s">
        <v>272</v>
      </c>
      <c r="BL332" t="s">
        <v>271</v>
      </c>
      <c r="BM332" t="s">
        <v>5713</v>
      </c>
      <c r="BN332" t="s">
        <v>74</v>
      </c>
      <c r="BO332" t="s">
        <v>74</v>
      </c>
      <c r="BP332" t="s">
        <v>74</v>
      </c>
      <c r="BQ332" t="s">
        <v>74</v>
      </c>
      <c r="BR332" t="s">
        <v>105</v>
      </c>
      <c r="BS332" t="s">
        <v>5714</v>
      </c>
      <c r="BT332" t="str">
        <f>HYPERLINK("https%3A%2F%2Fwww.webofscience.com%2Fwos%2Fwoscc%2Ffull-record%2FWOS:001070204200001","View Full Record in Web of Science")</f>
        <v>View Full Record in Web of Science</v>
      </c>
    </row>
    <row r="333" spans="1:72" x14ac:dyDescent="0.15">
      <c r="A333" t="s">
        <v>72</v>
      </c>
      <c r="B333" t="s">
        <v>5715</v>
      </c>
      <c r="C333" t="s">
        <v>74</v>
      </c>
      <c r="D333" t="s">
        <v>74</v>
      </c>
      <c r="E333" t="s">
        <v>74</v>
      </c>
      <c r="F333" t="s">
        <v>5716</v>
      </c>
      <c r="G333" t="s">
        <v>74</v>
      </c>
      <c r="H333" t="s">
        <v>74</v>
      </c>
      <c r="I333" t="s">
        <v>5717</v>
      </c>
      <c r="J333" t="s">
        <v>5718</v>
      </c>
      <c r="K333" t="s">
        <v>74</v>
      </c>
      <c r="L333" t="s">
        <v>74</v>
      </c>
      <c r="M333" t="s">
        <v>78</v>
      </c>
      <c r="N333" t="s">
        <v>5492</v>
      </c>
      <c r="O333" t="s">
        <v>74</v>
      </c>
      <c r="P333" t="s">
        <v>74</v>
      </c>
      <c r="Q333" t="s">
        <v>74</v>
      </c>
      <c r="R333" t="s">
        <v>74</v>
      </c>
      <c r="S333" t="s">
        <v>74</v>
      </c>
      <c r="T333" t="s">
        <v>5719</v>
      </c>
      <c r="U333" t="s">
        <v>5720</v>
      </c>
      <c r="V333" t="s">
        <v>5721</v>
      </c>
      <c r="W333" t="s">
        <v>5722</v>
      </c>
      <c r="X333" t="s">
        <v>5723</v>
      </c>
      <c r="Y333" t="s">
        <v>5724</v>
      </c>
      <c r="Z333" t="s">
        <v>5725</v>
      </c>
      <c r="AA333" t="s">
        <v>74</v>
      </c>
      <c r="AB333" t="s">
        <v>74</v>
      </c>
      <c r="AC333" t="s">
        <v>74</v>
      </c>
      <c r="AD333" t="s">
        <v>74</v>
      </c>
      <c r="AE333" t="s">
        <v>74</v>
      </c>
      <c r="AF333" t="s">
        <v>74</v>
      </c>
      <c r="AG333">
        <v>23</v>
      </c>
      <c r="AH333">
        <v>0</v>
      </c>
      <c r="AI333">
        <v>0</v>
      </c>
      <c r="AJ333">
        <v>0</v>
      </c>
      <c r="AK333">
        <v>0</v>
      </c>
      <c r="AL333" t="s">
        <v>1188</v>
      </c>
      <c r="AM333" t="s">
        <v>93</v>
      </c>
      <c r="AN333" t="s">
        <v>1189</v>
      </c>
      <c r="AO333" t="s">
        <v>5726</v>
      </c>
      <c r="AP333" t="s">
        <v>5727</v>
      </c>
      <c r="AQ333" t="s">
        <v>74</v>
      </c>
      <c r="AR333" t="s">
        <v>5728</v>
      </c>
      <c r="AS333" t="s">
        <v>5729</v>
      </c>
      <c r="AT333" t="s">
        <v>5711</v>
      </c>
      <c r="AU333">
        <v>2023</v>
      </c>
      <c r="AV333" t="s">
        <v>74</v>
      </c>
      <c r="AW333" t="s">
        <v>74</v>
      </c>
      <c r="AX333" t="s">
        <v>74</v>
      </c>
      <c r="AY333" t="s">
        <v>74</v>
      </c>
      <c r="AZ333" t="s">
        <v>74</v>
      </c>
      <c r="BA333" t="s">
        <v>74</v>
      </c>
      <c r="BB333" t="s">
        <v>74</v>
      </c>
      <c r="BC333" t="s">
        <v>74</v>
      </c>
      <c r="BD333" t="s">
        <v>74</v>
      </c>
      <c r="BE333" t="s">
        <v>5730</v>
      </c>
      <c r="BF333" t="str">
        <f>HYPERLINK("http://dx.doi.org/10.1080/21640629.2023.2260615","http://dx.doi.org/10.1080/21640629.2023.2260615")</f>
        <v>http://dx.doi.org/10.1080/21640629.2023.2260615</v>
      </c>
      <c r="BG333" t="s">
        <v>74</v>
      </c>
      <c r="BH333" t="s">
        <v>5545</v>
      </c>
      <c r="BI333">
        <v>20</v>
      </c>
      <c r="BJ333" t="s">
        <v>5731</v>
      </c>
      <c r="BK333" t="s">
        <v>211</v>
      </c>
      <c r="BL333" t="s">
        <v>397</v>
      </c>
      <c r="BM333" t="s">
        <v>5732</v>
      </c>
      <c r="BN333" t="s">
        <v>74</v>
      </c>
      <c r="BO333" t="s">
        <v>887</v>
      </c>
      <c r="BP333" t="s">
        <v>74</v>
      </c>
      <c r="BQ333" t="s">
        <v>74</v>
      </c>
      <c r="BR333" t="s">
        <v>105</v>
      </c>
      <c r="BS333" t="s">
        <v>5733</v>
      </c>
      <c r="BT333" t="str">
        <f>HYPERLINK("https%3A%2F%2Fwww.webofscience.com%2Fwos%2Fwoscc%2Ffull-record%2FWOS:001069901100001","View Full Record in Web of Science")</f>
        <v>View Full Record in Web of Science</v>
      </c>
    </row>
    <row r="334" spans="1:72" x14ac:dyDescent="0.15">
      <c r="A334" t="s">
        <v>72</v>
      </c>
      <c r="B334" t="s">
        <v>5734</v>
      </c>
      <c r="C334" t="s">
        <v>74</v>
      </c>
      <c r="D334" t="s">
        <v>74</v>
      </c>
      <c r="E334" t="s">
        <v>74</v>
      </c>
      <c r="F334" t="s">
        <v>5735</v>
      </c>
      <c r="G334" t="s">
        <v>74</v>
      </c>
      <c r="H334" t="s">
        <v>74</v>
      </c>
      <c r="I334" t="s">
        <v>5736</v>
      </c>
      <c r="J334" t="s">
        <v>5737</v>
      </c>
      <c r="K334" t="s">
        <v>74</v>
      </c>
      <c r="L334" t="s">
        <v>74</v>
      </c>
      <c r="M334" t="s">
        <v>78</v>
      </c>
      <c r="N334" t="s">
        <v>5492</v>
      </c>
      <c r="O334" t="s">
        <v>74</v>
      </c>
      <c r="P334" t="s">
        <v>74</v>
      </c>
      <c r="Q334" t="s">
        <v>74</v>
      </c>
      <c r="R334" t="s">
        <v>74</v>
      </c>
      <c r="S334" t="s">
        <v>74</v>
      </c>
      <c r="T334" t="s">
        <v>5738</v>
      </c>
      <c r="U334" t="s">
        <v>5739</v>
      </c>
      <c r="V334" t="s">
        <v>5740</v>
      </c>
      <c r="W334" t="s">
        <v>5741</v>
      </c>
      <c r="X334" t="s">
        <v>5742</v>
      </c>
      <c r="Y334" t="s">
        <v>5743</v>
      </c>
      <c r="Z334" t="s">
        <v>5744</v>
      </c>
      <c r="AA334" t="s">
        <v>74</v>
      </c>
      <c r="AB334" t="s">
        <v>74</v>
      </c>
      <c r="AC334" t="s">
        <v>74</v>
      </c>
      <c r="AD334" t="s">
        <v>74</v>
      </c>
      <c r="AE334" t="s">
        <v>74</v>
      </c>
      <c r="AF334" t="s">
        <v>74</v>
      </c>
      <c r="AG334">
        <v>94</v>
      </c>
      <c r="AH334">
        <v>0</v>
      </c>
      <c r="AI334">
        <v>0</v>
      </c>
      <c r="AJ334">
        <v>0</v>
      </c>
      <c r="AK334">
        <v>0</v>
      </c>
      <c r="AL334" t="s">
        <v>1188</v>
      </c>
      <c r="AM334" t="s">
        <v>93</v>
      </c>
      <c r="AN334" t="s">
        <v>1189</v>
      </c>
      <c r="AO334" t="s">
        <v>5745</v>
      </c>
      <c r="AP334" t="s">
        <v>5746</v>
      </c>
      <c r="AQ334" t="s">
        <v>74</v>
      </c>
      <c r="AR334" t="s">
        <v>5747</v>
      </c>
      <c r="AS334" t="s">
        <v>5748</v>
      </c>
      <c r="AT334" t="s">
        <v>5711</v>
      </c>
      <c r="AU334">
        <v>2023</v>
      </c>
      <c r="AV334" t="s">
        <v>74</v>
      </c>
      <c r="AW334" t="s">
        <v>74</v>
      </c>
      <c r="AX334" t="s">
        <v>74</v>
      </c>
      <c r="AY334" t="s">
        <v>74</v>
      </c>
      <c r="AZ334" t="s">
        <v>74</v>
      </c>
      <c r="BA334" t="s">
        <v>74</v>
      </c>
      <c r="BB334" t="s">
        <v>74</v>
      </c>
      <c r="BC334" t="s">
        <v>74</v>
      </c>
      <c r="BD334" t="s">
        <v>74</v>
      </c>
      <c r="BE334" t="s">
        <v>5749</v>
      </c>
      <c r="BF334" t="str">
        <f>HYPERLINK("http://dx.doi.org/10.1080/14683857.2023.2262241","http://dx.doi.org/10.1080/14683857.2023.2262241")</f>
        <v>http://dx.doi.org/10.1080/14683857.2023.2262241</v>
      </c>
      <c r="BG334" t="s">
        <v>74</v>
      </c>
      <c r="BH334" t="s">
        <v>5545</v>
      </c>
      <c r="BI334">
        <v>23</v>
      </c>
      <c r="BJ334" t="s">
        <v>5750</v>
      </c>
      <c r="BK334" t="s">
        <v>272</v>
      </c>
      <c r="BL334" t="s">
        <v>5750</v>
      </c>
      <c r="BM334" t="s">
        <v>5751</v>
      </c>
      <c r="BN334" t="s">
        <v>74</v>
      </c>
      <c r="BO334" t="s">
        <v>74</v>
      </c>
      <c r="BP334" t="s">
        <v>74</v>
      </c>
      <c r="BQ334" t="s">
        <v>74</v>
      </c>
      <c r="BR334" t="s">
        <v>105</v>
      </c>
      <c r="BS334" t="s">
        <v>5752</v>
      </c>
      <c r="BT334" t="str">
        <f>HYPERLINK("https%3A%2F%2Fwww.webofscience.com%2Fwos%2Fwoscc%2Ffull-record%2FWOS:001069929100001","View Full Record in Web of Science")</f>
        <v>View Full Record in Web of Science</v>
      </c>
    </row>
    <row r="335" spans="1:72" x14ac:dyDescent="0.15">
      <c r="A335" t="s">
        <v>72</v>
      </c>
      <c r="B335" t="s">
        <v>5753</v>
      </c>
      <c r="C335" t="s">
        <v>74</v>
      </c>
      <c r="D335" t="s">
        <v>74</v>
      </c>
      <c r="E335" t="s">
        <v>74</v>
      </c>
      <c r="F335" t="s">
        <v>5754</v>
      </c>
      <c r="G335" t="s">
        <v>74</v>
      </c>
      <c r="H335" t="s">
        <v>74</v>
      </c>
      <c r="I335" t="s">
        <v>5755</v>
      </c>
      <c r="J335" t="s">
        <v>5756</v>
      </c>
      <c r="K335" t="s">
        <v>74</v>
      </c>
      <c r="L335" t="s">
        <v>74</v>
      </c>
      <c r="M335" t="s">
        <v>78</v>
      </c>
      <c r="N335" t="s">
        <v>5492</v>
      </c>
      <c r="O335" t="s">
        <v>74</v>
      </c>
      <c r="P335" t="s">
        <v>74</v>
      </c>
      <c r="Q335" t="s">
        <v>74</v>
      </c>
      <c r="R335" t="s">
        <v>74</v>
      </c>
      <c r="S335" t="s">
        <v>74</v>
      </c>
      <c r="T335" t="s">
        <v>5757</v>
      </c>
      <c r="U335" t="s">
        <v>5758</v>
      </c>
      <c r="V335" t="s">
        <v>5759</v>
      </c>
      <c r="W335" t="s">
        <v>5760</v>
      </c>
      <c r="X335" t="s">
        <v>5761</v>
      </c>
      <c r="Y335" t="s">
        <v>5762</v>
      </c>
      <c r="Z335" t="s">
        <v>5763</v>
      </c>
      <c r="AA335" t="s">
        <v>74</v>
      </c>
      <c r="AB335" t="s">
        <v>74</v>
      </c>
      <c r="AC335" t="s">
        <v>5764</v>
      </c>
      <c r="AD335" t="s">
        <v>5764</v>
      </c>
      <c r="AE335" t="s">
        <v>5764</v>
      </c>
      <c r="AF335" t="s">
        <v>74</v>
      </c>
      <c r="AG335">
        <v>59</v>
      </c>
      <c r="AH335">
        <v>0</v>
      </c>
      <c r="AI335">
        <v>0</v>
      </c>
      <c r="AJ335">
        <v>0</v>
      </c>
      <c r="AK335">
        <v>0</v>
      </c>
      <c r="AL335" t="s">
        <v>1188</v>
      </c>
      <c r="AM335" t="s">
        <v>93</v>
      </c>
      <c r="AN335" t="s">
        <v>1189</v>
      </c>
      <c r="AO335" t="s">
        <v>5765</v>
      </c>
      <c r="AP335" t="s">
        <v>5766</v>
      </c>
      <c r="AQ335" t="s">
        <v>74</v>
      </c>
      <c r="AR335" t="s">
        <v>5767</v>
      </c>
      <c r="AS335" t="s">
        <v>5768</v>
      </c>
      <c r="AT335" t="s">
        <v>5711</v>
      </c>
      <c r="AU335">
        <v>2023</v>
      </c>
      <c r="AV335" t="s">
        <v>74</v>
      </c>
      <c r="AW335" t="s">
        <v>74</v>
      </c>
      <c r="AX335" t="s">
        <v>74</v>
      </c>
      <c r="AY335" t="s">
        <v>74</v>
      </c>
      <c r="AZ335" t="s">
        <v>74</v>
      </c>
      <c r="BA335" t="s">
        <v>74</v>
      </c>
      <c r="BB335" t="s">
        <v>74</v>
      </c>
      <c r="BC335" t="s">
        <v>74</v>
      </c>
      <c r="BD335" t="s">
        <v>74</v>
      </c>
      <c r="BE335" t="s">
        <v>5769</v>
      </c>
      <c r="BF335" t="str">
        <f>HYPERLINK("http://dx.doi.org/10.1080/10301763.2023.2254565","http://dx.doi.org/10.1080/10301763.2023.2254565")</f>
        <v>http://dx.doi.org/10.1080/10301763.2023.2254565</v>
      </c>
      <c r="BG335" t="s">
        <v>74</v>
      </c>
      <c r="BH335" t="s">
        <v>5545</v>
      </c>
      <c r="BI335">
        <v>21</v>
      </c>
      <c r="BJ335" t="s">
        <v>5770</v>
      </c>
      <c r="BK335" t="s">
        <v>211</v>
      </c>
      <c r="BL335" t="s">
        <v>295</v>
      </c>
      <c r="BM335" t="s">
        <v>5771</v>
      </c>
      <c r="BN335" t="s">
        <v>74</v>
      </c>
      <c r="BO335" t="s">
        <v>74</v>
      </c>
      <c r="BP335" t="s">
        <v>74</v>
      </c>
      <c r="BQ335" t="s">
        <v>74</v>
      </c>
      <c r="BR335" t="s">
        <v>105</v>
      </c>
      <c r="BS335" t="s">
        <v>5772</v>
      </c>
      <c r="BT335" t="str">
        <f>HYPERLINK("https%3A%2F%2Fwww.webofscience.com%2Fwos%2Fwoscc%2Ffull-record%2FWOS:001070199600001","View Full Record in Web of Science")</f>
        <v>View Full Record in Web of Science</v>
      </c>
    </row>
    <row r="336" spans="1:72" x14ac:dyDescent="0.15">
      <c r="A336" t="s">
        <v>72</v>
      </c>
      <c r="B336" t="s">
        <v>5773</v>
      </c>
      <c r="C336" t="s">
        <v>74</v>
      </c>
      <c r="D336" t="s">
        <v>74</v>
      </c>
      <c r="E336" t="s">
        <v>74</v>
      </c>
      <c r="F336" t="s">
        <v>5774</v>
      </c>
      <c r="G336" t="s">
        <v>74</v>
      </c>
      <c r="H336" t="s">
        <v>74</v>
      </c>
      <c r="I336" t="s">
        <v>5775</v>
      </c>
      <c r="J336" t="s">
        <v>5417</v>
      </c>
      <c r="K336" t="s">
        <v>74</v>
      </c>
      <c r="L336" t="s">
        <v>74</v>
      </c>
      <c r="M336" t="s">
        <v>78</v>
      </c>
      <c r="N336" t="s">
        <v>5492</v>
      </c>
      <c r="O336" t="s">
        <v>74</v>
      </c>
      <c r="P336" t="s">
        <v>74</v>
      </c>
      <c r="Q336" t="s">
        <v>74</v>
      </c>
      <c r="R336" t="s">
        <v>74</v>
      </c>
      <c r="S336" t="s">
        <v>74</v>
      </c>
      <c r="T336" t="s">
        <v>5776</v>
      </c>
      <c r="U336" t="s">
        <v>74</v>
      </c>
      <c r="V336" t="s">
        <v>5777</v>
      </c>
      <c r="W336" t="s">
        <v>5778</v>
      </c>
      <c r="X336" t="s">
        <v>5779</v>
      </c>
      <c r="Y336" t="s">
        <v>5780</v>
      </c>
      <c r="Z336" t="s">
        <v>5781</v>
      </c>
      <c r="AA336" t="s">
        <v>74</v>
      </c>
      <c r="AB336" t="s">
        <v>74</v>
      </c>
      <c r="AC336" t="s">
        <v>5782</v>
      </c>
      <c r="AD336" t="s">
        <v>5783</v>
      </c>
      <c r="AE336" t="s">
        <v>5784</v>
      </c>
      <c r="AF336" t="s">
        <v>74</v>
      </c>
      <c r="AG336">
        <v>25</v>
      </c>
      <c r="AH336">
        <v>0</v>
      </c>
      <c r="AI336">
        <v>0</v>
      </c>
      <c r="AJ336">
        <v>0</v>
      </c>
      <c r="AK336">
        <v>0</v>
      </c>
      <c r="AL336" t="s">
        <v>92</v>
      </c>
      <c r="AM336" t="s">
        <v>93</v>
      </c>
      <c r="AN336" t="s">
        <v>94</v>
      </c>
      <c r="AO336" t="s">
        <v>5428</v>
      </c>
      <c r="AP336" t="s">
        <v>5429</v>
      </c>
      <c r="AQ336" t="s">
        <v>74</v>
      </c>
      <c r="AR336" t="s">
        <v>5430</v>
      </c>
      <c r="AS336" t="s">
        <v>5431</v>
      </c>
      <c r="AT336" t="s">
        <v>5785</v>
      </c>
      <c r="AU336">
        <v>2023</v>
      </c>
      <c r="AV336" t="s">
        <v>74</v>
      </c>
      <c r="AW336" t="s">
        <v>74</v>
      </c>
      <c r="AX336" t="s">
        <v>74</v>
      </c>
      <c r="AY336" t="s">
        <v>74</v>
      </c>
      <c r="AZ336" t="s">
        <v>74</v>
      </c>
      <c r="BA336" t="s">
        <v>74</v>
      </c>
      <c r="BB336" t="s">
        <v>74</v>
      </c>
      <c r="BC336" t="s">
        <v>74</v>
      </c>
      <c r="BD336" t="s">
        <v>74</v>
      </c>
      <c r="BE336" t="s">
        <v>5786</v>
      </c>
      <c r="BF336" t="str">
        <f>HYPERLINK("http://dx.doi.org/10.1080/00207160.2023.2260007","http://dx.doi.org/10.1080/00207160.2023.2260007")</f>
        <v>http://dx.doi.org/10.1080/00207160.2023.2260007</v>
      </c>
      <c r="BG336" t="s">
        <v>74</v>
      </c>
      <c r="BH336" t="s">
        <v>5545</v>
      </c>
      <c r="BI336">
        <v>14</v>
      </c>
      <c r="BJ336" t="s">
        <v>5434</v>
      </c>
      <c r="BK336" t="s">
        <v>102</v>
      </c>
      <c r="BL336" t="s">
        <v>5435</v>
      </c>
      <c r="BM336" t="s">
        <v>5787</v>
      </c>
      <c r="BN336" t="s">
        <v>74</v>
      </c>
      <c r="BO336" t="s">
        <v>74</v>
      </c>
      <c r="BP336" t="s">
        <v>74</v>
      </c>
      <c r="BQ336" t="s">
        <v>74</v>
      </c>
      <c r="BR336" t="s">
        <v>105</v>
      </c>
      <c r="BS336" t="s">
        <v>5788</v>
      </c>
      <c r="BT336" t="str">
        <f>HYPERLINK("https%3A%2F%2Fwww.webofscience.com%2Fwos%2Fwoscc%2Ffull-record%2FWOS:001070208800001","View Full Record in Web of Science")</f>
        <v>View Full Record in Web of Science</v>
      </c>
    </row>
    <row r="337" spans="1:72" x14ac:dyDescent="0.15">
      <c r="A337" t="s">
        <v>72</v>
      </c>
      <c r="B337" t="s">
        <v>5789</v>
      </c>
      <c r="C337" t="s">
        <v>74</v>
      </c>
      <c r="D337" t="s">
        <v>74</v>
      </c>
      <c r="E337" t="s">
        <v>74</v>
      </c>
      <c r="F337" t="s">
        <v>5790</v>
      </c>
      <c r="G337" t="s">
        <v>74</v>
      </c>
      <c r="H337" t="s">
        <v>74</v>
      </c>
      <c r="I337" t="s">
        <v>5791</v>
      </c>
      <c r="J337" t="s">
        <v>5792</v>
      </c>
      <c r="K337" t="s">
        <v>74</v>
      </c>
      <c r="L337" t="s">
        <v>74</v>
      </c>
      <c r="M337" t="s">
        <v>78</v>
      </c>
      <c r="N337" t="s">
        <v>5492</v>
      </c>
      <c r="O337" t="s">
        <v>74</v>
      </c>
      <c r="P337" t="s">
        <v>74</v>
      </c>
      <c r="Q337" t="s">
        <v>74</v>
      </c>
      <c r="R337" t="s">
        <v>74</v>
      </c>
      <c r="S337" t="s">
        <v>74</v>
      </c>
      <c r="T337" t="s">
        <v>5793</v>
      </c>
      <c r="U337" t="s">
        <v>5794</v>
      </c>
      <c r="V337" t="s">
        <v>5795</v>
      </c>
      <c r="W337" t="s">
        <v>5796</v>
      </c>
      <c r="X337" t="s">
        <v>5797</v>
      </c>
      <c r="Y337" t="s">
        <v>5798</v>
      </c>
      <c r="Z337" t="s">
        <v>5799</v>
      </c>
      <c r="AA337" t="s">
        <v>74</v>
      </c>
      <c r="AB337" t="s">
        <v>74</v>
      </c>
      <c r="AC337" t="s">
        <v>74</v>
      </c>
      <c r="AD337" t="s">
        <v>74</v>
      </c>
      <c r="AE337" t="s">
        <v>74</v>
      </c>
      <c r="AF337" t="s">
        <v>74</v>
      </c>
      <c r="AG337">
        <v>68</v>
      </c>
      <c r="AH337">
        <v>0</v>
      </c>
      <c r="AI337">
        <v>0</v>
      </c>
      <c r="AJ337">
        <v>0</v>
      </c>
      <c r="AK337">
        <v>0</v>
      </c>
      <c r="AL337" t="s">
        <v>1188</v>
      </c>
      <c r="AM337" t="s">
        <v>93</v>
      </c>
      <c r="AN337" t="s">
        <v>1189</v>
      </c>
      <c r="AO337" t="s">
        <v>5800</v>
      </c>
      <c r="AP337" t="s">
        <v>5801</v>
      </c>
      <c r="AQ337" t="s">
        <v>74</v>
      </c>
      <c r="AR337" t="s">
        <v>5802</v>
      </c>
      <c r="AS337" t="s">
        <v>5803</v>
      </c>
      <c r="AT337" t="s">
        <v>5785</v>
      </c>
      <c r="AU337">
        <v>2023</v>
      </c>
      <c r="AV337" t="s">
        <v>74</v>
      </c>
      <c r="AW337" t="s">
        <v>74</v>
      </c>
      <c r="AX337" t="s">
        <v>74</v>
      </c>
      <c r="AY337" t="s">
        <v>74</v>
      </c>
      <c r="AZ337" t="s">
        <v>74</v>
      </c>
      <c r="BA337" t="s">
        <v>74</v>
      </c>
      <c r="BB337" t="s">
        <v>74</v>
      </c>
      <c r="BC337" t="s">
        <v>74</v>
      </c>
      <c r="BD337" t="s">
        <v>74</v>
      </c>
      <c r="BE337" t="s">
        <v>5804</v>
      </c>
      <c r="BF337" t="str">
        <f>HYPERLINK("http://dx.doi.org/10.1080/00346764.2023.2259362","http://dx.doi.org/10.1080/00346764.2023.2259362")</f>
        <v>http://dx.doi.org/10.1080/00346764.2023.2259362</v>
      </c>
      <c r="BG337" t="s">
        <v>74</v>
      </c>
      <c r="BH337" t="s">
        <v>5545</v>
      </c>
      <c r="BI337">
        <v>28</v>
      </c>
      <c r="BJ337" t="s">
        <v>373</v>
      </c>
      <c r="BK337" t="s">
        <v>211</v>
      </c>
      <c r="BL337" t="s">
        <v>295</v>
      </c>
      <c r="BM337" t="s">
        <v>5805</v>
      </c>
      <c r="BN337" t="s">
        <v>74</v>
      </c>
      <c r="BO337" t="s">
        <v>74</v>
      </c>
      <c r="BP337" t="s">
        <v>74</v>
      </c>
      <c r="BQ337" t="s">
        <v>74</v>
      </c>
      <c r="BR337" t="s">
        <v>105</v>
      </c>
      <c r="BS337" t="s">
        <v>5806</v>
      </c>
      <c r="BT337" t="str">
        <f>HYPERLINK("https%3A%2F%2Fwww.webofscience.com%2Fwos%2Fwoscc%2Ffull-record%2FWOS:001071538700001","View Full Record in Web of Science")</f>
        <v>View Full Record in Web of Science</v>
      </c>
    </row>
    <row r="338" spans="1:72" x14ac:dyDescent="0.15">
      <c r="A338" t="s">
        <v>72</v>
      </c>
      <c r="B338" t="s">
        <v>5807</v>
      </c>
      <c r="C338" t="s">
        <v>74</v>
      </c>
      <c r="D338" t="s">
        <v>74</v>
      </c>
      <c r="E338" t="s">
        <v>74</v>
      </c>
      <c r="F338" t="s">
        <v>5808</v>
      </c>
      <c r="G338" t="s">
        <v>74</v>
      </c>
      <c r="H338" t="s">
        <v>74</v>
      </c>
      <c r="I338" t="s">
        <v>5809</v>
      </c>
      <c r="J338" t="s">
        <v>5810</v>
      </c>
      <c r="K338" t="s">
        <v>74</v>
      </c>
      <c r="L338" t="s">
        <v>74</v>
      </c>
      <c r="M338" t="s">
        <v>78</v>
      </c>
      <c r="N338" t="s">
        <v>5492</v>
      </c>
      <c r="O338" t="s">
        <v>74</v>
      </c>
      <c r="P338" t="s">
        <v>74</v>
      </c>
      <c r="Q338" t="s">
        <v>74</v>
      </c>
      <c r="R338" t="s">
        <v>74</v>
      </c>
      <c r="S338" t="s">
        <v>74</v>
      </c>
      <c r="T338" t="s">
        <v>5811</v>
      </c>
      <c r="U338" t="s">
        <v>5812</v>
      </c>
      <c r="V338" t="s">
        <v>5813</v>
      </c>
      <c r="W338" t="s">
        <v>5814</v>
      </c>
      <c r="X338" t="s">
        <v>5815</v>
      </c>
      <c r="Y338" t="s">
        <v>5816</v>
      </c>
      <c r="Z338" t="s">
        <v>5817</v>
      </c>
      <c r="AA338" t="s">
        <v>74</v>
      </c>
      <c r="AB338" t="s">
        <v>74</v>
      </c>
      <c r="AC338" t="s">
        <v>5818</v>
      </c>
      <c r="AD338" t="s">
        <v>5819</v>
      </c>
      <c r="AE338" t="s">
        <v>5820</v>
      </c>
      <c r="AF338" t="s">
        <v>74</v>
      </c>
      <c r="AG338">
        <v>59</v>
      </c>
      <c r="AH338">
        <v>0</v>
      </c>
      <c r="AI338">
        <v>0</v>
      </c>
      <c r="AJ338">
        <v>0</v>
      </c>
      <c r="AK338">
        <v>0</v>
      </c>
      <c r="AL338" t="s">
        <v>92</v>
      </c>
      <c r="AM338" t="s">
        <v>93</v>
      </c>
      <c r="AN338" t="s">
        <v>94</v>
      </c>
      <c r="AO338" t="s">
        <v>5821</v>
      </c>
      <c r="AP338" t="s">
        <v>5822</v>
      </c>
      <c r="AQ338" t="s">
        <v>74</v>
      </c>
      <c r="AR338" t="s">
        <v>5823</v>
      </c>
      <c r="AS338" t="s">
        <v>5824</v>
      </c>
      <c r="AT338" t="s">
        <v>5785</v>
      </c>
      <c r="AU338">
        <v>2023</v>
      </c>
      <c r="AV338" t="s">
        <v>74</v>
      </c>
      <c r="AW338" t="s">
        <v>74</v>
      </c>
      <c r="AX338" t="s">
        <v>74</v>
      </c>
      <c r="AY338" t="s">
        <v>74</v>
      </c>
      <c r="AZ338" t="s">
        <v>74</v>
      </c>
      <c r="BA338" t="s">
        <v>74</v>
      </c>
      <c r="BB338" t="s">
        <v>74</v>
      </c>
      <c r="BC338" t="s">
        <v>74</v>
      </c>
      <c r="BD338" t="s">
        <v>74</v>
      </c>
      <c r="BE338" t="s">
        <v>5825</v>
      </c>
      <c r="BF338" t="str">
        <f>HYPERLINK("http://dx.doi.org/10.1080/0305215X.2023.2256678","http://dx.doi.org/10.1080/0305215X.2023.2256678")</f>
        <v>http://dx.doi.org/10.1080/0305215X.2023.2256678</v>
      </c>
      <c r="BG338" t="s">
        <v>74</v>
      </c>
      <c r="BH338" t="s">
        <v>5545</v>
      </c>
      <c r="BI338">
        <v>20</v>
      </c>
      <c r="BJ338" t="s">
        <v>5826</v>
      </c>
      <c r="BK338" t="s">
        <v>102</v>
      </c>
      <c r="BL338" t="s">
        <v>332</v>
      </c>
      <c r="BM338" t="s">
        <v>5827</v>
      </c>
      <c r="BN338" t="s">
        <v>74</v>
      </c>
      <c r="BO338" t="s">
        <v>74</v>
      </c>
      <c r="BP338" t="s">
        <v>74</v>
      </c>
      <c r="BQ338" t="s">
        <v>74</v>
      </c>
      <c r="BR338" t="s">
        <v>105</v>
      </c>
      <c r="BS338" t="s">
        <v>5828</v>
      </c>
      <c r="BT338" t="str">
        <f>HYPERLINK("https%3A%2F%2Fwww.webofscience.com%2Fwos%2Fwoscc%2Ffull-record%2FWOS:001073858500001","View Full Record in Web of Science")</f>
        <v>View Full Record in Web of Science</v>
      </c>
    </row>
    <row r="339" spans="1:72" x14ac:dyDescent="0.15">
      <c r="A339" t="s">
        <v>72</v>
      </c>
      <c r="B339" t="s">
        <v>5829</v>
      </c>
      <c r="C339" t="s">
        <v>74</v>
      </c>
      <c r="D339" t="s">
        <v>74</v>
      </c>
      <c r="E339" t="s">
        <v>74</v>
      </c>
      <c r="F339" t="s">
        <v>5830</v>
      </c>
      <c r="G339" t="s">
        <v>74</v>
      </c>
      <c r="H339" t="s">
        <v>74</v>
      </c>
      <c r="I339" t="s">
        <v>5831</v>
      </c>
      <c r="J339" t="s">
        <v>5832</v>
      </c>
      <c r="K339" t="s">
        <v>74</v>
      </c>
      <c r="L339" t="s">
        <v>74</v>
      </c>
      <c r="M339" t="s">
        <v>78</v>
      </c>
      <c r="N339" t="s">
        <v>5492</v>
      </c>
      <c r="O339" t="s">
        <v>74</v>
      </c>
      <c r="P339" t="s">
        <v>74</v>
      </c>
      <c r="Q339" t="s">
        <v>74</v>
      </c>
      <c r="R339" t="s">
        <v>74</v>
      </c>
      <c r="S339" t="s">
        <v>74</v>
      </c>
      <c r="T339" t="s">
        <v>5833</v>
      </c>
      <c r="U339" t="s">
        <v>5834</v>
      </c>
      <c r="V339" t="s">
        <v>5835</v>
      </c>
      <c r="W339" t="s">
        <v>5836</v>
      </c>
      <c r="X339" t="s">
        <v>5837</v>
      </c>
      <c r="Y339" t="s">
        <v>5838</v>
      </c>
      <c r="Z339" t="s">
        <v>5839</v>
      </c>
      <c r="AA339" t="s">
        <v>74</v>
      </c>
      <c r="AB339" t="s">
        <v>74</v>
      </c>
      <c r="AC339" t="s">
        <v>5840</v>
      </c>
      <c r="AD339" t="s">
        <v>5841</v>
      </c>
      <c r="AE339" t="s">
        <v>5842</v>
      </c>
      <c r="AF339" t="s">
        <v>74</v>
      </c>
      <c r="AG339">
        <v>58</v>
      </c>
      <c r="AH339">
        <v>0</v>
      </c>
      <c r="AI339">
        <v>0</v>
      </c>
      <c r="AJ339">
        <v>0</v>
      </c>
      <c r="AK339">
        <v>0</v>
      </c>
      <c r="AL339" t="s">
        <v>1188</v>
      </c>
      <c r="AM339" t="s">
        <v>93</v>
      </c>
      <c r="AN339" t="s">
        <v>1189</v>
      </c>
      <c r="AO339" t="s">
        <v>5843</v>
      </c>
      <c r="AP339" t="s">
        <v>5844</v>
      </c>
      <c r="AQ339" t="s">
        <v>74</v>
      </c>
      <c r="AR339" t="s">
        <v>5845</v>
      </c>
      <c r="AS339" t="s">
        <v>5846</v>
      </c>
      <c r="AT339" t="s">
        <v>5785</v>
      </c>
      <c r="AU339">
        <v>2023</v>
      </c>
      <c r="AV339" t="s">
        <v>74</v>
      </c>
      <c r="AW339" t="s">
        <v>74</v>
      </c>
      <c r="AX339" t="s">
        <v>74</v>
      </c>
      <c r="AY339" t="s">
        <v>74</v>
      </c>
      <c r="AZ339" t="s">
        <v>74</v>
      </c>
      <c r="BA339" t="s">
        <v>74</v>
      </c>
      <c r="BB339" t="s">
        <v>74</v>
      </c>
      <c r="BC339" t="s">
        <v>74</v>
      </c>
      <c r="BD339" t="s">
        <v>74</v>
      </c>
      <c r="BE339" t="s">
        <v>5847</v>
      </c>
      <c r="BF339" t="str">
        <f>HYPERLINK("http://dx.doi.org/10.1080/16081625.2023.2257219","http://dx.doi.org/10.1080/16081625.2023.2257219")</f>
        <v>http://dx.doi.org/10.1080/16081625.2023.2257219</v>
      </c>
      <c r="BG339" t="s">
        <v>74</v>
      </c>
      <c r="BH339" t="s">
        <v>5545</v>
      </c>
      <c r="BI339">
        <v>21</v>
      </c>
      <c r="BJ339" t="s">
        <v>5848</v>
      </c>
      <c r="BK339" t="s">
        <v>272</v>
      </c>
      <c r="BL339" t="s">
        <v>295</v>
      </c>
      <c r="BM339" t="s">
        <v>5849</v>
      </c>
      <c r="BN339" t="s">
        <v>74</v>
      </c>
      <c r="BO339" t="s">
        <v>74</v>
      </c>
      <c r="BP339" t="s">
        <v>74</v>
      </c>
      <c r="BQ339" t="s">
        <v>74</v>
      </c>
      <c r="BR339" t="s">
        <v>105</v>
      </c>
      <c r="BS339" t="s">
        <v>5850</v>
      </c>
      <c r="BT339" t="str">
        <f>HYPERLINK("https%3A%2F%2Fwww.webofscience.com%2Fwos%2Fwoscc%2Ffull-record%2FWOS:001070553900001","View Full Record in Web of Science")</f>
        <v>View Full Record in Web of Science</v>
      </c>
    </row>
    <row r="340" spans="1:72" x14ac:dyDescent="0.15">
      <c r="A340" t="s">
        <v>72</v>
      </c>
      <c r="B340" t="s">
        <v>5851</v>
      </c>
      <c r="C340" t="s">
        <v>74</v>
      </c>
      <c r="D340" t="s">
        <v>74</v>
      </c>
      <c r="E340" t="s">
        <v>74</v>
      </c>
      <c r="F340" t="s">
        <v>5852</v>
      </c>
      <c r="G340" t="s">
        <v>74</v>
      </c>
      <c r="H340" t="s">
        <v>74</v>
      </c>
      <c r="I340" t="s">
        <v>5853</v>
      </c>
      <c r="J340" t="s">
        <v>5854</v>
      </c>
      <c r="K340" t="s">
        <v>74</v>
      </c>
      <c r="L340" t="s">
        <v>74</v>
      </c>
      <c r="M340" t="s">
        <v>78</v>
      </c>
      <c r="N340" t="s">
        <v>5492</v>
      </c>
      <c r="O340" t="s">
        <v>74</v>
      </c>
      <c r="P340" t="s">
        <v>74</v>
      </c>
      <c r="Q340" t="s">
        <v>74</v>
      </c>
      <c r="R340" t="s">
        <v>74</v>
      </c>
      <c r="S340" t="s">
        <v>74</v>
      </c>
      <c r="T340" t="s">
        <v>5855</v>
      </c>
      <c r="U340" t="s">
        <v>74</v>
      </c>
      <c r="V340" t="s">
        <v>5856</v>
      </c>
      <c r="W340" t="s">
        <v>5857</v>
      </c>
      <c r="X340" t="s">
        <v>5858</v>
      </c>
      <c r="Y340" t="s">
        <v>5859</v>
      </c>
      <c r="Z340" t="s">
        <v>5860</v>
      </c>
      <c r="AA340" t="s">
        <v>74</v>
      </c>
      <c r="AB340" t="s">
        <v>5861</v>
      </c>
      <c r="AC340" t="s">
        <v>5862</v>
      </c>
      <c r="AD340" t="s">
        <v>5862</v>
      </c>
      <c r="AE340" t="s">
        <v>5862</v>
      </c>
      <c r="AF340" t="s">
        <v>74</v>
      </c>
      <c r="AG340">
        <v>27</v>
      </c>
      <c r="AH340">
        <v>0</v>
      </c>
      <c r="AI340">
        <v>0</v>
      </c>
      <c r="AJ340">
        <v>0</v>
      </c>
      <c r="AK340">
        <v>0</v>
      </c>
      <c r="AL340" t="s">
        <v>1188</v>
      </c>
      <c r="AM340" t="s">
        <v>93</v>
      </c>
      <c r="AN340" t="s">
        <v>1189</v>
      </c>
      <c r="AO340" t="s">
        <v>5863</v>
      </c>
      <c r="AP340" t="s">
        <v>5864</v>
      </c>
      <c r="AQ340" t="s">
        <v>74</v>
      </c>
      <c r="AR340" t="s">
        <v>5865</v>
      </c>
      <c r="AS340" t="s">
        <v>5866</v>
      </c>
      <c r="AT340" t="s">
        <v>5867</v>
      </c>
      <c r="AU340">
        <v>2023</v>
      </c>
      <c r="AV340" t="s">
        <v>74</v>
      </c>
      <c r="AW340" t="s">
        <v>74</v>
      </c>
      <c r="AX340" t="s">
        <v>74</v>
      </c>
      <c r="AY340" t="s">
        <v>74</v>
      </c>
      <c r="AZ340" t="s">
        <v>74</v>
      </c>
      <c r="BA340" t="s">
        <v>74</v>
      </c>
      <c r="BB340" t="s">
        <v>74</v>
      </c>
      <c r="BC340" t="s">
        <v>74</v>
      </c>
      <c r="BD340" t="s">
        <v>74</v>
      </c>
      <c r="BE340" t="s">
        <v>5868</v>
      </c>
      <c r="BF340" t="str">
        <f>HYPERLINK("http://dx.doi.org/10.1080/10875549.2023.2259890","http://dx.doi.org/10.1080/10875549.2023.2259890")</f>
        <v>http://dx.doi.org/10.1080/10875549.2023.2259890</v>
      </c>
      <c r="BG340" t="s">
        <v>74</v>
      </c>
      <c r="BH340" t="s">
        <v>5545</v>
      </c>
      <c r="BI340">
        <v>17</v>
      </c>
      <c r="BJ340" t="s">
        <v>5869</v>
      </c>
      <c r="BK340" t="s">
        <v>211</v>
      </c>
      <c r="BL340" t="s">
        <v>5869</v>
      </c>
      <c r="BM340" t="s">
        <v>5870</v>
      </c>
      <c r="BN340" t="s">
        <v>74</v>
      </c>
      <c r="BO340" t="s">
        <v>74</v>
      </c>
      <c r="BP340" t="s">
        <v>74</v>
      </c>
      <c r="BQ340" t="s">
        <v>74</v>
      </c>
      <c r="BR340" t="s">
        <v>105</v>
      </c>
      <c r="BS340" t="s">
        <v>5871</v>
      </c>
      <c r="BT340" t="str">
        <f>HYPERLINK("https%3A%2F%2Fwww.webofscience.com%2Fwos%2Fwoscc%2Ffull-record%2FWOS:001068087800001","View Full Record in Web of Science")</f>
        <v>View Full Record in Web of Science</v>
      </c>
    </row>
    <row r="341" spans="1:72" x14ac:dyDescent="0.15">
      <c r="A341" t="s">
        <v>72</v>
      </c>
      <c r="B341" t="s">
        <v>5872</v>
      </c>
      <c r="C341" t="s">
        <v>74</v>
      </c>
      <c r="D341" t="s">
        <v>74</v>
      </c>
      <c r="E341" t="s">
        <v>74</v>
      </c>
      <c r="F341" t="s">
        <v>5873</v>
      </c>
      <c r="G341" t="s">
        <v>74</v>
      </c>
      <c r="H341" t="s">
        <v>74</v>
      </c>
      <c r="I341" t="s">
        <v>5874</v>
      </c>
      <c r="J341" t="s">
        <v>5875</v>
      </c>
      <c r="K341" t="s">
        <v>74</v>
      </c>
      <c r="L341" t="s">
        <v>74</v>
      </c>
      <c r="M341" t="s">
        <v>78</v>
      </c>
      <c r="N341" t="s">
        <v>5492</v>
      </c>
      <c r="O341" t="s">
        <v>74</v>
      </c>
      <c r="P341" t="s">
        <v>74</v>
      </c>
      <c r="Q341" t="s">
        <v>74</v>
      </c>
      <c r="R341" t="s">
        <v>74</v>
      </c>
      <c r="S341" t="s">
        <v>74</v>
      </c>
      <c r="T341" t="s">
        <v>5876</v>
      </c>
      <c r="U341" t="s">
        <v>5877</v>
      </c>
      <c r="V341" t="s">
        <v>5878</v>
      </c>
      <c r="W341" t="s">
        <v>5879</v>
      </c>
      <c r="X341" t="s">
        <v>5880</v>
      </c>
      <c r="Y341" t="s">
        <v>5881</v>
      </c>
      <c r="Z341" t="s">
        <v>5882</v>
      </c>
      <c r="AA341" t="s">
        <v>74</v>
      </c>
      <c r="AB341" t="s">
        <v>74</v>
      </c>
      <c r="AC341" t="s">
        <v>5883</v>
      </c>
      <c r="AD341" t="s">
        <v>5883</v>
      </c>
      <c r="AE341" t="s">
        <v>5884</v>
      </c>
      <c r="AF341" t="s">
        <v>74</v>
      </c>
      <c r="AG341">
        <v>25</v>
      </c>
      <c r="AH341">
        <v>0</v>
      </c>
      <c r="AI341">
        <v>0</v>
      </c>
      <c r="AJ341">
        <v>1</v>
      </c>
      <c r="AK341">
        <v>1</v>
      </c>
      <c r="AL341" t="s">
        <v>92</v>
      </c>
      <c r="AM341" t="s">
        <v>93</v>
      </c>
      <c r="AN341" t="s">
        <v>94</v>
      </c>
      <c r="AO341" t="s">
        <v>5885</v>
      </c>
      <c r="AP341" t="s">
        <v>5886</v>
      </c>
      <c r="AQ341" t="s">
        <v>74</v>
      </c>
      <c r="AR341" t="s">
        <v>5887</v>
      </c>
      <c r="AS341" t="s">
        <v>5888</v>
      </c>
      <c r="AT341" t="s">
        <v>5867</v>
      </c>
      <c r="AU341">
        <v>2023</v>
      </c>
      <c r="AV341" t="s">
        <v>74</v>
      </c>
      <c r="AW341" t="s">
        <v>74</v>
      </c>
      <c r="AX341" t="s">
        <v>74</v>
      </c>
      <c r="AY341" t="s">
        <v>74</v>
      </c>
      <c r="AZ341" t="s">
        <v>74</v>
      </c>
      <c r="BA341" t="s">
        <v>74</v>
      </c>
      <c r="BB341" t="s">
        <v>74</v>
      </c>
      <c r="BC341" t="s">
        <v>74</v>
      </c>
      <c r="BD341" t="s">
        <v>74</v>
      </c>
      <c r="BE341" t="s">
        <v>5889</v>
      </c>
      <c r="BF341" t="str">
        <f>HYPERLINK("http://dx.doi.org/10.1080/21678421.2023.2260842","http://dx.doi.org/10.1080/21678421.2023.2260842")</f>
        <v>http://dx.doi.org/10.1080/21678421.2023.2260842</v>
      </c>
      <c r="BG341" t="s">
        <v>74</v>
      </c>
      <c r="BH341" t="s">
        <v>5545</v>
      </c>
      <c r="BI341">
        <v>8</v>
      </c>
      <c r="BJ341" t="s">
        <v>2796</v>
      </c>
      <c r="BK341" t="s">
        <v>102</v>
      </c>
      <c r="BL341" t="s">
        <v>2797</v>
      </c>
      <c r="BM341" t="s">
        <v>5890</v>
      </c>
      <c r="BN341">
        <v>37737151</v>
      </c>
      <c r="BO341" t="s">
        <v>74</v>
      </c>
      <c r="BP341" t="s">
        <v>74</v>
      </c>
      <c r="BQ341" t="s">
        <v>74</v>
      </c>
      <c r="BR341" t="s">
        <v>105</v>
      </c>
      <c r="BS341" t="s">
        <v>5891</v>
      </c>
      <c r="BT341" t="str">
        <f>HYPERLINK("https%3A%2F%2Fwww.webofscience.com%2Fwos%2Fwoscc%2Ffull-record%2FWOS:001068466500001","View Full Record in Web of Science")</f>
        <v>View Full Record in Web of Science</v>
      </c>
    </row>
    <row r="342" spans="1:72" x14ac:dyDescent="0.15">
      <c r="A342" t="s">
        <v>72</v>
      </c>
      <c r="B342" t="s">
        <v>5892</v>
      </c>
      <c r="C342" t="s">
        <v>74</v>
      </c>
      <c r="D342" t="s">
        <v>74</v>
      </c>
      <c r="E342" t="s">
        <v>74</v>
      </c>
      <c r="F342" t="s">
        <v>5893</v>
      </c>
      <c r="G342" t="s">
        <v>74</v>
      </c>
      <c r="H342" t="s">
        <v>74</v>
      </c>
      <c r="I342" t="s">
        <v>5894</v>
      </c>
      <c r="J342" t="s">
        <v>5895</v>
      </c>
      <c r="K342" t="s">
        <v>74</v>
      </c>
      <c r="L342" t="s">
        <v>74</v>
      </c>
      <c r="M342" t="s">
        <v>78</v>
      </c>
      <c r="N342" t="s">
        <v>5492</v>
      </c>
      <c r="O342" t="s">
        <v>74</v>
      </c>
      <c r="P342" t="s">
        <v>74</v>
      </c>
      <c r="Q342" t="s">
        <v>74</v>
      </c>
      <c r="R342" t="s">
        <v>74</v>
      </c>
      <c r="S342" t="s">
        <v>74</v>
      </c>
      <c r="T342" t="s">
        <v>5896</v>
      </c>
      <c r="U342" t="s">
        <v>5897</v>
      </c>
      <c r="V342" t="s">
        <v>5898</v>
      </c>
      <c r="W342" t="s">
        <v>5899</v>
      </c>
      <c r="X342" t="s">
        <v>5900</v>
      </c>
      <c r="Y342" t="s">
        <v>5901</v>
      </c>
      <c r="Z342" t="s">
        <v>5902</v>
      </c>
      <c r="AA342" t="s">
        <v>74</v>
      </c>
      <c r="AB342" t="s">
        <v>74</v>
      </c>
      <c r="AC342" t="s">
        <v>5903</v>
      </c>
      <c r="AD342" t="s">
        <v>5904</v>
      </c>
      <c r="AE342" t="s">
        <v>5905</v>
      </c>
      <c r="AF342" t="s">
        <v>74</v>
      </c>
      <c r="AG342">
        <v>48</v>
      </c>
      <c r="AH342">
        <v>0</v>
      </c>
      <c r="AI342">
        <v>0</v>
      </c>
      <c r="AJ342">
        <v>0</v>
      </c>
      <c r="AK342">
        <v>0</v>
      </c>
      <c r="AL342" t="s">
        <v>1188</v>
      </c>
      <c r="AM342" t="s">
        <v>93</v>
      </c>
      <c r="AN342" t="s">
        <v>1189</v>
      </c>
      <c r="AO342" t="s">
        <v>5906</v>
      </c>
      <c r="AP342" t="s">
        <v>5907</v>
      </c>
      <c r="AQ342" t="s">
        <v>74</v>
      </c>
      <c r="AR342" t="s">
        <v>5908</v>
      </c>
      <c r="AS342" t="s">
        <v>5909</v>
      </c>
      <c r="AT342" t="s">
        <v>5867</v>
      </c>
      <c r="AU342">
        <v>2023</v>
      </c>
      <c r="AV342" t="s">
        <v>74</v>
      </c>
      <c r="AW342" t="s">
        <v>74</v>
      </c>
      <c r="AX342" t="s">
        <v>74</v>
      </c>
      <c r="AY342" t="s">
        <v>74</v>
      </c>
      <c r="AZ342" t="s">
        <v>74</v>
      </c>
      <c r="BA342" t="s">
        <v>74</v>
      </c>
      <c r="BB342" t="s">
        <v>74</v>
      </c>
      <c r="BC342" t="s">
        <v>74</v>
      </c>
      <c r="BD342" t="s">
        <v>74</v>
      </c>
      <c r="BE342" t="s">
        <v>5910</v>
      </c>
      <c r="BF342" t="str">
        <f>HYPERLINK("http://dx.doi.org/10.1080/1475939X.2023.2256348","http://dx.doi.org/10.1080/1475939X.2023.2256348")</f>
        <v>http://dx.doi.org/10.1080/1475939X.2023.2256348</v>
      </c>
      <c r="BG342" t="s">
        <v>74</v>
      </c>
      <c r="BH342" t="s">
        <v>5545</v>
      </c>
      <c r="BI342">
        <v>19</v>
      </c>
      <c r="BJ342" t="s">
        <v>271</v>
      </c>
      <c r="BK342" t="s">
        <v>272</v>
      </c>
      <c r="BL342" t="s">
        <v>271</v>
      </c>
      <c r="BM342" t="s">
        <v>5911</v>
      </c>
      <c r="BN342" t="s">
        <v>74</v>
      </c>
      <c r="BO342" t="s">
        <v>74</v>
      </c>
      <c r="BP342" t="s">
        <v>74</v>
      </c>
      <c r="BQ342" t="s">
        <v>74</v>
      </c>
      <c r="BR342" t="s">
        <v>105</v>
      </c>
      <c r="BS342" t="s">
        <v>5912</v>
      </c>
      <c r="BT342" t="str">
        <f>HYPERLINK("https%3A%2F%2Fwww.webofscience.com%2Fwos%2Fwoscc%2Ffull-record%2FWOS:001070194100001","View Full Record in Web of Science")</f>
        <v>View Full Record in Web of Science</v>
      </c>
    </row>
    <row r="343" spans="1:72" x14ac:dyDescent="0.15">
      <c r="A343" t="s">
        <v>72</v>
      </c>
      <c r="B343" t="s">
        <v>5913</v>
      </c>
      <c r="C343" t="s">
        <v>74</v>
      </c>
      <c r="D343" t="s">
        <v>74</v>
      </c>
      <c r="E343" t="s">
        <v>74</v>
      </c>
      <c r="F343" t="s">
        <v>5914</v>
      </c>
      <c r="G343" t="s">
        <v>74</v>
      </c>
      <c r="H343" t="s">
        <v>74</v>
      </c>
      <c r="I343" t="s">
        <v>5915</v>
      </c>
      <c r="J343" t="s">
        <v>5916</v>
      </c>
      <c r="K343" t="s">
        <v>74</v>
      </c>
      <c r="L343" t="s">
        <v>74</v>
      </c>
      <c r="M343" t="s">
        <v>78</v>
      </c>
      <c r="N343" t="s">
        <v>5492</v>
      </c>
      <c r="O343" t="s">
        <v>74</v>
      </c>
      <c r="P343" t="s">
        <v>74</v>
      </c>
      <c r="Q343" t="s">
        <v>74</v>
      </c>
      <c r="R343" t="s">
        <v>74</v>
      </c>
      <c r="S343" t="s">
        <v>74</v>
      </c>
      <c r="T343" t="s">
        <v>5917</v>
      </c>
      <c r="U343" t="s">
        <v>74</v>
      </c>
      <c r="V343" t="s">
        <v>5918</v>
      </c>
      <c r="W343" t="s">
        <v>5919</v>
      </c>
      <c r="X343" t="s">
        <v>5920</v>
      </c>
      <c r="Y343" t="s">
        <v>5921</v>
      </c>
      <c r="Z343" t="s">
        <v>5922</v>
      </c>
      <c r="AA343" t="s">
        <v>74</v>
      </c>
      <c r="AB343" t="s">
        <v>74</v>
      </c>
      <c r="AC343" t="s">
        <v>5923</v>
      </c>
      <c r="AD343" t="s">
        <v>5923</v>
      </c>
      <c r="AE343" t="s">
        <v>5924</v>
      </c>
      <c r="AF343" t="s">
        <v>74</v>
      </c>
      <c r="AG343">
        <v>41</v>
      </c>
      <c r="AH343">
        <v>0</v>
      </c>
      <c r="AI343">
        <v>0</v>
      </c>
      <c r="AJ343">
        <v>0</v>
      </c>
      <c r="AK343">
        <v>0</v>
      </c>
      <c r="AL343" t="s">
        <v>92</v>
      </c>
      <c r="AM343" t="s">
        <v>93</v>
      </c>
      <c r="AN343" t="s">
        <v>94</v>
      </c>
      <c r="AO343" t="s">
        <v>5925</v>
      </c>
      <c r="AP343" t="s">
        <v>5926</v>
      </c>
      <c r="AQ343" t="s">
        <v>74</v>
      </c>
      <c r="AR343" t="s">
        <v>5927</v>
      </c>
      <c r="AS343" t="s">
        <v>5928</v>
      </c>
      <c r="AT343" t="s">
        <v>5867</v>
      </c>
      <c r="AU343">
        <v>2023</v>
      </c>
      <c r="AV343" t="s">
        <v>74</v>
      </c>
      <c r="AW343" t="s">
        <v>74</v>
      </c>
      <c r="AX343" t="s">
        <v>74</v>
      </c>
      <c r="AY343" t="s">
        <v>74</v>
      </c>
      <c r="AZ343" t="s">
        <v>74</v>
      </c>
      <c r="BA343" t="s">
        <v>74</v>
      </c>
      <c r="BB343" t="s">
        <v>74</v>
      </c>
      <c r="BC343" t="s">
        <v>74</v>
      </c>
      <c r="BD343" t="s">
        <v>74</v>
      </c>
      <c r="BE343" t="s">
        <v>5929</v>
      </c>
      <c r="BF343" t="str">
        <f>HYPERLINK("http://dx.doi.org/10.1080/0952813X.2023.2259913","http://dx.doi.org/10.1080/0952813X.2023.2259913")</f>
        <v>http://dx.doi.org/10.1080/0952813X.2023.2259913</v>
      </c>
      <c r="BG343" t="s">
        <v>74</v>
      </c>
      <c r="BH343" t="s">
        <v>5545</v>
      </c>
      <c r="BI343">
        <v>13</v>
      </c>
      <c r="BJ343" t="s">
        <v>5930</v>
      </c>
      <c r="BK343" t="s">
        <v>102</v>
      </c>
      <c r="BL343" t="s">
        <v>2621</v>
      </c>
      <c r="BM343" t="s">
        <v>5931</v>
      </c>
      <c r="BN343" t="s">
        <v>74</v>
      </c>
      <c r="BO343" t="s">
        <v>74</v>
      </c>
      <c r="BP343" t="s">
        <v>74</v>
      </c>
      <c r="BQ343" t="s">
        <v>74</v>
      </c>
      <c r="BR343" t="s">
        <v>105</v>
      </c>
      <c r="BS343" t="s">
        <v>5932</v>
      </c>
      <c r="BT343" t="str">
        <f>HYPERLINK("https%3A%2F%2Fwww.webofscience.com%2Fwos%2Fwoscc%2Ffull-record%2FWOS:001068086400001","View Full Record in Web of Science")</f>
        <v>View Full Record in Web of Science</v>
      </c>
    </row>
    <row r="344" spans="1:72" x14ac:dyDescent="0.15">
      <c r="A344" t="s">
        <v>72</v>
      </c>
      <c r="B344" t="s">
        <v>5933</v>
      </c>
      <c r="C344" t="s">
        <v>74</v>
      </c>
      <c r="D344" t="s">
        <v>74</v>
      </c>
      <c r="E344" t="s">
        <v>74</v>
      </c>
      <c r="F344" t="s">
        <v>5934</v>
      </c>
      <c r="G344" t="s">
        <v>74</v>
      </c>
      <c r="H344" t="s">
        <v>74</v>
      </c>
      <c r="I344" t="s">
        <v>5935</v>
      </c>
      <c r="J344" t="s">
        <v>5936</v>
      </c>
      <c r="K344" t="s">
        <v>74</v>
      </c>
      <c r="L344" t="s">
        <v>74</v>
      </c>
      <c r="M344" t="s">
        <v>78</v>
      </c>
      <c r="N344" t="s">
        <v>5492</v>
      </c>
      <c r="O344" t="s">
        <v>74</v>
      </c>
      <c r="P344" t="s">
        <v>74</v>
      </c>
      <c r="Q344" t="s">
        <v>74</v>
      </c>
      <c r="R344" t="s">
        <v>74</v>
      </c>
      <c r="S344" t="s">
        <v>74</v>
      </c>
      <c r="T344" t="s">
        <v>5937</v>
      </c>
      <c r="U344" t="s">
        <v>5938</v>
      </c>
      <c r="V344" t="s">
        <v>5939</v>
      </c>
      <c r="W344" t="s">
        <v>5940</v>
      </c>
      <c r="X344" t="s">
        <v>5941</v>
      </c>
      <c r="Y344" t="s">
        <v>5942</v>
      </c>
      <c r="Z344" t="s">
        <v>5943</v>
      </c>
      <c r="AA344" t="s">
        <v>74</v>
      </c>
      <c r="AB344" t="s">
        <v>74</v>
      </c>
      <c r="AC344" t="s">
        <v>74</v>
      </c>
      <c r="AD344" t="s">
        <v>74</v>
      </c>
      <c r="AE344" t="s">
        <v>74</v>
      </c>
      <c r="AF344" t="s">
        <v>74</v>
      </c>
      <c r="AG344">
        <v>61</v>
      </c>
      <c r="AH344">
        <v>0</v>
      </c>
      <c r="AI344">
        <v>0</v>
      </c>
      <c r="AJ344">
        <v>0</v>
      </c>
      <c r="AK344">
        <v>0</v>
      </c>
      <c r="AL344" t="s">
        <v>1188</v>
      </c>
      <c r="AM344" t="s">
        <v>93</v>
      </c>
      <c r="AN344" t="s">
        <v>1189</v>
      </c>
      <c r="AO344" t="s">
        <v>5944</v>
      </c>
      <c r="AP344" t="s">
        <v>5945</v>
      </c>
      <c r="AQ344" t="s">
        <v>74</v>
      </c>
      <c r="AR344" t="s">
        <v>5946</v>
      </c>
      <c r="AS344" t="s">
        <v>5947</v>
      </c>
      <c r="AT344" t="s">
        <v>5867</v>
      </c>
      <c r="AU344">
        <v>2023</v>
      </c>
      <c r="AV344" t="s">
        <v>74</v>
      </c>
      <c r="AW344" t="s">
        <v>74</v>
      </c>
      <c r="AX344" t="s">
        <v>74</v>
      </c>
      <c r="AY344" t="s">
        <v>74</v>
      </c>
      <c r="AZ344" t="s">
        <v>74</v>
      </c>
      <c r="BA344" t="s">
        <v>74</v>
      </c>
      <c r="BB344" t="s">
        <v>74</v>
      </c>
      <c r="BC344" t="s">
        <v>74</v>
      </c>
      <c r="BD344" t="s">
        <v>74</v>
      </c>
      <c r="BE344" t="s">
        <v>5948</v>
      </c>
      <c r="BF344" t="str">
        <f>HYPERLINK("http://dx.doi.org/10.1080/03050629.2023.2254461","http://dx.doi.org/10.1080/03050629.2023.2254461")</f>
        <v>http://dx.doi.org/10.1080/03050629.2023.2254461</v>
      </c>
      <c r="BG344" t="s">
        <v>74</v>
      </c>
      <c r="BH344" t="s">
        <v>5545</v>
      </c>
      <c r="BI344">
        <v>27</v>
      </c>
      <c r="BJ344" t="s">
        <v>5507</v>
      </c>
      <c r="BK344" t="s">
        <v>272</v>
      </c>
      <c r="BL344" t="s">
        <v>5507</v>
      </c>
      <c r="BM344" t="s">
        <v>5949</v>
      </c>
      <c r="BN344" t="s">
        <v>74</v>
      </c>
      <c r="BO344" t="s">
        <v>74</v>
      </c>
      <c r="BP344" t="s">
        <v>74</v>
      </c>
      <c r="BQ344" t="s">
        <v>74</v>
      </c>
      <c r="BR344" t="s">
        <v>105</v>
      </c>
      <c r="BS344" t="s">
        <v>5950</v>
      </c>
      <c r="BT344" t="str">
        <f>HYPERLINK("https%3A%2F%2Fwww.webofscience.com%2Fwos%2Fwoscc%2Ffull-record%2FWOS:001070555200001","View Full Record in Web of Science")</f>
        <v>View Full Record in Web of Science</v>
      </c>
    </row>
    <row r="345" spans="1:72" x14ac:dyDescent="0.15">
      <c r="A345" t="s">
        <v>72</v>
      </c>
      <c r="B345" t="s">
        <v>5951</v>
      </c>
      <c r="C345" t="s">
        <v>74</v>
      </c>
      <c r="D345" t="s">
        <v>74</v>
      </c>
      <c r="E345" t="s">
        <v>74</v>
      </c>
      <c r="F345" t="s">
        <v>5952</v>
      </c>
      <c r="G345" t="s">
        <v>74</v>
      </c>
      <c r="H345" t="s">
        <v>74</v>
      </c>
      <c r="I345" t="s">
        <v>5953</v>
      </c>
      <c r="J345" t="s">
        <v>5954</v>
      </c>
      <c r="K345" t="s">
        <v>74</v>
      </c>
      <c r="L345" t="s">
        <v>74</v>
      </c>
      <c r="M345" t="s">
        <v>78</v>
      </c>
      <c r="N345" t="s">
        <v>5492</v>
      </c>
      <c r="O345" t="s">
        <v>74</v>
      </c>
      <c r="P345" t="s">
        <v>74</v>
      </c>
      <c r="Q345" t="s">
        <v>74</v>
      </c>
      <c r="R345" t="s">
        <v>74</v>
      </c>
      <c r="S345" t="s">
        <v>74</v>
      </c>
      <c r="T345" t="s">
        <v>5955</v>
      </c>
      <c r="U345" t="s">
        <v>5956</v>
      </c>
      <c r="V345" t="s">
        <v>5957</v>
      </c>
      <c r="W345" t="s">
        <v>5958</v>
      </c>
      <c r="X345" t="s">
        <v>5959</v>
      </c>
      <c r="Y345" t="s">
        <v>5960</v>
      </c>
      <c r="Z345" t="s">
        <v>5961</v>
      </c>
      <c r="AA345" t="s">
        <v>5962</v>
      </c>
      <c r="AB345" t="s">
        <v>5963</v>
      </c>
      <c r="AC345" t="s">
        <v>5964</v>
      </c>
      <c r="AD345" t="s">
        <v>5964</v>
      </c>
      <c r="AE345" t="s">
        <v>5964</v>
      </c>
      <c r="AF345" t="s">
        <v>74</v>
      </c>
      <c r="AG345">
        <v>38</v>
      </c>
      <c r="AH345">
        <v>0</v>
      </c>
      <c r="AI345">
        <v>0</v>
      </c>
      <c r="AJ345">
        <v>1</v>
      </c>
      <c r="AK345">
        <v>1</v>
      </c>
      <c r="AL345" t="s">
        <v>92</v>
      </c>
      <c r="AM345" t="s">
        <v>93</v>
      </c>
      <c r="AN345" t="s">
        <v>94</v>
      </c>
      <c r="AO345" t="s">
        <v>5965</v>
      </c>
      <c r="AP345" t="s">
        <v>5966</v>
      </c>
      <c r="AQ345" t="s">
        <v>74</v>
      </c>
      <c r="AR345" t="s">
        <v>5967</v>
      </c>
      <c r="AS345" t="s">
        <v>5968</v>
      </c>
      <c r="AT345" t="s">
        <v>5867</v>
      </c>
      <c r="AU345">
        <v>2023</v>
      </c>
      <c r="AV345" t="s">
        <v>74</v>
      </c>
      <c r="AW345" t="s">
        <v>74</v>
      </c>
      <c r="AX345" t="s">
        <v>74</v>
      </c>
      <c r="AY345" t="s">
        <v>74</v>
      </c>
      <c r="AZ345" t="s">
        <v>74</v>
      </c>
      <c r="BA345" t="s">
        <v>74</v>
      </c>
      <c r="BB345" t="s">
        <v>74</v>
      </c>
      <c r="BC345" t="s">
        <v>74</v>
      </c>
      <c r="BD345" t="s">
        <v>74</v>
      </c>
      <c r="BE345" t="s">
        <v>5969</v>
      </c>
      <c r="BF345" t="str">
        <f>HYPERLINK("http://dx.doi.org/10.1080/13640461.2023.2260662","http://dx.doi.org/10.1080/13640461.2023.2260662")</f>
        <v>http://dx.doi.org/10.1080/13640461.2023.2260662</v>
      </c>
      <c r="BG345" t="s">
        <v>74</v>
      </c>
      <c r="BH345" t="s">
        <v>5545</v>
      </c>
      <c r="BI345">
        <v>9</v>
      </c>
      <c r="BJ345" t="s">
        <v>5970</v>
      </c>
      <c r="BK345" t="s">
        <v>102</v>
      </c>
      <c r="BL345" t="s">
        <v>5970</v>
      </c>
      <c r="BM345" t="s">
        <v>5971</v>
      </c>
      <c r="BN345" t="s">
        <v>74</v>
      </c>
      <c r="BO345" t="s">
        <v>74</v>
      </c>
      <c r="BP345" t="s">
        <v>74</v>
      </c>
      <c r="BQ345" t="s">
        <v>74</v>
      </c>
      <c r="BR345" t="s">
        <v>105</v>
      </c>
      <c r="BS345" t="s">
        <v>5972</v>
      </c>
      <c r="BT345" t="str">
        <f>HYPERLINK("https%3A%2F%2Fwww.webofscience.com%2Fwos%2Fwoscc%2Ffull-record%2FWOS:001069040700001","View Full Record in Web of Science")</f>
        <v>View Full Record in Web of Science</v>
      </c>
    </row>
    <row r="346" spans="1:72" x14ac:dyDescent="0.15">
      <c r="A346" t="s">
        <v>72</v>
      </c>
      <c r="B346" t="s">
        <v>5973</v>
      </c>
      <c r="C346" t="s">
        <v>74</v>
      </c>
      <c r="D346" t="s">
        <v>74</v>
      </c>
      <c r="E346" t="s">
        <v>74</v>
      </c>
      <c r="F346" t="s">
        <v>5974</v>
      </c>
      <c r="G346" t="s">
        <v>74</v>
      </c>
      <c r="H346" t="s">
        <v>74</v>
      </c>
      <c r="I346" t="s">
        <v>5975</v>
      </c>
      <c r="J346" t="s">
        <v>5976</v>
      </c>
      <c r="K346" t="s">
        <v>74</v>
      </c>
      <c r="L346" t="s">
        <v>74</v>
      </c>
      <c r="M346" t="s">
        <v>78</v>
      </c>
      <c r="N346" t="s">
        <v>5492</v>
      </c>
      <c r="O346" t="s">
        <v>74</v>
      </c>
      <c r="P346" t="s">
        <v>74</v>
      </c>
      <c r="Q346" t="s">
        <v>74</v>
      </c>
      <c r="R346" t="s">
        <v>74</v>
      </c>
      <c r="S346" t="s">
        <v>74</v>
      </c>
      <c r="T346" t="s">
        <v>5977</v>
      </c>
      <c r="U346" t="s">
        <v>5978</v>
      </c>
      <c r="V346" t="s">
        <v>5979</v>
      </c>
      <c r="W346" t="s">
        <v>5980</v>
      </c>
      <c r="X346" t="s">
        <v>5981</v>
      </c>
      <c r="Y346" t="s">
        <v>5982</v>
      </c>
      <c r="Z346" t="s">
        <v>5983</v>
      </c>
      <c r="AA346" t="s">
        <v>74</v>
      </c>
      <c r="AB346" t="s">
        <v>74</v>
      </c>
      <c r="AC346" t="s">
        <v>74</v>
      </c>
      <c r="AD346" t="s">
        <v>74</v>
      </c>
      <c r="AE346" t="s">
        <v>74</v>
      </c>
      <c r="AF346" t="s">
        <v>74</v>
      </c>
      <c r="AG346">
        <v>62</v>
      </c>
      <c r="AH346">
        <v>0</v>
      </c>
      <c r="AI346">
        <v>0</v>
      </c>
      <c r="AJ346">
        <v>0</v>
      </c>
      <c r="AK346">
        <v>0</v>
      </c>
      <c r="AL346" t="s">
        <v>1188</v>
      </c>
      <c r="AM346" t="s">
        <v>93</v>
      </c>
      <c r="AN346" t="s">
        <v>1189</v>
      </c>
      <c r="AO346" t="s">
        <v>5984</v>
      </c>
      <c r="AP346" t="s">
        <v>5985</v>
      </c>
      <c r="AQ346" t="s">
        <v>74</v>
      </c>
      <c r="AR346" t="s">
        <v>5986</v>
      </c>
      <c r="AS346" t="s">
        <v>5987</v>
      </c>
      <c r="AT346" t="s">
        <v>5867</v>
      </c>
      <c r="AU346">
        <v>2023</v>
      </c>
      <c r="AV346" t="s">
        <v>74</v>
      </c>
      <c r="AW346" t="s">
        <v>74</v>
      </c>
      <c r="AX346" t="s">
        <v>74</v>
      </c>
      <c r="AY346" t="s">
        <v>74</v>
      </c>
      <c r="AZ346" t="s">
        <v>74</v>
      </c>
      <c r="BA346" t="s">
        <v>74</v>
      </c>
      <c r="BB346" t="s">
        <v>74</v>
      </c>
      <c r="BC346" t="s">
        <v>74</v>
      </c>
      <c r="BD346" t="s">
        <v>74</v>
      </c>
      <c r="BE346" t="s">
        <v>5988</v>
      </c>
      <c r="BF346" t="str">
        <f>HYPERLINK("http://dx.doi.org/10.1080/09540253.2023.2250817","http://dx.doi.org/10.1080/09540253.2023.2250817")</f>
        <v>http://dx.doi.org/10.1080/09540253.2023.2250817</v>
      </c>
      <c r="BG346" t="s">
        <v>74</v>
      </c>
      <c r="BH346" t="s">
        <v>5545</v>
      </c>
      <c r="BI346">
        <v>18</v>
      </c>
      <c r="BJ346" t="s">
        <v>271</v>
      </c>
      <c r="BK346" t="s">
        <v>272</v>
      </c>
      <c r="BL346" t="s">
        <v>271</v>
      </c>
      <c r="BM346" t="s">
        <v>5989</v>
      </c>
      <c r="BN346" t="s">
        <v>74</v>
      </c>
      <c r="BO346" t="s">
        <v>74</v>
      </c>
      <c r="BP346" t="s">
        <v>74</v>
      </c>
      <c r="BQ346" t="s">
        <v>74</v>
      </c>
      <c r="BR346" t="s">
        <v>105</v>
      </c>
      <c r="BS346" t="s">
        <v>5990</v>
      </c>
      <c r="BT346" t="str">
        <f>HYPERLINK("https%3A%2F%2Fwww.webofscience.com%2Fwos%2Fwoscc%2Ffull-record%2FWOS:001069444300001","View Full Record in Web of Science")</f>
        <v>View Full Record in Web of Science</v>
      </c>
    </row>
    <row r="347" spans="1:72" x14ac:dyDescent="0.15">
      <c r="A347" t="s">
        <v>72</v>
      </c>
      <c r="B347" t="s">
        <v>5991</v>
      </c>
      <c r="C347" t="s">
        <v>74</v>
      </c>
      <c r="D347" t="s">
        <v>74</v>
      </c>
      <c r="E347" t="s">
        <v>74</v>
      </c>
      <c r="F347" t="s">
        <v>5992</v>
      </c>
      <c r="G347" t="s">
        <v>74</v>
      </c>
      <c r="H347" t="s">
        <v>74</v>
      </c>
      <c r="I347" t="s">
        <v>5993</v>
      </c>
      <c r="J347" t="s">
        <v>5994</v>
      </c>
      <c r="K347" t="s">
        <v>74</v>
      </c>
      <c r="L347" t="s">
        <v>74</v>
      </c>
      <c r="M347" t="s">
        <v>78</v>
      </c>
      <c r="N347" t="s">
        <v>5492</v>
      </c>
      <c r="O347" t="s">
        <v>74</v>
      </c>
      <c r="P347" t="s">
        <v>74</v>
      </c>
      <c r="Q347" t="s">
        <v>74</v>
      </c>
      <c r="R347" t="s">
        <v>74</v>
      </c>
      <c r="S347" t="s">
        <v>74</v>
      </c>
      <c r="T347" t="s">
        <v>5995</v>
      </c>
      <c r="U347" t="s">
        <v>5996</v>
      </c>
      <c r="V347" t="s">
        <v>5997</v>
      </c>
      <c r="W347" t="s">
        <v>5998</v>
      </c>
      <c r="X347" t="s">
        <v>74</v>
      </c>
      <c r="Y347" t="s">
        <v>5999</v>
      </c>
      <c r="Z347" t="s">
        <v>6000</v>
      </c>
      <c r="AA347" t="s">
        <v>74</v>
      </c>
      <c r="AB347" t="s">
        <v>74</v>
      </c>
      <c r="AC347" t="s">
        <v>74</v>
      </c>
      <c r="AD347" t="s">
        <v>74</v>
      </c>
      <c r="AE347" t="s">
        <v>74</v>
      </c>
      <c r="AF347" t="s">
        <v>74</v>
      </c>
      <c r="AG347">
        <v>168</v>
      </c>
      <c r="AH347">
        <v>0</v>
      </c>
      <c r="AI347">
        <v>0</v>
      </c>
      <c r="AJ347">
        <v>0</v>
      </c>
      <c r="AK347">
        <v>0</v>
      </c>
      <c r="AL347" t="s">
        <v>1188</v>
      </c>
      <c r="AM347" t="s">
        <v>93</v>
      </c>
      <c r="AN347" t="s">
        <v>1189</v>
      </c>
      <c r="AO347" t="s">
        <v>6001</v>
      </c>
      <c r="AP347" t="s">
        <v>6002</v>
      </c>
      <c r="AQ347" t="s">
        <v>74</v>
      </c>
      <c r="AR347" t="s">
        <v>6003</v>
      </c>
      <c r="AS347" t="s">
        <v>6004</v>
      </c>
      <c r="AT347" t="s">
        <v>5867</v>
      </c>
      <c r="AU347">
        <v>2023</v>
      </c>
      <c r="AV347" t="s">
        <v>74</v>
      </c>
      <c r="AW347" t="s">
        <v>74</v>
      </c>
      <c r="AX347" t="s">
        <v>74</v>
      </c>
      <c r="AY347" t="s">
        <v>74</v>
      </c>
      <c r="AZ347" t="s">
        <v>74</v>
      </c>
      <c r="BA347" t="s">
        <v>74</v>
      </c>
      <c r="BB347" t="s">
        <v>74</v>
      </c>
      <c r="BC347" t="s">
        <v>74</v>
      </c>
      <c r="BD347" t="s">
        <v>74</v>
      </c>
      <c r="BE347" t="s">
        <v>6005</v>
      </c>
      <c r="BF347" t="str">
        <f>HYPERLINK("http://dx.doi.org/10.1080/03088839.2023.2258125","http://dx.doi.org/10.1080/03088839.2023.2258125")</f>
        <v>http://dx.doi.org/10.1080/03088839.2023.2258125</v>
      </c>
      <c r="BG347" t="s">
        <v>74</v>
      </c>
      <c r="BH347" t="s">
        <v>5545</v>
      </c>
      <c r="BI347">
        <v>36</v>
      </c>
      <c r="BJ347" t="s">
        <v>6006</v>
      </c>
      <c r="BK347" t="s">
        <v>272</v>
      </c>
      <c r="BL347" t="s">
        <v>6006</v>
      </c>
      <c r="BM347" t="s">
        <v>6007</v>
      </c>
      <c r="BN347" t="s">
        <v>74</v>
      </c>
      <c r="BO347" t="s">
        <v>74</v>
      </c>
      <c r="BP347" t="s">
        <v>74</v>
      </c>
      <c r="BQ347" t="s">
        <v>74</v>
      </c>
      <c r="BR347" t="s">
        <v>105</v>
      </c>
      <c r="BS347" t="s">
        <v>6008</v>
      </c>
      <c r="BT347" t="str">
        <f>HYPERLINK("https%3A%2F%2Fwww.webofscience.com%2Fwos%2Fwoscc%2Ffull-record%2FWOS:001068326200001","View Full Record in Web of Science")</f>
        <v>View Full Record in Web of Science</v>
      </c>
    </row>
    <row r="348" spans="1:72" x14ac:dyDescent="0.15">
      <c r="A348" t="s">
        <v>72</v>
      </c>
      <c r="B348" t="s">
        <v>6009</v>
      </c>
      <c r="C348" t="s">
        <v>74</v>
      </c>
      <c r="D348" t="s">
        <v>74</v>
      </c>
      <c r="E348" t="s">
        <v>74</v>
      </c>
      <c r="F348" t="s">
        <v>6009</v>
      </c>
      <c r="G348" t="s">
        <v>74</v>
      </c>
      <c r="H348" t="s">
        <v>74</v>
      </c>
      <c r="I348" t="s">
        <v>6010</v>
      </c>
      <c r="J348" t="s">
        <v>6011</v>
      </c>
      <c r="K348" t="s">
        <v>74</v>
      </c>
      <c r="L348" t="s">
        <v>74</v>
      </c>
      <c r="M348" t="s">
        <v>78</v>
      </c>
      <c r="N348" t="s">
        <v>5492</v>
      </c>
      <c r="O348" t="s">
        <v>74</v>
      </c>
      <c r="P348" t="s">
        <v>74</v>
      </c>
      <c r="Q348" t="s">
        <v>74</v>
      </c>
      <c r="R348" t="s">
        <v>74</v>
      </c>
      <c r="S348" t="s">
        <v>74</v>
      </c>
      <c r="T348" t="s">
        <v>6012</v>
      </c>
      <c r="U348" t="s">
        <v>74</v>
      </c>
      <c r="V348" t="s">
        <v>6013</v>
      </c>
      <c r="W348" t="s">
        <v>6014</v>
      </c>
      <c r="X348" t="s">
        <v>74</v>
      </c>
      <c r="Y348" t="s">
        <v>6015</v>
      </c>
      <c r="Z348" t="s">
        <v>6016</v>
      </c>
      <c r="AA348" t="s">
        <v>74</v>
      </c>
      <c r="AB348" t="s">
        <v>74</v>
      </c>
      <c r="AC348" t="s">
        <v>6017</v>
      </c>
      <c r="AD348" t="s">
        <v>6017</v>
      </c>
      <c r="AE348" t="s">
        <v>6017</v>
      </c>
      <c r="AF348" t="s">
        <v>74</v>
      </c>
      <c r="AG348">
        <v>23</v>
      </c>
      <c r="AH348">
        <v>0</v>
      </c>
      <c r="AI348">
        <v>0</v>
      </c>
      <c r="AJ348">
        <v>0</v>
      </c>
      <c r="AK348">
        <v>0</v>
      </c>
      <c r="AL348" t="s">
        <v>184</v>
      </c>
      <c r="AM348" t="s">
        <v>185</v>
      </c>
      <c r="AN348" t="s">
        <v>186</v>
      </c>
      <c r="AO348" t="s">
        <v>6018</v>
      </c>
      <c r="AP348" t="s">
        <v>6019</v>
      </c>
      <c r="AQ348" t="s">
        <v>74</v>
      </c>
      <c r="AR348" t="s">
        <v>6020</v>
      </c>
      <c r="AS348" t="s">
        <v>6021</v>
      </c>
      <c r="AT348" t="s">
        <v>5867</v>
      </c>
      <c r="AU348">
        <v>2023</v>
      </c>
      <c r="AV348" t="s">
        <v>74</v>
      </c>
      <c r="AW348" t="s">
        <v>74</v>
      </c>
      <c r="AX348" t="s">
        <v>74</v>
      </c>
      <c r="AY348" t="s">
        <v>74</v>
      </c>
      <c r="AZ348" t="s">
        <v>74</v>
      </c>
      <c r="BA348" t="s">
        <v>74</v>
      </c>
      <c r="BB348" t="s">
        <v>74</v>
      </c>
      <c r="BC348" t="s">
        <v>74</v>
      </c>
      <c r="BD348" t="s">
        <v>74</v>
      </c>
      <c r="BE348" t="s">
        <v>6022</v>
      </c>
      <c r="BF348" t="str">
        <f>HYPERLINK("http://dx.doi.org/10.1080/00927872.2023.2258401","http://dx.doi.org/10.1080/00927872.2023.2258401")</f>
        <v>http://dx.doi.org/10.1080/00927872.2023.2258401</v>
      </c>
      <c r="BG348" t="s">
        <v>74</v>
      </c>
      <c r="BH348" t="s">
        <v>5545</v>
      </c>
      <c r="BI348">
        <v>17</v>
      </c>
      <c r="BJ348" t="s">
        <v>5435</v>
      </c>
      <c r="BK348" t="s">
        <v>102</v>
      </c>
      <c r="BL348" t="s">
        <v>5435</v>
      </c>
      <c r="BM348" t="s">
        <v>6023</v>
      </c>
      <c r="BN348" t="s">
        <v>74</v>
      </c>
      <c r="BO348" t="s">
        <v>74</v>
      </c>
      <c r="BP348" t="s">
        <v>74</v>
      </c>
      <c r="BQ348" t="s">
        <v>74</v>
      </c>
      <c r="BR348" t="s">
        <v>105</v>
      </c>
      <c r="BS348" t="s">
        <v>6024</v>
      </c>
      <c r="BT348" t="str">
        <f>HYPERLINK("https%3A%2F%2Fwww.webofscience.com%2Fwos%2Fwoscc%2Ffull-record%2FWOS:001069045100001","View Full Record in Web of Science")</f>
        <v>View Full Record in Web of Science</v>
      </c>
    </row>
    <row r="349" spans="1:72" x14ac:dyDescent="0.15">
      <c r="A349" t="s">
        <v>72</v>
      </c>
      <c r="B349" t="s">
        <v>6025</v>
      </c>
      <c r="C349" t="s">
        <v>74</v>
      </c>
      <c r="D349" t="s">
        <v>74</v>
      </c>
      <c r="E349" t="s">
        <v>74</v>
      </c>
      <c r="F349" t="s">
        <v>6026</v>
      </c>
      <c r="G349" t="s">
        <v>74</v>
      </c>
      <c r="H349" t="s">
        <v>74</v>
      </c>
      <c r="I349" t="s">
        <v>6027</v>
      </c>
      <c r="J349" t="s">
        <v>6028</v>
      </c>
      <c r="K349" t="s">
        <v>74</v>
      </c>
      <c r="L349" t="s">
        <v>74</v>
      </c>
      <c r="M349" t="s">
        <v>78</v>
      </c>
      <c r="N349" t="s">
        <v>5492</v>
      </c>
      <c r="O349" t="s">
        <v>74</v>
      </c>
      <c r="P349" t="s">
        <v>74</v>
      </c>
      <c r="Q349" t="s">
        <v>74</v>
      </c>
      <c r="R349" t="s">
        <v>74</v>
      </c>
      <c r="S349" t="s">
        <v>74</v>
      </c>
      <c r="T349" t="s">
        <v>6029</v>
      </c>
      <c r="U349" t="s">
        <v>6030</v>
      </c>
      <c r="V349" t="s">
        <v>6031</v>
      </c>
      <c r="W349" t="s">
        <v>6032</v>
      </c>
      <c r="X349" t="s">
        <v>6033</v>
      </c>
      <c r="Y349" t="s">
        <v>6034</v>
      </c>
      <c r="Z349" t="s">
        <v>6035</v>
      </c>
      <c r="AA349" t="s">
        <v>74</v>
      </c>
      <c r="AB349" t="s">
        <v>74</v>
      </c>
      <c r="AC349" t="s">
        <v>74</v>
      </c>
      <c r="AD349" t="s">
        <v>74</v>
      </c>
      <c r="AE349" t="s">
        <v>74</v>
      </c>
      <c r="AF349" t="s">
        <v>74</v>
      </c>
      <c r="AG349">
        <v>109</v>
      </c>
      <c r="AH349">
        <v>0</v>
      </c>
      <c r="AI349">
        <v>0</v>
      </c>
      <c r="AJ349">
        <v>0</v>
      </c>
      <c r="AK349">
        <v>0</v>
      </c>
      <c r="AL349" t="s">
        <v>1188</v>
      </c>
      <c r="AM349" t="s">
        <v>93</v>
      </c>
      <c r="AN349" t="s">
        <v>1189</v>
      </c>
      <c r="AO349" t="s">
        <v>6036</v>
      </c>
      <c r="AP349" t="s">
        <v>6037</v>
      </c>
      <c r="AQ349" t="s">
        <v>74</v>
      </c>
      <c r="AR349" t="s">
        <v>6038</v>
      </c>
      <c r="AS349" t="s">
        <v>6039</v>
      </c>
      <c r="AT349" t="s">
        <v>5867</v>
      </c>
      <c r="AU349">
        <v>2023</v>
      </c>
      <c r="AV349" t="s">
        <v>74</v>
      </c>
      <c r="AW349" t="s">
        <v>74</v>
      </c>
      <c r="AX349" t="s">
        <v>74</v>
      </c>
      <c r="AY349" t="s">
        <v>74</v>
      </c>
      <c r="AZ349" t="s">
        <v>74</v>
      </c>
      <c r="BA349" t="s">
        <v>74</v>
      </c>
      <c r="BB349" t="s">
        <v>74</v>
      </c>
      <c r="BC349" t="s">
        <v>74</v>
      </c>
      <c r="BD349" t="s">
        <v>74</v>
      </c>
      <c r="BE349" t="s">
        <v>6040</v>
      </c>
      <c r="BF349" t="str">
        <f>HYPERLINK("http://dx.doi.org/10.1080/13683500.2023.2260063","http://dx.doi.org/10.1080/13683500.2023.2260063")</f>
        <v>http://dx.doi.org/10.1080/13683500.2023.2260063</v>
      </c>
      <c r="BG349" t="s">
        <v>74</v>
      </c>
      <c r="BH349" t="s">
        <v>5545</v>
      </c>
      <c r="BI349">
        <v>20</v>
      </c>
      <c r="BJ349" t="s">
        <v>5731</v>
      </c>
      <c r="BK349" t="s">
        <v>272</v>
      </c>
      <c r="BL349" t="s">
        <v>397</v>
      </c>
      <c r="BM349" t="s">
        <v>6041</v>
      </c>
      <c r="BN349" t="s">
        <v>74</v>
      </c>
      <c r="BO349" t="s">
        <v>887</v>
      </c>
      <c r="BP349" t="s">
        <v>74</v>
      </c>
      <c r="BQ349" t="s">
        <v>74</v>
      </c>
      <c r="BR349" t="s">
        <v>105</v>
      </c>
      <c r="BS349" t="s">
        <v>6042</v>
      </c>
      <c r="BT349" t="str">
        <f>HYPERLINK("https%3A%2F%2Fwww.webofscience.com%2Fwos%2Fwoscc%2Ffull-record%2FWOS:001069930400001","View Full Record in Web of Science")</f>
        <v>View Full Record in Web of Science</v>
      </c>
    </row>
    <row r="350" spans="1:72" x14ac:dyDescent="0.15">
      <c r="A350" t="s">
        <v>72</v>
      </c>
      <c r="B350" t="s">
        <v>6043</v>
      </c>
      <c r="C350" t="s">
        <v>74</v>
      </c>
      <c r="D350" t="s">
        <v>74</v>
      </c>
      <c r="E350" t="s">
        <v>74</v>
      </c>
      <c r="F350" t="s">
        <v>6044</v>
      </c>
      <c r="G350" t="s">
        <v>74</v>
      </c>
      <c r="H350" t="s">
        <v>74</v>
      </c>
      <c r="I350" t="s">
        <v>6045</v>
      </c>
      <c r="J350" t="s">
        <v>6046</v>
      </c>
      <c r="K350" t="s">
        <v>74</v>
      </c>
      <c r="L350" t="s">
        <v>74</v>
      </c>
      <c r="M350" t="s">
        <v>78</v>
      </c>
      <c r="N350" t="s">
        <v>5492</v>
      </c>
      <c r="O350" t="s">
        <v>74</v>
      </c>
      <c r="P350" t="s">
        <v>74</v>
      </c>
      <c r="Q350" t="s">
        <v>74</v>
      </c>
      <c r="R350" t="s">
        <v>74</v>
      </c>
      <c r="S350" t="s">
        <v>74</v>
      </c>
      <c r="T350" t="s">
        <v>6047</v>
      </c>
      <c r="U350" t="s">
        <v>6048</v>
      </c>
      <c r="V350" t="s">
        <v>6049</v>
      </c>
      <c r="W350" t="s">
        <v>6050</v>
      </c>
      <c r="X350" t="s">
        <v>6051</v>
      </c>
      <c r="Y350" t="s">
        <v>6052</v>
      </c>
      <c r="Z350" t="s">
        <v>6053</v>
      </c>
      <c r="AA350" t="s">
        <v>74</v>
      </c>
      <c r="AB350" t="s">
        <v>74</v>
      </c>
      <c r="AC350" t="s">
        <v>6054</v>
      </c>
      <c r="AD350" t="s">
        <v>6055</v>
      </c>
      <c r="AE350" t="s">
        <v>6056</v>
      </c>
      <c r="AF350" t="s">
        <v>74</v>
      </c>
      <c r="AG350">
        <v>53</v>
      </c>
      <c r="AH350">
        <v>0</v>
      </c>
      <c r="AI350">
        <v>0</v>
      </c>
      <c r="AJ350">
        <v>0</v>
      </c>
      <c r="AK350">
        <v>0</v>
      </c>
      <c r="AL350" t="s">
        <v>184</v>
      </c>
      <c r="AM350" t="s">
        <v>185</v>
      </c>
      <c r="AN350" t="s">
        <v>186</v>
      </c>
      <c r="AO350" t="s">
        <v>6057</v>
      </c>
      <c r="AP350" t="s">
        <v>6058</v>
      </c>
      <c r="AQ350" t="s">
        <v>74</v>
      </c>
      <c r="AR350" t="s">
        <v>6059</v>
      </c>
      <c r="AS350" t="s">
        <v>6060</v>
      </c>
      <c r="AT350" t="s">
        <v>5867</v>
      </c>
      <c r="AU350">
        <v>2023</v>
      </c>
      <c r="AV350" t="s">
        <v>74</v>
      </c>
      <c r="AW350" t="s">
        <v>74</v>
      </c>
      <c r="AX350" t="s">
        <v>74</v>
      </c>
      <c r="AY350" t="s">
        <v>74</v>
      </c>
      <c r="AZ350" t="s">
        <v>74</v>
      </c>
      <c r="BA350" t="s">
        <v>74</v>
      </c>
      <c r="BB350" t="s">
        <v>74</v>
      </c>
      <c r="BC350" t="s">
        <v>74</v>
      </c>
      <c r="BD350" t="s">
        <v>74</v>
      </c>
      <c r="BE350" t="s">
        <v>6061</v>
      </c>
      <c r="BF350" t="str">
        <f>HYPERLINK("http://dx.doi.org/10.1080/10495398.2023.2249957","http://dx.doi.org/10.1080/10495398.2023.2249957")</f>
        <v>http://dx.doi.org/10.1080/10495398.2023.2249957</v>
      </c>
      <c r="BG350" t="s">
        <v>74</v>
      </c>
      <c r="BH350" t="s">
        <v>5545</v>
      </c>
      <c r="BI350">
        <v>12</v>
      </c>
      <c r="BJ350" t="s">
        <v>6062</v>
      </c>
      <c r="BK350" t="s">
        <v>102</v>
      </c>
      <c r="BL350" t="s">
        <v>6063</v>
      </c>
      <c r="BM350" t="s">
        <v>6064</v>
      </c>
      <c r="BN350">
        <v>37747460</v>
      </c>
      <c r="BO350" t="s">
        <v>74</v>
      </c>
      <c r="BP350" t="s">
        <v>74</v>
      </c>
      <c r="BQ350" t="s">
        <v>74</v>
      </c>
      <c r="BR350" t="s">
        <v>105</v>
      </c>
      <c r="BS350" t="s">
        <v>6065</v>
      </c>
      <c r="BT350" t="str">
        <f>HYPERLINK("https%3A%2F%2Fwww.webofscience.com%2Fwos%2Fwoscc%2Ffull-record%2FWOS:001073486700001","View Full Record in Web of Science")</f>
        <v>View Full Record in Web of Science</v>
      </c>
    </row>
    <row r="351" spans="1:72" x14ac:dyDescent="0.15">
      <c r="A351" t="s">
        <v>72</v>
      </c>
      <c r="B351" t="s">
        <v>6066</v>
      </c>
      <c r="C351" t="s">
        <v>74</v>
      </c>
      <c r="D351" t="s">
        <v>74</v>
      </c>
      <c r="E351" t="s">
        <v>74</v>
      </c>
      <c r="F351" t="s">
        <v>6067</v>
      </c>
      <c r="G351" t="s">
        <v>74</v>
      </c>
      <c r="H351" t="s">
        <v>74</v>
      </c>
      <c r="I351" t="s">
        <v>6068</v>
      </c>
      <c r="J351" t="s">
        <v>6069</v>
      </c>
      <c r="K351" t="s">
        <v>74</v>
      </c>
      <c r="L351" t="s">
        <v>74</v>
      </c>
      <c r="M351" t="s">
        <v>78</v>
      </c>
      <c r="N351" t="s">
        <v>5492</v>
      </c>
      <c r="O351" t="s">
        <v>74</v>
      </c>
      <c r="P351" t="s">
        <v>74</v>
      </c>
      <c r="Q351" t="s">
        <v>74</v>
      </c>
      <c r="R351" t="s">
        <v>74</v>
      </c>
      <c r="S351" t="s">
        <v>74</v>
      </c>
      <c r="T351" t="s">
        <v>6070</v>
      </c>
      <c r="U351" t="s">
        <v>6071</v>
      </c>
      <c r="V351" t="s">
        <v>6072</v>
      </c>
      <c r="W351" t="s">
        <v>6073</v>
      </c>
      <c r="X351" t="s">
        <v>6074</v>
      </c>
      <c r="Y351" t="s">
        <v>6075</v>
      </c>
      <c r="Z351" t="s">
        <v>6076</v>
      </c>
      <c r="AA351" t="s">
        <v>74</v>
      </c>
      <c r="AB351" t="s">
        <v>74</v>
      </c>
      <c r="AC351" t="s">
        <v>6077</v>
      </c>
      <c r="AD351" t="s">
        <v>6077</v>
      </c>
      <c r="AE351" t="s">
        <v>6077</v>
      </c>
      <c r="AF351" t="s">
        <v>74</v>
      </c>
      <c r="AG351">
        <v>65</v>
      </c>
      <c r="AH351">
        <v>0</v>
      </c>
      <c r="AI351">
        <v>0</v>
      </c>
      <c r="AJ351">
        <v>0</v>
      </c>
      <c r="AK351">
        <v>0</v>
      </c>
      <c r="AL351" t="s">
        <v>184</v>
      </c>
      <c r="AM351" t="s">
        <v>185</v>
      </c>
      <c r="AN351" t="s">
        <v>186</v>
      </c>
      <c r="AO351" t="s">
        <v>6078</v>
      </c>
      <c r="AP351" t="s">
        <v>6079</v>
      </c>
      <c r="AQ351" t="s">
        <v>74</v>
      </c>
      <c r="AR351" t="s">
        <v>6080</v>
      </c>
      <c r="AS351" t="s">
        <v>6081</v>
      </c>
      <c r="AT351" t="s">
        <v>5867</v>
      </c>
      <c r="AU351">
        <v>2023</v>
      </c>
      <c r="AV351" t="s">
        <v>74</v>
      </c>
      <c r="AW351" t="s">
        <v>74</v>
      </c>
      <c r="AX351" t="s">
        <v>74</v>
      </c>
      <c r="AY351" t="s">
        <v>74</v>
      </c>
      <c r="AZ351" t="s">
        <v>74</v>
      </c>
      <c r="BA351" t="s">
        <v>74</v>
      </c>
      <c r="BB351" t="s">
        <v>74</v>
      </c>
      <c r="BC351" t="s">
        <v>74</v>
      </c>
      <c r="BD351" t="s">
        <v>74</v>
      </c>
      <c r="BE351" t="s">
        <v>6082</v>
      </c>
      <c r="BF351" t="str">
        <f>HYPERLINK("http://dx.doi.org/10.1080/01621459.2023.2240461","http://dx.doi.org/10.1080/01621459.2023.2240461")</f>
        <v>http://dx.doi.org/10.1080/01621459.2023.2240461</v>
      </c>
      <c r="BG351" t="s">
        <v>74</v>
      </c>
      <c r="BH351" t="s">
        <v>5545</v>
      </c>
      <c r="BI351">
        <v>15</v>
      </c>
      <c r="BJ351" t="s">
        <v>5630</v>
      </c>
      <c r="BK351" t="s">
        <v>102</v>
      </c>
      <c r="BL351" t="s">
        <v>5435</v>
      </c>
      <c r="BM351" t="s">
        <v>6083</v>
      </c>
      <c r="BN351" t="s">
        <v>74</v>
      </c>
      <c r="BO351" t="s">
        <v>6084</v>
      </c>
      <c r="BP351" t="s">
        <v>74</v>
      </c>
      <c r="BQ351" t="s">
        <v>74</v>
      </c>
      <c r="BR351" t="s">
        <v>105</v>
      </c>
      <c r="BS351" t="s">
        <v>6085</v>
      </c>
      <c r="BT351" t="str">
        <f>HYPERLINK("https%3A%2F%2Fwww.webofscience.com%2Fwos%2Fwoscc%2Ffull-record%2FWOS:001071534600001","View Full Record in Web of Science")</f>
        <v>View Full Record in Web of Science</v>
      </c>
    </row>
    <row r="352" spans="1:72" x14ac:dyDescent="0.15">
      <c r="A352" t="s">
        <v>72</v>
      </c>
      <c r="B352" t="s">
        <v>6086</v>
      </c>
      <c r="C352" t="s">
        <v>74</v>
      </c>
      <c r="D352" t="s">
        <v>74</v>
      </c>
      <c r="E352" t="s">
        <v>74</v>
      </c>
      <c r="F352" t="s">
        <v>6087</v>
      </c>
      <c r="G352" t="s">
        <v>74</v>
      </c>
      <c r="H352" t="s">
        <v>74</v>
      </c>
      <c r="I352" t="s">
        <v>6088</v>
      </c>
      <c r="J352" t="s">
        <v>6089</v>
      </c>
      <c r="K352" t="s">
        <v>74</v>
      </c>
      <c r="L352" t="s">
        <v>74</v>
      </c>
      <c r="M352" t="s">
        <v>78</v>
      </c>
      <c r="N352" t="s">
        <v>5492</v>
      </c>
      <c r="O352" t="s">
        <v>74</v>
      </c>
      <c r="P352" t="s">
        <v>74</v>
      </c>
      <c r="Q352" t="s">
        <v>74</v>
      </c>
      <c r="R352" t="s">
        <v>74</v>
      </c>
      <c r="S352" t="s">
        <v>74</v>
      </c>
      <c r="T352" t="s">
        <v>6090</v>
      </c>
      <c r="U352" t="s">
        <v>6091</v>
      </c>
      <c r="V352" t="s">
        <v>6092</v>
      </c>
      <c r="W352" t="s">
        <v>6093</v>
      </c>
      <c r="X352" t="s">
        <v>6094</v>
      </c>
      <c r="Y352" t="s">
        <v>6095</v>
      </c>
      <c r="Z352" t="s">
        <v>6096</v>
      </c>
      <c r="AA352" t="s">
        <v>74</v>
      </c>
      <c r="AB352" t="s">
        <v>74</v>
      </c>
      <c r="AC352" t="s">
        <v>6097</v>
      </c>
      <c r="AD352" t="s">
        <v>6097</v>
      </c>
      <c r="AE352" t="s">
        <v>6098</v>
      </c>
      <c r="AF352" t="s">
        <v>74</v>
      </c>
      <c r="AG352">
        <v>70</v>
      </c>
      <c r="AH352">
        <v>0</v>
      </c>
      <c r="AI352">
        <v>0</v>
      </c>
      <c r="AJ352">
        <v>0</v>
      </c>
      <c r="AK352">
        <v>0</v>
      </c>
      <c r="AL352" t="s">
        <v>1188</v>
      </c>
      <c r="AM352" t="s">
        <v>93</v>
      </c>
      <c r="AN352" t="s">
        <v>1189</v>
      </c>
      <c r="AO352" t="s">
        <v>6099</v>
      </c>
      <c r="AP352" t="s">
        <v>6100</v>
      </c>
      <c r="AQ352" t="s">
        <v>74</v>
      </c>
      <c r="AR352" t="s">
        <v>6101</v>
      </c>
      <c r="AS352" t="s">
        <v>6102</v>
      </c>
      <c r="AT352" t="s">
        <v>6103</v>
      </c>
      <c r="AU352">
        <v>2023</v>
      </c>
      <c r="AV352" t="s">
        <v>74</v>
      </c>
      <c r="AW352" t="s">
        <v>74</v>
      </c>
      <c r="AX352" t="s">
        <v>74</v>
      </c>
      <c r="AY352" t="s">
        <v>74</v>
      </c>
      <c r="AZ352" t="s">
        <v>74</v>
      </c>
      <c r="BA352" t="s">
        <v>74</v>
      </c>
      <c r="BB352" t="s">
        <v>74</v>
      </c>
      <c r="BC352" t="s">
        <v>74</v>
      </c>
      <c r="BD352" t="s">
        <v>74</v>
      </c>
      <c r="BE352" t="s">
        <v>6104</v>
      </c>
      <c r="BF352" t="str">
        <f>HYPERLINK("http://dx.doi.org/10.1080/09662839.2023.2258528","http://dx.doi.org/10.1080/09662839.2023.2258528")</f>
        <v>http://dx.doi.org/10.1080/09662839.2023.2258528</v>
      </c>
      <c r="BG352" t="s">
        <v>74</v>
      </c>
      <c r="BH352" t="s">
        <v>5545</v>
      </c>
      <c r="BI352">
        <v>23</v>
      </c>
      <c r="BJ352" t="s">
        <v>6105</v>
      </c>
      <c r="BK352" t="s">
        <v>272</v>
      </c>
      <c r="BL352" t="s">
        <v>6106</v>
      </c>
      <c r="BM352" t="s">
        <v>6107</v>
      </c>
      <c r="BN352" t="s">
        <v>74</v>
      </c>
      <c r="BO352" t="s">
        <v>74</v>
      </c>
      <c r="BP352" t="s">
        <v>74</v>
      </c>
      <c r="BQ352" t="s">
        <v>74</v>
      </c>
      <c r="BR352" t="s">
        <v>105</v>
      </c>
      <c r="BS352" t="s">
        <v>6108</v>
      </c>
      <c r="BT352" t="str">
        <f>HYPERLINK("https%3A%2F%2Fwww.webofscience.com%2Fwos%2Fwoscc%2Ffull-record%2FWOS:001073864100001","View Full Record in Web of Science")</f>
        <v>View Full Record in Web of Science</v>
      </c>
    </row>
    <row r="353" spans="1:72" x14ac:dyDescent="0.15">
      <c r="A353" t="s">
        <v>72</v>
      </c>
      <c r="B353" t="s">
        <v>6109</v>
      </c>
      <c r="C353" t="s">
        <v>74</v>
      </c>
      <c r="D353" t="s">
        <v>74</v>
      </c>
      <c r="E353" t="s">
        <v>74</v>
      </c>
      <c r="F353" t="s">
        <v>6110</v>
      </c>
      <c r="G353" t="s">
        <v>74</v>
      </c>
      <c r="H353" t="s">
        <v>74</v>
      </c>
      <c r="I353" t="s">
        <v>6111</v>
      </c>
      <c r="J353" t="s">
        <v>6112</v>
      </c>
      <c r="K353" t="s">
        <v>74</v>
      </c>
      <c r="L353" t="s">
        <v>74</v>
      </c>
      <c r="M353" t="s">
        <v>78</v>
      </c>
      <c r="N353" t="s">
        <v>5492</v>
      </c>
      <c r="O353" t="s">
        <v>74</v>
      </c>
      <c r="P353" t="s">
        <v>74</v>
      </c>
      <c r="Q353" t="s">
        <v>74</v>
      </c>
      <c r="R353" t="s">
        <v>74</v>
      </c>
      <c r="S353" t="s">
        <v>74</v>
      </c>
      <c r="T353" t="s">
        <v>6113</v>
      </c>
      <c r="U353" t="s">
        <v>6114</v>
      </c>
      <c r="V353" t="s">
        <v>6115</v>
      </c>
      <c r="W353" t="s">
        <v>6116</v>
      </c>
      <c r="X353" t="s">
        <v>6117</v>
      </c>
      <c r="Y353" t="s">
        <v>6118</v>
      </c>
      <c r="Z353" t="s">
        <v>6119</v>
      </c>
      <c r="AA353" t="s">
        <v>74</v>
      </c>
      <c r="AB353" t="s">
        <v>6120</v>
      </c>
      <c r="AC353" t="s">
        <v>6121</v>
      </c>
      <c r="AD353" t="s">
        <v>6121</v>
      </c>
      <c r="AE353" t="s">
        <v>6121</v>
      </c>
      <c r="AF353" t="s">
        <v>74</v>
      </c>
      <c r="AG353">
        <v>46</v>
      </c>
      <c r="AH353">
        <v>0</v>
      </c>
      <c r="AI353">
        <v>0</v>
      </c>
      <c r="AJ353">
        <v>1</v>
      </c>
      <c r="AK353">
        <v>1</v>
      </c>
      <c r="AL353" t="s">
        <v>1188</v>
      </c>
      <c r="AM353" t="s">
        <v>93</v>
      </c>
      <c r="AN353" t="s">
        <v>1189</v>
      </c>
      <c r="AO353" t="s">
        <v>6122</v>
      </c>
      <c r="AP353" t="s">
        <v>6123</v>
      </c>
      <c r="AQ353" t="s">
        <v>74</v>
      </c>
      <c r="AR353" t="s">
        <v>6124</v>
      </c>
      <c r="AS353" t="s">
        <v>6125</v>
      </c>
      <c r="AT353" t="s">
        <v>6103</v>
      </c>
      <c r="AU353">
        <v>2023</v>
      </c>
      <c r="AV353" t="s">
        <v>74</v>
      </c>
      <c r="AW353" t="s">
        <v>74</v>
      </c>
      <c r="AX353" t="s">
        <v>74</v>
      </c>
      <c r="AY353" t="s">
        <v>74</v>
      </c>
      <c r="AZ353" t="s">
        <v>74</v>
      </c>
      <c r="BA353" t="s">
        <v>74</v>
      </c>
      <c r="BB353" t="s">
        <v>74</v>
      </c>
      <c r="BC353" t="s">
        <v>74</v>
      </c>
      <c r="BD353" t="s">
        <v>74</v>
      </c>
      <c r="BE353" t="s">
        <v>6126</v>
      </c>
      <c r="BF353" t="str">
        <f>HYPERLINK("http://dx.doi.org/10.1080/10888705.2023.2259803","http://dx.doi.org/10.1080/10888705.2023.2259803")</f>
        <v>http://dx.doi.org/10.1080/10888705.2023.2259803</v>
      </c>
      <c r="BG353" t="s">
        <v>74</v>
      </c>
      <c r="BH353" t="s">
        <v>5545</v>
      </c>
      <c r="BI353">
        <v>10</v>
      </c>
      <c r="BJ353" t="s">
        <v>6127</v>
      </c>
      <c r="BK353" t="s">
        <v>102</v>
      </c>
      <c r="BL353" t="s">
        <v>6127</v>
      </c>
      <c r="BM353" t="s">
        <v>6128</v>
      </c>
      <c r="BN353">
        <v>37726876</v>
      </c>
      <c r="BO353" t="s">
        <v>74</v>
      </c>
      <c r="BP353" t="s">
        <v>74</v>
      </c>
      <c r="BQ353" t="s">
        <v>74</v>
      </c>
      <c r="BR353" t="s">
        <v>105</v>
      </c>
      <c r="BS353" t="s">
        <v>6129</v>
      </c>
      <c r="BT353" t="str">
        <f>HYPERLINK("https%3A%2F%2Fwww.webofscience.com%2Fwos%2Fwoscc%2Ffull-record%2FWOS:001067266800001","View Full Record in Web of Science")</f>
        <v>View Full Record in Web of Science</v>
      </c>
    </row>
    <row r="354" spans="1:72" x14ac:dyDescent="0.15">
      <c r="A354" t="s">
        <v>72</v>
      </c>
      <c r="B354" t="s">
        <v>6130</v>
      </c>
      <c r="C354" t="s">
        <v>74</v>
      </c>
      <c r="D354" t="s">
        <v>74</v>
      </c>
      <c r="E354" t="s">
        <v>74</v>
      </c>
      <c r="F354" t="s">
        <v>6131</v>
      </c>
      <c r="G354" t="s">
        <v>74</v>
      </c>
      <c r="H354" t="s">
        <v>74</v>
      </c>
      <c r="I354" t="s">
        <v>6132</v>
      </c>
      <c r="J354" t="s">
        <v>6133</v>
      </c>
      <c r="K354" t="s">
        <v>74</v>
      </c>
      <c r="L354" t="s">
        <v>74</v>
      </c>
      <c r="M354" t="s">
        <v>78</v>
      </c>
      <c r="N354" t="s">
        <v>5492</v>
      </c>
      <c r="O354" t="s">
        <v>74</v>
      </c>
      <c r="P354" t="s">
        <v>74</v>
      </c>
      <c r="Q354" t="s">
        <v>74</v>
      </c>
      <c r="R354" t="s">
        <v>74</v>
      </c>
      <c r="S354" t="s">
        <v>74</v>
      </c>
      <c r="T354" t="s">
        <v>6134</v>
      </c>
      <c r="U354" t="s">
        <v>6135</v>
      </c>
      <c r="V354" t="s">
        <v>6136</v>
      </c>
      <c r="W354" t="s">
        <v>6137</v>
      </c>
      <c r="X354" t="s">
        <v>6138</v>
      </c>
      <c r="Y354" t="s">
        <v>6139</v>
      </c>
      <c r="Z354" t="s">
        <v>6140</v>
      </c>
      <c r="AA354" t="s">
        <v>74</v>
      </c>
      <c r="AB354" t="s">
        <v>6141</v>
      </c>
      <c r="AC354" t="s">
        <v>6142</v>
      </c>
      <c r="AD354" t="s">
        <v>6142</v>
      </c>
      <c r="AE354" t="s">
        <v>6142</v>
      </c>
      <c r="AF354" t="s">
        <v>74</v>
      </c>
      <c r="AG354">
        <v>45</v>
      </c>
      <c r="AH354">
        <v>0</v>
      </c>
      <c r="AI354">
        <v>0</v>
      </c>
      <c r="AJ354">
        <v>0</v>
      </c>
      <c r="AK354">
        <v>0</v>
      </c>
      <c r="AL354" t="s">
        <v>1188</v>
      </c>
      <c r="AM354" t="s">
        <v>93</v>
      </c>
      <c r="AN354" t="s">
        <v>1189</v>
      </c>
      <c r="AO354" t="s">
        <v>6143</v>
      </c>
      <c r="AP354" t="s">
        <v>6144</v>
      </c>
      <c r="AQ354" t="s">
        <v>74</v>
      </c>
      <c r="AR354" t="s">
        <v>6145</v>
      </c>
      <c r="AS354" t="s">
        <v>6146</v>
      </c>
      <c r="AT354" t="s">
        <v>6103</v>
      </c>
      <c r="AU354">
        <v>2023</v>
      </c>
      <c r="AV354" t="s">
        <v>74</v>
      </c>
      <c r="AW354" t="s">
        <v>74</v>
      </c>
      <c r="AX354" t="s">
        <v>74</v>
      </c>
      <c r="AY354" t="s">
        <v>74</v>
      </c>
      <c r="AZ354" t="s">
        <v>74</v>
      </c>
      <c r="BA354" t="s">
        <v>74</v>
      </c>
      <c r="BB354" t="s">
        <v>74</v>
      </c>
      <c r="BC354" t="s">
        <v>74</v>
      </c>
      <c r="BD354" t="s">
        <v>74</v>
      </c>
      <c r="BE354" t="s">
        <v>6147</v>
      </c>
      <c r="BF354" t="str">
        <f>HYPERLINK("http://dx.doi.org/10.1080/13573322.2023.2256754","http://dx.doi.org/10.1080/13573322.2023.2256754")</f>
        <v>http://dx.doi.org/10.1080/13573322.2023.2256754</v>
      </c>
      <c r="BG354" t="s">
        <v>74</v>
      </c>
      <c r="BH354" t="s">
        <v>5545</v>
      </c>
      <c r="BI354">
        <v>20</v>
      </c>
      <c r="BJ354" t="s">
        <v>6148</v>
      </c>
      <c r="BK354" t="s">
        <v>123</v>
      </c>
      <c r="BL354" t="s">
        <v>6149</v>
      </c>
      <c r="BM354" t="s">
        <v>6150</v>
      </c>
      <c r="BN354" t="s">
        <v>74</v>
      </c>
      <c r="BO354" t="s">
        <v>887</v>
      </c>
      <c r="BP354" t="s">
        <v>74</v>
      </c>
      <c r="BQ354" t="s">
        <v>74</v>
      </c>
      <c r="BR354" t="s">
        <v>105</v>
      </c>
      <c r="BS354" t="s">
        <v>6151</v>
      </c>
      <c r="BT354" t="str">
        <f>HYPERLINK("https%3A%2F%2Fwww.webofscience.com%2Fwos%2Fwoscc%2Ffull-record%2FWOS:001068467500001","View Full Record in Web of Science")</f>
        <v>View Full Record in Web of Science</v>
      </c>
    </row>
    <row r="355" spans="1:72" x14ac:dyDescent="0.15">
      <c r="A355" t="s">
        <v>72</v>
      </c>
      <c r="B355" t="s">
        <v>6152</v>
      </c>
      <c r="C355" t="s">
        <v>74</v>
      </c>
      <c r="D355" t="s">
        <v>74</v>
      </c>
      <c r="E355" t="s">
        <v>74</v>
      </c>
      <c r="F355" t="s">
        <v>6153</v>
      </c>
      <c r="G355" t="s">
        <v>74</v>
      </c>
      <c r="H355" t="s">
        <v>74</v>
      </c>
      <c r="I355" t="s">
        <v>6154</v>
      </c>
      <c r="J355" t="s">
        <v>6155</v>
      </c>
      <c r="K355" t="s">
        <v>74</v>
      </c>
      <c r="L355" t="s">
        <v>74</v>
      </c>
      <c r="M355" t="s">
        <v>78</v>
      </c>
      <c r="N355" t="s">
        <v>5492</v>
      </c>
      <c r="O355" t="s">
        <v>74</v>
      </c>
      <c r="P355" t="s">
        <v>74</v>
      </c>
      <c r="Q355" t="s">
        <v>74</v>
      </c>
      <c r="R355" t="s">
        <v>74</v>
      </c>
      <c r="S355" t="s">
        <v>74</v>
      </c>
      <c r="T355" t="s">
        <v>6156</v>
      </c>
      <c r="U355" t="s">
        <v>6157</v>
      </c>
      <c r="V355" t="s">
        <v>6158</v>
      </c>
      <c r="W355" t="s">
        <v>6159</v>
      </c>
      <c r="X355" t="s">
        <v>6160</v>
      </c>
      <c r="Y355" t="s">
        <v>6161</v>
      </c>
      <c r="Z355" t="s">
        <v>74</v>
      </c>
      <c r="AA355" t="s">
        <v>74</v>
      </c>
      <c r="AB355" t="s">
        <v>74</v>
      </c>
      <c r="AC355" t="s">
        <v>6162</v>
      </c>
      <c r="AD355" t="s">
        <v>6163</v>
      </c>
      <c r="AE355" t="s">
        <v>6164</v>
      </c>
      <c r="AF355" t="s">
        <v>74</v>
      </c>
      <c r="AG355">
        <v>66</v>
      </c>
      <c r="AH355">
        <v>0</v>
      </c>
      <c r="AI355">
        <v>0</v>
      </c>
      <c r="AJ355">
        <v>0</v>
      </c>
      <c r="AK355">
        <v>0</v>
      </c>
      <c r="AL355" t="s">
        <v>92</v>
      </c>
      <c r="AM355" t="s">
        <v>93</v>
      </c>
      <c r="AN355" t="s">
        <v>94</v>
      </c>
      <c r="AO355" t="s">
        <v>6165</v>
      </c>
      <c r="AP355" t="s">
        <v>6166</v>
      </c>
      <c r="AQ355" t="s">
        <v>74</v>
      </c>
      <c r="AR355" t="s">
        <v>6167</v>
      </c>
      <c r="AS355" t="s">
        <v>6168</v>
      </c>
      <c r="AT355" t="s">
        <v>6103</v>
      </c>
      <c r="AU355">
        <v>2023</v>
      </c>
      <c r="AV355" t="s">
        <v>74</v>
      </c>
      <c r="AW355" t="s">
        <v>74</v>
      </c>
      <c r="AX355" t="s">
        <v>74</v>
      </c>
      <c r="AY355" t="s">
        <v>74</v>
      </c>
      <c r="AZ355" t="s">
        <v>74</v>
      </c>
      <c r="BA355" t="s">
        <v>74</v>
      </c>
      <c r="BB355" t="s">
        <v>74</v>
      </c>
      <c r="BC355" t="s">
        <v>74</v>
      </c>
      <c r="BD355" t="s">
        <v>74</v>
      </c>
      <c r="BE355" t="s">
        <v>6169</v>
      </c>
      <c r="BF355" t="str">
        <f>HYPERLINK("http://dx.doi.org/10.1080/08912963.2023.2258912","http://dx.doi.org/10.1080/08912963.2023.2258912")</f>
        <v>http://dx.doi.org/10.1080/08912963.2023.2258912</v>
      </c>
      <c r="BG355" t="s">
        <v>74</v>
      </c>
      <c r="BH355" t="s">
        <v>5545</v>
      </c>
      <c r="BI355">
        <v>13</v>
      </c>
      <c r="BJ355" t="s">
        <v>6170</v>
      </c>
      <c r="BK355" t="s">
        <v>102</v>
      </c>
      <c r="BL355" t="s">
        <v>6171</v>
      </c>
      <c r="BM355" t="s">
        <v>6172</v>
      </c>
      <c r="BN355" t="s">
        <v>74</v>
      </c>
      <c r="BO355" t="s">
        <v>74</v>
      </c>
      <c r="BP355" t="s">
        <v>74</v>
      </c>
      <c r="BQ355" t="s">
        <v>74</v>
      </c>
      <c r="BR355" t="s">
        <v>105</v>
      </c>
      <c r="BS355" t="s">
        <v>6173</v>
      </c>
      <c r="BT355" t="str">
        <f>HYPERLINK("https%3A%2F%2Fwww.webofscience.com%2Fwos%2Fwoscc%2Ffull-record%2FWOS:001072164500001","View Full Record in Web of Science")</f>
        <v>View Full Record in Web of Science</v>
      </c>
    </row>
    <row r="356" spans="1:72" x14ac:dyDescent="0.15">
      <c r="A356" t="s">
        <v>72</v>
      </c>
      <c r="B356" t="s">
        <v>6174</v>
      </c>
      <c r="C356" t="s">
        <v>74</v>
      </c>
      <c r="D356" t="s">
        <v>74</v>
      </c>
      <c r="E356" t="s">
        <v>74</v>
      </c>
      <c r="F356" t="s">
        <v>6175</v>
      </c>
      <c r="G356" t="s">
        <v>74</v>
      </c>
      <c r="H356" t="s">
        <v>74</v>
      </c>
      <c r="I356" t="s">
        <v>6176</v>
      </c>
      <c r="J356" t="s">
        <v>6177</v>
      </c>
      <c r="K356" t="s">
        <v>74</v>
      </c>
      <c r="L356" t="s">
        <v>74</v>
      </c>
      <c r="M356" t="s">
        <v>78</v>
      </c>
      <c r="N356" t="s">
        <v>5492</v>
      </c>
      <c r="O356" t="s">
        <v>74</v>
      </c>
      <c r="P356" t="s">
        <v>74</v>
      </c>
      <c r="Q356" t="s">
        <v>74</v>
      </c>
      <c r="R356" t="s">
        <v>74</v>
      </c>
      <c r="S356" t="s">
        <v>74</v>
      </c>
      <c r="T356" t="s">
        <v>6178</v>
      </c>
      <c r="U356" t="s">
        <v>6179</v>
      </c>
      <c r="V356" t="s">
        <v>6180</v>
      </c>
      <c r="W356" t="s">
        <v>6181</v>
      </c>
      <c r="X356" t="s">
        <v>6182</v>
      </c>
      <c r="Y356" t="s">
        <v>6183</v>
      </c>
      <c r="Z356" t="s">
        <v>6184</v>
      </c>
      <c r="AA356" t="s">
        <v>74</v>
      </c>
      <c r="AB356" t="s">
        <v>74</v>
      </c>
      <c r="AC356" t="s">
        <v>6185</v>
      </c>
      <c r="AD356" t="s">
        <v>6186</v>
      </c>
      <c r="AE356" t="s">
        <v>6187</v>
      </c>
      <c r="AF356" t="s">
        <v>74</v>
      </c>
      <c r="AG356">
        <v>49</v>
      </c>
      <c r="AH356">
        <v>0</v>
      </c>
      <c r="AI356">
        <v>0</v>
      </c>
      <c r="AJ356">
        <v>2</v>
      </c>
      <c r="AK356">
        <v>2</v>
      </c>
      <c r="AL356" t="s">
        <v>92</v>
      </c>
      <c r="AM356" t="s">
        <v>93</v>
      </c>
      <c r="AN356" t="s">
        <v>94</v>
      </c>
      <c r="AO356" t="s">
        <v>6188</v>
      </c>
      <c r="AP356" t="s">
        <v>6189</v>
      </c>
      <c r="AQ356" t="s">
        <v>74</v>
      </c>
      <c r="AR356" t="s">
        <v>6190</v>
      </c>
      <c r="AS356" t="s">
        <v>6191</v>
      </c>
      <c r="AT356" t="s">
        <v>6103</v>
      </c>
      <c r="AU356">
        <v>2023</v>
      </c>
      <c r="AV356" t="s">
        <v>74</v>
      </c>
      <c r="AW356" t="s">
        <v>74</v>
      </c>
      <c r="AX356" t="s">
        <v>74</v>
      </c>
      <c r="AY356" t="s">
        <v>74</v>
      </c>
      <c r="AZ356" t="s">
        <v>74</v>
      </c>
      <c r="BA356" t="s">
        <v>74</v>
      </c>
      <c r="BB356" t="s">
        <v>74</v>
      </c>
      <c r="BC356" t="s">
        <v>74</v>
      </c>
      <c r="BD356" t="s">
        <v>74</v>
      </c>
      <c r="BE356" t="s">
        <v>6192</v>
      </c>
      <c r="BF356" t="str">
        <f>HYPERLINK("http://dx.doi.org/10.1080/00036811.2023.2260403","http://dx.doi.org/10.1080/00036811.2023.2260403")</f>
        <v>http://dx.doi.org/10.1080/00036811.2023.2260403</v>
      </c>
      <c r="BG356" t="s">
        <v>74</v>
      </c>
      <c r="BH356" t="s">
        <v>5545</v>
      </c>
      <c r="BI356">
        <v>20</v>
      </c>
      <c r="BJ356" t="s">
        <v>5434</v>
      </c>
      <c r="BK356" t="s">
        <v>102</v>
      </c>
      <c r="BL356" t="s">
        <v>5435</v>
      </c>
      <c r="BM356" t="s">
        <v>6193</v>
      </c>
      <c r="BN356" t="s">
        <v>74</v>
      </c>
      <c r="BO356" t="s">
        <v>74</v>
      </c>
      <c r="BP356" t="s">
        <v>74</v>
      </c>
      <c r="BQ356" t="s">
        <v>74</v>
      </c>
      <c r="BR356" t="s">
        <v>105</v>
      </c>
      <c r="BS356" t="s">
        <v>6194</v>
      </c>
      <c r="BT356" t="str">
        <f>HYPERLINK("https%3A%2F%2Fwww.webofscience.com%2Fwos%2Fwoscc%2Ffull-record%2FWOS:001068324900001","View Full Record in Web of Science")</f>
        <v>View Full Record in Web of Science</v>
      </c>
    </row>
    <row r="357" spans="1:72" x14ac:dyDescent="0.15">
      <c r="A357" t="s">
        <v>72</v>
      </c>
      <c r="B357" t="s">
        <v>6195</v>
      </c>
      <c r="C357" t="s">
        <v>74</v>
      </c>
      <c r="D357" t="s">
        <v>74</v>
      </c>
      <c r="E357" t="s">
        <v>74</v>
      </c>
      <c r="F357" t="s">
        <v>6196</v>
      </c>
      <c r="G357" t="s">
        <v>74</v>
      </c>
      <c r="H357" t="s">
        <v>74</v>
      </c>
      <c r="I357" t="s">
        <v>6197</v>
      </c>
      <c r="J357" t="s">
        <v>6198</v>
      </c>
      <c r="K357" t="s">
        <v>74</v>
      </c>
      <c r="L357" t="s">
        <v>74</v>
      </c>
      <c r="M357" t="s">
        <v>78</v>
      </c>
      <c r="N357" t="s">
        <v>5492</v>
      </c>
      <c r="O357" t="s">
        <v>74</v>
      </c>
      <c r="P357" t="s">
        <v>74</v>
      </c>
      <c r="Q357" t="s">
        <v>74</v>
      </c>
      <c r="R357" t="s">
        <v>74</v>
      </c>
      <c r="S357" t="s">
        <v>74</v>
      </c>
      <c r="T357" t="s">
        <v>6199</v>
      </c>
      <c r="U357" t="s">
        <v>74</v>
      </c>
      <c r="V357" t="s">
        <v>6200</v>
      </c>
      <c r="W357" t="s">
        <v>74</v>
      </c>
      <c r="X357" t="s">
        <v>74</v>
      </c>
      <c r="Y357" t="s">
        <v>74</v>
      </c>
      <c r="Z357" t="s">
        <v>6201</v>
      </c>
      <c r="AA357" t="s">
        <v>74</v>
      </c>
      <c r="AB357" t="s">
        <v>74</v>
      </c>
      <c r="AC357" t="s">
        <v>74</v>
      </c>
      <c r="AD357" t="s">
        <v>74</v>
      </c>
      <c r="AE357" t="s">
        <v>74</v>
      </c>
      <c r="AF357" t="s">
        <v>74</v>
      </c>
      <c r="AG357">
        <v>16</v>
      </c>
      <c r="AH357">
        <v>0</v>
      </c>
      <c r="AI357">
        <v>0</v>
      </c>
      <c r="AJ357">
        <v>0</v>
      </c>
      <c r="AK357">
        <v>0</v>
      </c>
      <c r="AL357" t="s">
        <v>184</v>
      </c>
      <c r="AM357" t="s">
        <v>185</v>
      </c>
      <c r="AN357" t="s">
        <v>186</v>
      </c>
      <c r="AO357" t="s">
        <v>6202</v>
      </c>
      <c r="AP357" t="s">
        <v>6203</v>
      </c>
      <c r="AQ357" t="s">
        <v>74</v>
      </c>
      <c r="AR357" t="s">
        <v>6204</v>
      </c>
      <c r="AS357" t="s">
        <v>6205</v>
      </c>
      <c r="AT357" t="s">
        <v>6103</v>
      </c>
      <c r="AU357">
        <v>2023</v>
      </c>
      <c r="AV357" t="s">
        <v>74</v>
      </c>
      <c r="AW357" t="s">
        <v>74</v>
      </c>
      <c r="AX357" t="s">
        <v>74</v>
      </c>
      <c r="AY357" t="s">
        <v>74</v>
      </c>
      <c r="AZ357" t="s">
        <v>74</v>
      </c>
      <c r="BA357" t="s">
        <v>74</v>
      </c>
      <c r="BB357" t="s">
        <v>74</v>
      </c>
      <c r="BC357" t="s">
        <v>74</v>
      </c>
      <c r="BD357" t="s">
        <v>74</v>
      </c>
      <c r="BE357" t="s">
        <v>6206</v>
      </c>
      <c r="BF357" t="str">
        <f>HYPERLINK("http://dx.doi.org/10.1080/08893675.2023.2259617","http://dx.doi.org/10.1080/08893675.2023.2259617")</f>
        <v>http://dx.doi.org/10.1080/08893675.2023.2259617</v>
      </c>
      <c r="BG357" t="s">
        <v>74</v>
      </c>
      <c r="BH357" t="s">
        <v>5545</v>
      </c>
      <c r="BI357">
        <v>13</v>
      </c>
      <c r="BJ357" t="s">
        <v>1690</v>
      </c>
      <c r="BK357" t="s">
        <v>211</v>
      </c>
      <c r="BL357" t="s">
        <v>1691</v>
      </c>
      <c r="BM357" t="s">
        <v>6207</v>
      </c>
      <c r="BN357" t="s">
        <v>74</v>
      </c>
      <c r="BO357" t="s">
        <v>74</v>
      </c>
      <c r="BP357" t="s">
        <v>74</v>
      </c>
      <c r="BQ357" t="s">
        <v>74</v>
      </c>
      <c r="BR357" t="s">
        <v>105</v>
      </c>
      <c r="BS357" t="s">
        <v>6208</v>
      </c>
      <c r="BT357" t="str">
        <f>HYPERLINK("https%3A%2F%2Fwww.webofscience.com%2Fwos%2Fwoscc%2Ffull-record%2FWOS:001069426300001","View Full Record in Web of Science")</f>
        <v>View Full Record in Web of Science</v>
      </c>
    </row>
    <row r="358" spans="1:72" x14ac:dyDescent="0.15">
      <c r="A358" t="s">
        <v>72</v>
      </c>
      <c r="B358" t="s">
        <v>6209</v>
      </c>
      <c r="C358" t="s">
        <v>74</v>
      </c>
      <c r="D358" t="s">
        <v>74</v>
      </c>
      <c r="E358" t="s">
        <v>74</v>
      </c>
      <c r="F358" t="s">
        <v>6210</v>
      </c>
      <c r="G358" t="s">
        <v>74</v>
      </c>
      <c r="H358" t="s">
        <v>74</v>
      </c>
      <c r="I358" t="s">
        <v>6211</v>
      </c>
      <c r="J358" t="s">
        <v>6212</v>
      </c>
      <c r="K358" t="s">
        <v>74</v>
      </c>
      <c r="L358" t="s">
        <v>74</v>
      </c>
      <c r="M358" t="s">
        <v>78</v>
      </c>
      <c r="N358" t="s">
        <v>5492</v>
      </c>
      <c r="O358" t="s">
        <v>74</v>
      </c>
      <c r="P358" t="s">
        <v>74</v>
      </c>
      <c r="Q358" t="s">
        <v>74</v>
      </c>
      <c r="R358" t="s">
        <v>74</v>
      </c>
      <c r="S358" t="s">
        <v>74</v>
      </c>
      <c r="T358" t="s">
        <v>6213</v>
      </c>
      <c r="U358" t="s">
        <v>74</v>
      </c>
      <c r="V358" t="s">
        <v>6214</v>
      </c>
      <c r="W358" t="s">
        <v>6215</v>
      </c>
      <c r="X358" t="s">
        <v>6216</v>
      </c>
      <c r="Y358" t="s">
        <v>6217</v>
      </c>
      <c r="Z358" t="s">
        <v>6218</v>
      </c>
      <c r="AA358" t="s">
        <v>6219</v>
      </c>
      <c r="AB358" t="s">
        <v>6220</v>
      </c>
      <c r="AC358" t="s">
        <v>74</v>
      </c>
      <c r="AD358" t="s">
        <v>74</v>
      </c>
      <c r="AE358" t="s">
        <v>74</v>
      </c>
      <c r="AF358" t="s">
        <v>74</v>
      </c>
      <c r="AG358">
        <v>62</v>
      </c>
      <c r="AH358">
        <v>0</v>
      </c>
      <c r="AI358">
        <v>0</v>
      </c>
      <c r="AJ358">
        <v>0</v>
      </c>
      <c r="AK358">
        <v>0</v>
      </c>
      <c r="AL358" t="s">
        <v>1188</v>
      </c>
      <c r="AM358" t="s">
        <v>93</v>
      </c>
      <c r="AN358" t="s">
        <v>1189</v>
      </c>
      <c r="AO358" t="s">
        <v>6221</v>
      </c>
      <c r="AP358" t="s">
        <v>6222</v>
      </c>
      <c r="AQ358" t="s">
        <v>74</v>
      </c>
      <c r="AR358" t="s">
        <v>6223</v>
      </c>
      <c r="AS358" t="s">
        <v>6224</v>
      </c>
      <c r="AT358" t="s">
        <v>6103</v>
      </c>
      <c r="AU358">
        <v>2023</v>
      </c>
      <c r="AV358" t="s">
        <v>74</v>
      </c>
      <c r="AW358" t="s">
        <v>74</v>
      </c>
      <c r="AX358" t="s">
        <v>74</v>
      </c>
      <c r="AY358" t="s">
        <v>74</v>
      </c>
      <c r="AZ358" t="s">
        <v>74</v>
      </c>
      <c r="BA358" t="s">
        <v>74</v>
      </c>
      <c r="BB358" t="s">
        <v>74</v>
      </c>
      <c r="BC358" t="s">
        <v>74</v>
      </c>
      <c r="BD358" t="s">
        <v>74</v>
      </c>
      <c r="BE358" t="s">
        <v>6225</v>
      </c>
      <c r="BF358" t="str">
        <f>HYPERLINK("http://dx.doi.org/10.1080/00220272.2023.2260456","http://dx.doi.org/10.1080/00220272.2023.2260456")</f>
        <v>http://dx.doi.org/10.1080/00220272.2023.2260456</v>
      </c>
      <c r="BG358" t="s">
        <v>74</v>
      </c>
      <c r="BH358" t="s">
        <v>5545</v>
      </c>
      <c r="BI358">
        <v>12</v>
      </c>
      <c r="BJ358" t="s">
        <v>271</v>
      </c>
      <c r="BK358" t="s">
        <v>272</v>
      </c>
      <c r="BL358" t="s">
        <v>271</v>
      </c>
      <c r="BM358" t="s">
        <v>6226</v>
      </c>
      <c r="BN358" t="s">
        <v>74</v>
      </c>
      <c r="BO358" t="s">
        <v>887</v>
      </c>
      <c r="BP358" t="s">
        <v>74</v>
      </c>
      <c r="BQ358" t="s">
        <v>74</v>
      </c>
      <c r="BR358" t="s">
        <v>105</v>
      </c>
      <c r="BS358" t="s">
        <v>6227</v>
      </c>
      <c r="BT358" t="str">
        <f>HYPERLINK("https%3A%2F%2Fwww.webofscience.com%2Fwos%2Fwoscc%2Ffull-record%2FWOS:001068371600001","View Full Record in Web of Science")</f>
        <v>View Full Record in Web of Science</v>
      </c>
    </row>
    <row r="359" spans="1:72" x14ac:dyDescent="0.15">
      <c r="A359" t="s">
        <v>72</v>
      </c>
      <c r="B359" t="s">
        <v>6228</v>
      </c>
      <c r="C359" t="s">
        <v>74</v>
      </c>
      <c r="D359" t="s">
        <v>74</v>
      </c>
      <c r="E359" t="s">
        <v>74</v>
      </c>
      <c r="F359" t="s">
        <v>6229</v>
      </c>
      <c r="G359" t="s">
        <v>74</v>
      </c>
      <c r="H359" t="s">
        <v>74</v>
      </c>
      <c r="I359" t="s">
        <v>6230</v>
      </c>
      <c r="J359" t="s">
        <v>6231</v>
      </c>
      <c r="K359" t="s">
        <v>74</v>
      </c>
      <c r="L359" t="s">
        <v>74</v>
      </c>
      <c r="M359" t="s">
        <v>78</v>
      </c>
      <c r="N359" t="s">
        <v>5492</v>
      </c>
      <c r="O359" t="s">
        <v>74</v>
      </c>
      <c r="P359" t="s">
        <v>74</v>
      </c>
      <c r="Q359" t="s">
        <v>74</v>
      </c>
      <c r="R359" t="s">
        <v>74</v>
      </c>
      <c r="S359" t="s">
        <v>74</v>
      </c>
      <c r="T359" t="s">
        <v>6232</v>
      </c>
      <c r="U359" t="s">
        <v>6233</v>
      </c>
      <c r="V359" t="s">
        <v>6234</v>
      </c>
      <c r="W359" t="s">
        <v>6235</v>
      </c>
      <c r="X359" t="s">
        <v>6236</v>
      </c>
      <c r="Y359" t="s">
        <v>6237</v>
      </c>
      <c r="Z359" t="s">
        <v>6238</v>
      </c>
      <c r="AA359" t="s">
        <v>74</v>
      </c>
      <c r="AB359" t="s">
        <v>74</v>
      </c>
      <c r="AC359" t="s">
        <v>6239</v>
      </c>
      <c r="AD359" t="s">
        <v>6239</v>
      </c>
      <c r="AE359" t="s">
        <v>6240</v>
      </c>
      <c r="AF359" t="s">
        <v>74</v>
      </c>
      <c r="AG359">
        <v>48</v>
      </c>
      <c r="AH359">
        <v>0</v>
      </c>
      <c r="AI359">
        <v>0</v>
      </c>
      <c r="AJ359">
        <v>0</v>
      </c>
      <c r="AK359">
        <v>0</v>
      </c>
      <c r="AL359" t="s">
        <v>184</v>
      </c>
      <c r="AM359" t="s">
        <v>185</v>
      </c>
      <c r="AN359" t="s">
        <v>186</v>
      </c>
      <c r="AO359" t="s">
        <v>6241</v>
      </c>
      <c r="AP359" t="s">
        <v>6242</v>
      </c>
      <c r="AQ359" t="s">
        <v>74</v>
      </c>
      <c r="AR359" t="s">
        <v>6243</v>
      </c>
      <c r="AS359" t="s">
        <v>6244</v>
      </c>
      <c r="AT359" t="s">
        <v>6103</v>
      </c>
      <c r="AU359">
        <v>2023</v>
      </c>
      <c r="AV359" t="s">
        <v>74</v>
      </c>
      <c r="AW359" t="s">
        <v>74</v>
      </c>
      <c r="AX359" t="s">
        <v>74</v>
      </c>
      <c r="AY359" t="s">
        <v>74</v>
      </c>
      <c r="AZ359" t="s">
        <v>74</v>
      </c>
      <c r="BA359" t="s">
        <v>74</v>
      </c>
      <c r="BB359" t="s">
        <v>74</v>
      </c>
      <c r="BC359" t="s">
        <v>74</v>
      </c>
      <c r="BD359" t="s">
        <v>74</v>
      </c>
      <c r="BE359" t="s">
        <v>6245</v>
      </c>
      <c r="BF359" t="str">
        <f>HYPERLINK("http://dx.doi.org/10.1080/14739879.2023.2248070","http://dx.doi.org/10.1080/14739879.2023.2248070")</f>
        <v>http://dx.doi.org/10.1080/14739879.2023.2248070</v>
      </c>
      <c r="BG359" t="s">
        <v>74</v>
      </c>
      <c r="BH359" t="s">
        <v>5545</v>
      </c>
      <c r="BI359">
        <v>9</v>
      </c>
      <c r="BJ359" t="s">
        <v>6246</v>
      </c>
      <c r="BK359" t="s">
        <v>211</v>
      </c>
      <c r="BL359" t="s">
        <v>664</v>
      </c>
      <c r="BM359" t="s">
        <v>6247</v>
      </c>
      <c r="BN359">
        <v>37742228</v>
      </c>
      <c r="BO359" t="s">
        <v>887</v>
      </c>
      <c r="BP359" t="s">
        <v>74</v>
      </c>
      <c r="BQ359" t="s">
        <v>74</v>
      </c>
      <c r="BR359" t="s">
        <v>105</v>
      </c>
      <c r="BS359" t="s">
        <v>6248</v>
      </c>
      <c r="BT359" t="str">
        <f>HYPERLINK("https%3A%2F%2Fwww.webofscience.com%2Fwos%2Fwoscc%2Ffull-record%2FWOS:001069043600001","View Full Record in Web of Science")</f>
        <v>View Full Record in Web of Science</v>
      </c>
    </row>
    <row r="360" spans="1:72" x14ac:dyDescent="0.15">
      <c r="A360" t="s">
        <v>72</v>
      </c>
      <c r="B360" t="s">
        <v>6249</v>
      </c>
      <c r="C360" t="s">
        <v>74</v>
      </c>
      <c r="D360" t="s">
        <v>74</v>
      </c>
      <c r="E360" t="s">
        <v>74</v>
      </c>
      <c r="F360" t="s">
        <v>6250</v>
      </c>
      <c r="G360" t="s">
        <v>74</v>
      </c>
      <c r="H360" t="s">
        <v>74</v>
      </c>
      <c r="I360" t="s">
        <v>6251</v>
      </c>
      <c r="J360" t="s">
        <v>6252</v>
      </c>
      <c r="K360" t="s">
        <v>74</v>
      </c>
      <c r="L360" t="s">
        <v>74</v>
      </c>
      <c r="M360" t="s">
        <v>78</v>
      </c>
      <c r="N360" t="s">
        <v>6253</v>
      </c>
      <c r="O360" t="s">
        <v>74</v>
      </c>
      <c r="P360" t="s">
        <v>74</v>
      </c>
      <c r="Q360" t="s">
        <v>74</v>
      </c>
      <c r="R360" t="s">
        <v>74</v>
      </c>
      <c r="S360" t="s">
        <v>74</v>
      </c>
      <c r="T360" t="s">
        <v>74</v>
      </c>
      <c r="U360" t="s">
        <v>74</v>
      </c>
      <c r="V360" t="s">
        <v>74</v>
      </c>
      <c r="W360" t="s">
        <v>6254</v>
      </c>
      <c r="X360" t="s">
        <v>6255</v>
      </c>
      <c r="Y360" t="s">
        <v>6256</v>
      </c>
      <c r="Z360" t="s">
        <v>6257</v>
      </c>
      <c r="AA360" t="s">
        <v>74</v>
      </c>
      <c r="AB360" t="s">
        <v>74</v>
      </c>
      <c r="AC360" t="s">
        <v>74</v>
      </c>
      <c r="AD360" t="s">
        <v>74</v>
      </c>
      <c r="AE360" t="s">
        <v>74</v>
      </c>
      <c r="AF360" t="s">
        <v>74</v>
      </c>
      <c r="AG360">
        <v>1</v>
      </c>
      <c r="AH360">
        <v>0</v>
      </c>
      <c r="AI360">
        <v>0</v>
      </c>
      <c r="AJ360">
        <v>0</v>
      </c>
      <c r="AK360">
        <v>0</v>
      </c>
      <c r="AL360" t="s">
        <v>1188</v>
      </c>
      <c r="AM360" t="s">
        <v>93</v>
      </c>
      <c r="AN360" t="s">
        <v>1189</v>
      </c>
      <c r="AO360" t="s">
        <v>6258</v>
      </c>
      <c r="AP360" t="s">
        <v>6259</v>
      </c>
      <c r="AQ360" t="s">
        <v>74</v>
      </c>
      <c r="AR360" t="s">
        <v>6260</v>
      </c>
      <c r="AS360" t="s">
        <v>6261</v>
      </c>
      <c r="AT360" t="s">
        <v>6103</v>
      </c>
      <c r="AU360">
        <v>2023</v>
      </c>
      <c r="AV360" t="s">
        <v>74</v>
      </c>
      <c r="AW360" t="s">
        <v>74</v>
      </c>
      <c r="AX360" t="s">
        <v>74</v>
      </c>
      <c r="AY360" t="s">
        <v>74</v>
      </c>
      <c r="AZ360" t="s">
        <v>74</v>
      </c>
      <c r="BA360" t="s">
        <v>74</v>
      </c>
      <c r="BB360" t="s">
        <v>74</v>
      </c>
      <c r="BC360" t="s">
        <v>74</v>
      </c>
      <c r="BD360" t="s">
        <v>74</v>
      </c>
      <c r="BE360" t="s">
        <v>6262</v>
      </c>
      <c r="BF360" t="str">
        <f>HYPERLINK("http://dx.doi.org/10.1080/09612025.2023.2256565","http://dx.doi.org/10.1080/09612025.2023.2256565")</f>
        <v>http://dx.doi.org/10.1080/09612025.2023.2256565</v>
      </c>
      <c r="BG360" t="s">
        <v>74</v>
      </c>
      <c r="BH360" t="s">
        <v>5545</v>
      </c>
      <c r="BI360">
        <v>2</v>
      </c>
      <c r="BJ360" t="s">
        <v>6263</v>
      </c>
      <c r="BK360" t="s">
        <v>6264</v>
      </c>
      <c r="BL360" t="s">
        <v>6263</v>
      </c>
      <c r="BM360" t="s">
        <v>6265</v>
      </c>
      <c r="BN360" t="s">
        <v>74</v>
      </c>
      <c r="BO360" t="s">
        <v>74</v>
      </c>
      <c r="BP360" t="s">
        <v>74</v>
      </c>
      <c r="BQ360" t="s">
        <v>74</v>
      </c>
      <c r="BR360" t="s">
        <v>105</v>
      </c>
      <c r="BS360" t="s">
        <v>6266</v>
      </c>
      <c r="BT360" t="str">
        <f>HYPERLINK("https%3A%2F%2Fwww.webofscience.com%2Fwos%2Fwoscc%2Ffull-record%2FWOS:001070521100001","View Full Record in Web of Science")</f>
        <v>View Full Record in Web of Science</v>
      </c>
    </row>
    <row r="361" spans="1:72" x14ac:dyDescent="0.15">
      <c r="A361" t="s">
        <v>72</v>
      </c>
      <c r="B361" t="s">
        <v>6267</v>
      </c>
      <c r="C361" t="s">
        <v>74</v>
      </c>
      <c r="D361" t="s">
        <v>74</v>
      </c>
      <c r="E361" t="s">
        <v>74</v>
      </c>
      <c r="F361" t="s">
        <v>6268</v>
      </c>
      <c r="G361" t="s">
        <v>74</v>
      </c>
      <c r="H361" t="s">
        <v>74</v>
      </c>
      <c r="I361" t="s">
        <v>6269</v>
      </c>
      <c r="J361" t="s">
        <v>6270</v>
      </c>
      <c r="K361" t="s">
        <v>74</v>
      </c>
      <c r="L361" t="s">
        <v>74</v>
      </c>
      <c r="M361" t="s">
        <v>78</v>
      </c>
      <c r="N361" t="s">
        <v>5492</v>
      </c>
      <c r="O361" t="s">
        <v>74</v>
      </c>
      <c r="P361" t="s">
        <v>74</v>
      </c>
      <c r="Q361" t="s">
        <v>74</v>
      </c>
      <c r="R361" t="s">
        <v>74</v>
      </c>
      <c r="S361" t="s">
        <v>74</v>
      </c>
      <c r="T361" t="s">
        <v>6271</v>
      </c>
      <c r="U361" t="s">
        <v>6272</v>
      </c>
      <c r="V361" t="s">
        <v>6273</v>
      </c>
      <c r="W361" t="s">
        <v>6274</v>
      </c>
      <c r="X361" t="s">
        <v>6275</v>
      </c>
      <c r="Y361" t="s">
        <v>6276</v>
      </c>
      <c r="Z361" t="s">
        <v>6277</v>
      </c>
      <c r="AA361" t="s">
        <v>74</v>
      </c>
      <c r="AB361" t="s">
        <v>74</v>
      </c>
      <c r="AC361" t="s">
        <v>74</v>
      </c>
      <c r="AD361" t="s">
        <v>74</v>
      </c>
      <c r="AE361" t="s">
        <v>74</v>
      </c>
      <c r="AF361" t="s">
        <v>74</v>
      </c>
      <c r="AG361">
        <v>41</v>
      </c>
      <c r="AH361">
        <v>0</v>
      </c>
      <c r="AI361">
        <v>0</v>
      </c>
      <c r="AJ361">
        <v>0</v>
      </c>
      <c r="AK361">
        <v>0</v>
      </c>
      <c r="AL361" t="s">
        <v>1188</v>
      </c>
      <c r="AM361" t="s">
        <v>93</v>
      </c>
      <c r="AN361" t="s">
        <v>1189</v>
      </c>
      <c r="AO361" t="s">
        <v>6278</v>
      </c>
      <c r="AP361" t="s">
        <v>6279</v>
      </c>
      <c r="AQ361" t="s">
        <v>74</v>
      </c>
      <c r="AR361" t="s">
        <v>6280</v>
      </c>
      <c r="AS361" t="s">
        <v>6281</v>
      </c>
      <c r="AT361" t="s">
        <v>6103</v>
      </c>
      <c r="AU361">
        <v>2023</v>
      </c>
      <c r="AV361" t="s">
        <v>74</v>
      </c>
      <c r="AW361" t="s">
        <v>74</v>
      </c>
      <c r="AX361" t="s">
        <v>74</v>
      </c>
      <c r="AY361" t="s">
        <v>74</v>
      </c>
      <c r="AZ361" t="s">
        <v>74</v>
      </c>
      <c r="BA361" t="s">
        <v>74</v>
      </c>
      <c r="BB361" t="s">
        <v>74</v>
      </c>
      <c r="BC361" t="s">
        <v>74</v>
      </c>
      <c r="BD361" t="s">
        <v>74</v>
      </c>
      <c r="BE361" t="s">
        <v>6282</v>
      </c>
      <c r="BF361" t="str">
        <f>HYPERLINK("http://dx.doi.org/10.1080/17449855.2023.2248552","http://dx.doi.org/10.1080/17449855.2023.2248552")</f>
        <v>http://dx.doi.org/10.1080/17449855.2023.2248552</v>
      </c>
      <c r="BG361" t="s">
        <v>74</v>
      </c>
      <c r="BH361" t="s">
        <v>5545</v>
      </c>
      <c r="BI361">
        <v>16</v>
      </c>
      <c r="BJ361" t="s">
        <v>6283</v>
      </c>
      <c r="BK361" t="s">
        <v>6264</v>
      </c>
      <c r="BL361" t="s">
        <v>6283</v>
      </c>
      <c r="BM361" t="s">
        <v>6284</v>
      </c>
      <c r="BN361" t="s">
        <v>74</v>
      </c>
      <c r="BO361" t="s">
        <v>74</v>
      </c>
      <c r="BP361" t="s">
        <v>74</v>
      </c>
      <c r="BQ361" t="s">
        <v>74</v>
      </c>
      <c r="BR361" t="s">
        <v>105</v>
      </c>
      <c r="BS361" t="s">
        <v>6285</v>
      </c>
      <c r="BT361" t="str">
        <f>HYPERLINK("https%3A%2F%2Fwww.webofscience.com%2Fwos%2Fwoscc%2Ffull-record%2FWOS:001070489500001","View Full Record in Web of Science")</f>
        <v>View Full Record in Web of Science</v>
      </c>
    </row>
    <row r="362" spans="1:72" x14ac:dyDescent="0.15">
      <c r="A362" t="s">
        <v>72</v>
      </c>
      <c r="B362" t="s">
        <v>6286</v>
      </c>
      <c r="C362" t="s">
        <v>74</v>
      </c>
      <c r="D362" t="s">
        <v>74</v>
      </c>
      <c r="E362" t="s">
        <v>74</v>
      </c>
      <c r="F362" t="s">
        <v>6287</v>
      </c>
      <c r="G362" t="s">
        <v>74</v>
      </c>
      <c r="H362" t="s">
        <v>74</v>
      </c>
      <c r="I362" t="s">
        <v>6288</v>
      </c>
      <c r="J362" t="s">
        <v>6289</v>
      </c>
      <c r="K362" t="s">
        <v>74</v>
      </c>
      <c r="L362" t="s">
        <v>74</v>
      </c>
      <c r="M362" t="s">
        <v>78</v>
      </c>
      <c r="N362" t="s">
        <v>5492</v>
      </c>
      <c r="O362" t="s">
        <v>74</v>
      </c>
      <c r="P362" t="s">
        <v>74</v>
      </c>
      <c r="Q362" t="s">
        <v>74</v>
      </c>
      <c r="R362" t="s">
        <v>74</v>
      </c>
      <c r="S362" t="s">
        <v>74</v>
      </c>
      <c r="T362" t="s">
        <v>6290</v>
      </c>
      <c r="U362" t="s">
        <v>6291</v>
      </c>
      <c r="V362" t="s">
        <v>6292</v>
      </c>
      <c r="W362" t="s">
        <v>6293</v>
      </c>
      <c r="X362" t="s">
        <v>6294</v>
      </c>
      <c r="Y362" t="s">
        <v>6295</v>
      </c>
      <c r="Z362" t="s">
        <v>6296</v>
      </c>
      <c r="AA362" t="s">
        <v>74</v>
      </c>
      <c r="AB362" t="s">
        <v>74</v>
      </c>
      <c r="AC362" t="s">
        <v>6297</v>
      </c>
      <c r="AD362" t="s">
        <v>6298</v>
      </c>
      <c r="AE362" t="s">
        <v>6299</v>
      </c>
      <c r="AF362" t="s">
        <v>74</v>
      </c>
      <c r="AG362">
        <v>68</v>
      </c>
      <c r="AH362">
        <v>0</v>
      </c>
      <c r="AI362">
        <v>0</v>
      </c>
      <c r="AJ362">
        <v>0</v>
      </c>
      <c r="AK362">
        <v>0</v>
      </c>
      <c r="AL362" t="s">
        <v>92</v>
      </c>
      <c r="AM362" t="s">
        <v>93</v>
      </c>
      <c r="AN362" t="s">
        <v>94</v>
      </c>
      <c r="AO362" t="s">
        <v>6300</v>
      </c>
      <c r="AP362" t="s">
        <v>6301</v>
      </c>
      <c r="AQ362" t="s">
        <v>74</v>
      </c>
      <c r="AR362" t="s">
        <v>6302</v>
      </c>
      <c r="AS362" t="s">
        <v>6303</v>
      </c>
      <c r="AT362" t="s">
        <v>6304</v>
      </c>
      <c r="AU362">
        <v>2023</v>
      </c>
      <c r="AV362" t="s">
        <v>74</v>
      </c>
      <c r="AW362" t="s">
        <v>74</v>
      </c>
      <c r="AX362" t="s">
        <v>74</v>
      </c>
      <c r="AY362" t="s">
        <v>74</v>
      </c>
      <c r="AZ362" t="s">
        <v>74</v>
      </c>
      <c r="BA362" t="s">
        <v>74</v>
      </c>
      <c r="BB362" t="s">
        <v>74</v>
      </c>
      <c r="BC362" t="s">
        <v>74</v>
      </c>
      <c r="BD362" t="s">
        <v>74</v>
      </c>
      <c r="BE362" t="s">
        <v>6305</v>
      </c>
      <c r="BF362" t="str">
        <f>HYPERLINK("http://dx.doi.org/10.1080/03639045.2023.2256404","http://dx.doi.org/10.1080/03639045.2023.2256404")</f>
        <v>http://dx.doi.org/10.1080/03639045.2023.2256404</v>
      </c>
      <c r="BG362" t="s">
        <v>74</v>
      </c>
      <c r="BH362" t="s">
        <v>5545</v>
      </c>
      <c r="BI362">
        <v>12</v>
      </c>
      <c r="BJ362" t="s">
        <v>6306</v>
      </c>
      <c r="BK362" t="s">
        <v>102</v>
      </c>
      <c r="BL362" t="s">
        <v>101</v>
      </c>
      <c r="BM362" t="s">
        <v>6307</v>
      </c>
      <c r="BN362">
        <v>37722711</v>
      </c>
      <c r="BO362" t="s">
        <v>74</v>
      </c>
      <c r="BP362" t="s">
        <v>74</v>
      </c>
      <c r="BQ362" t="s">
        <v>74</v>
      </c>
      <c r="BR362" t="s">
        <v>105</v>
      </c>
      <c r="BS362" t="s">
        <v>6308</v>
      </c>
      <c r="BT362" t="str">
        <f>HYPERLINK("https%3A%2F%2Fwww.webofscience.com%2Fwos%2Fwoscc%2Ffull-record%2FWOS:001067417800001","View Full Record in Web of Science")</f>
        <v>View Full Record in Web of Science</v>
      </c>
    </row>
    <row r="363" spans="1:72" x14ac:dyDescent="0.15">
      <c r="A363" t="s">
        <v>72</v>
      </c>
      <c r="B363" t="s">
        <v>6309</v>
      </c>
      <c r="C363" t="s">
        <v>74</v>
      </c>
      <c r="D363" t="s">
        <v>74</v>
      </c>
      <c r="E363" t="s">
        <v>74</v>
      </c>
      <c r="F363" t="s">
        <v>6310</v>
      </c>
      <c r="G363" t="s">
        <v>74</v>
      </c>
      <c r="H363" t="s">
        <v>74</v>
      </c>
      <c r="I363" t="s">
        <v>6311</v>
      </c>
      <c r="J363" t="s">
        <v>6312</v>
      </c>
      <c r="K363" t="s">
        <v>74</v>
      </c>
      <c r="L363" t="s">
        <v>74</v>
      </c>
      <c r="M363" t="s">
        <v>78</v>
      </c>
      <c r="N363" t="s">
        <v>5492</v>
      </c>
      <c r="O363" t="s">
        <v>74</v>
      </c>
      <c r="P363" t="s">
        <v>74</v>
      </c>
      <c r="Q363" t="s">
        <v>74</v>
      </c>
      <c r="R363" t="s">
        <v>74</v>
      </c>
      <c r="S363" t="s">
        <v>74</v>
      </c>
      <c r="T363" t="s">
        <v>6313</v>
      </c>
      <c r="U363" t="s">
        <v>6314</v>
      </c>
      <c r="V363" t="s">
        <v>6315</v>
      </c>
      <c r="W363" t="s">
        <v>6316</v>
      </c>
      <c r="X363" t="s">
        <v>6317</v>
      </c>
      <c r="Y363" t="s">
        <v>6318</v>
      </c>
      <c r="Z363" t="s">
        <v>6319</v>
      </c>
      <c r="AA363" t="s">
        <v>74</v>
      </c>
      <c r="AB363" t="s">
        <v>74</v>
      </c>
      <c r="AC363" t="s">
        <v>74</v>
      </c>
      <c r="AD363" t="s">
        <v>74</v>
      </c>
      <c r="AE363" t="s">
        <v>74</v>
      </c>
      <c r="AF363" t="s">
        <v>74</v>
      </c>
      <c r="AG363">
        <v>35</v>
      </c>
      <c r="AH363">
        <v>0</v>
      </c>
      <c r="AI363">
        <v>0</v>
      </c>
      <c r="AJ363">
        <v>1</v>
      </c>
      <c r="AK363">
        <v>1</v>
      </c>
      <c r="AL363" t="s">
        <v>1188</v>
      </c>
      <c r="AM363" t="s">
        <v>93</v>
      </c>
      <c r="AN363" t="s">
        <v>1189</v>
      </c>
      <c r="AO363" t="s">
        <v>6320</v>
      </c>
      <c r="AP363" t="s">
        <v>6321</v>
      </c>
      <c r="AQ363" t="s">
        <v>74</v>
      </c>
      <c r="AR363" t="s">
        <v>6322</v>
      </c>
      <c r="AS363" t="s">
        <v>6323</v>
      </c>
      <c r="AT363" t="s">
        <v>6304</v>
      </c>
      <c r="AU363">
        <v>2023</v>
      </c>
      <c r="AV363" t="s">
        <v>74</v>
      </c>
      <c r="AW363" t="s">
        <v>74</v>
      </c>
      <c r="AX363" t="s">
        <v>74</v>
      </c>
      <c r="AY363" t="s">
        <v>74</v>
      </c>
      <c r="AZ363" t="s">
        <v>74</v>
      </c>
      <c r="BA363" t="s">
        <v>74</v>
      </c>
      <c r="BB363" t="s">
        <v>74</v>
      </c>
      <c r="BC363" t="s">
        <v>74</v>
      </c>
      <c r="BD363" t="s">
        <v>74</v>
      </c>
      <c r="BE363" t="s">
        <v>6324</v>
      </c>
      <c r="BF363" t="str">
        <f>HYPERLINK("http://dx.doi.org/10.1080/23279095.2023.2259035","http://dx.doi.org/10.1080/23279095.2023.2259035")</f>
        <v>http://dx.doi.org/10.1080/23279095.2023.2259035</v>
      </c>
      <c r="BG363" t="s">
        <v>74</v>
      </c>
      <c r="BH363" t="s">
        <v>5545</v>
      </c>
      <c r="BI363">
        <v>9</v>
      </c>
      <c r="BJ363" t="s">
        <v>6325</v>
      </c>
      <c r="BK363" t="s">
        <v>102</v>
      </c>
      <c r="BL363" t="s">
        <v>6326</v>
      </c>
      <c r="BM363" t="s">
        <v>6327</v>
      </c>
      <c r="BN363">
        <v>37734418</v>
      </c>
      <c r="BO363" t="s">
        <v>74</v>
      </c>
      <c r="BP363" t="s">
        <v>74</v>
      </c>
      <c r="BQ363" t="s">
        <v>74</v>
      </c>
      <c r="BR363" t="s">
        <v>105</v>
      </c>
      <c r="BS363" t="s">
        <v>6328</v>
      </c>
      <c r="BT363" t="str">
        <f>HYPERLINK("https%3A%2F%2Fwww.webofscience.com%2Fwos%2Fwoscc%2Ffull-record%2FWOS:001069433000001","View Full Record in Web of Science")</f>
        <v>View Full Record in Web of Science</v>
      </c>
    </row>
    <row r="364" spans="1:72" x14ac:dyDescent="0.15">
      <c r="A364" t="s">
        <v>72</v>
      </c>
      <c r="B364" t="s">
        <v>6329</v>
      </c>
      <c r="C364" t="s">
        <v>74</v>
      </c>
      <c r="D364" t="s">
        <v>74</v>
      </c>
      <c r="E364" t="s">
        <v>74</v>
      </c>
      <c r="F364" t="s">
        <v>6330</v>
      </c>
      <c r="G364" t="s">
        <v>74</v>
      </c>
      <c r="H364" t="s">
        <v>74</v>
      </c>
      <c r="I364" t="s">
        <v>6331</v>
      </c>
      <c r="J364" t="s">
        <v>6332</v>
      </c>
      <c r="K364" t="s">
        <v>74</v>
      </c>
      <c r="L364" t="s">
        <v>74</v>
      </c>
      <c r="M364" t="s">
        <v>78</v>
      </c>
      <c r="N364" t="s">
        <v>5492</v>
      </c>
      <c r="O364" t="s">
        <v>74</v>
      </c>
      <c r="P364" t="s">
        <v>74</v>
      </c>
      <c r="Q364" t="s">
        <v>74</v>
      </c>
      <c r="R364" t="s">
        <v>74</v>
      </c>
      <c r="S364" t="s">
        <v>74</v>
      </c>
      <c r="T364" t="s">
        <v>6333</v>
      </c>
      <c r="U364" t="s">
        <v>6334</v>
      </c>
      <c r="V364" t="s">
        <v>6335</v>
      </c>
      <c r="W364" t="s">
        <v>6336</v>
      </c>
      <c r="X364" t="s">
        <v>6337</v>
      </c>
      <c r="Y364" t="s">
        <v>6338</v>
      </c>
      <c r="Z364" t="s">
        <v>6339</v>
      </c>
      <c r="AA364" t="s">
        <v>74</v>
      </c>
      <c r="AB364" t="s">
        <v>74</v>
      </c>
      <c r="AC364" t="s">
        <v>74</v>
      </c>
      <c r="AD364" t="s">
        <v>74</v>
      </c>
      <c r="AE364" t="s">
        <v>74</v>
      </c>
      <c r="AF364" t="s">
        <v>74</v>
      </c>
      <c r="AG364">
        <v>48</v>
      </c>
      <c r="AH364">
        <v>0</v>
      </c>
      <c r="AI364">
        <v>0</v>
      </c>
      <c r="AJ364">
        <v>0</v>
      </c>
      <c r="AK364">
        <v>0</v>
      </c>
      <c r="AL364" t="s">
        <v>92</v>
      </c>
      <c r="AM364" t="s">
        <v>93</v>
      </c>
      <c r="AN364" t="s">
        <v>94</v>
      </c>
      <c r="AO364" t="s">
        <v>6340</v>
      </c>
      <c r="AP364" t="s">
        <v>6341</v>
      </c>
      <c r="AQ364" t="s">
        <v>74</v>
      </c>
      <c r="AR364" t="s">
        <v>6342</v>
      </c>
      <c r="AS364" t="s">
        <v>6343</v>
      </c>
      <c r="AT364" t="s">
        <v>6304</v>
      </c>
      <c r="AU364">
        <v>2023</v>
      </c>
      <c r="AV364" t="s">
        <v>74</v>
      </c>
      <c r="AW364" t="s">
        <v>74</v>
      </c>
      <c r="AX364" t="s">
        <v>74</v>
      </c>
      <c r="AY364" t="s">
        <v>74</v>
      </c>
      <c r="AZ364" t="s">
        <v>74</v>
      </c>
      <c r="BA364" t="s">
        <v>74</v>
      </c>
      <c r="BB364" t="s">
        <v>74</v>
      </c>
      <c r="BC364" t="s">
        <v>74</v>
      </c>
      <c r="BD364" t="s">
        <v>74</v>
      </c>
      <c r="BE364" t="s">
        <v>6344</v>
      </c>
      <c r="BF364" t="str">
        <f>HYPERLINK("http://dx.doi.org/10.1080/01616412.2023.2258039","http://dx.doi.org/10.1080/01616412.2023.2258039")</f>
        <v>http://dx.doi.org/10.1080/01616412.2023.2258039</v>
      </c>
      <c r="BG364" t="s">
        <v>74</v>
      </c>
      <c r="BH364" t="s">
        <v>5545</v>
      </c>
      <c r="BI364">
        <v>7</v>
      </c>
      <c r="BJ364" t="s">
        <v>6345</v>
      </c>
      <c r="BK364" t="s">
        <v>102</v>
      </c>
      <c r="BL364" t="s">
        <v>2797</v>
      </c>
      <c r="BM364" t="s">
        <v>6346</v>
      </c>
      <c r="BN364">
        <v>37729085</v>
      </c>
      <c r="BO364" t="s">
        <v>74</v>
      </c>
      <c r="BP364" t="s">
        <v>74</v>
      </c>
      <c r="BQ364" t="s">
        <v>74</v>
      </c>
      <c r="BR364" t="s">
        <v>105</v>
      </c>
      <c r="BS364" t="s">
        <v>6347</v>
      </c>
      <c r="BT364" t="str">
        <f>HYPERLINK("https%3A%2F%2Fwww.webofscience.com%2Fwos%2Fwoscc%2Ffull-record%2FWOS:001068331200001","View Full Record in Web of Science")</f>
        <v>View Full Record in Web of Science</v>
      </c>
    </row>
    <row r="365" spans="1:72" x14ac:dyDescent="0.15">
      <c r="A365" t="s">
        <v>72</v>
      </c>
      <c r="B365" t="s">
        <v>6348</v>
      </c>
      <c r="C365" t="s">
        <v>74</v>
      </c>
      <c r="D365" t="s">
        <v>74</v>
      </c>
      <c r="E365" t="s">
        <v>74</v>
      </c>
      <c r="F365" t="s">
        <v>6349</v>
      </c>
      <c r="G365" t="s">
        <v>74</v>
      </c>
      <c r="H365" t="s">
        <v>74</v>
      </c>
      <c r="I365" t="s">
        <v>6350</v>
      </c>
      <c r="J365" t="s">
        <v>6351</v>
      </c>
      <c r="K365" t="s">
        <v>74</v>
      </c>
      <c r="L365" t="s">
        <v>74</v>
      </c>
      <c r="M365" t="s">
        <v>78</v>
      </c>
      <c r="N365" t="s">
        <v>6352</v>
      </c>
      <c r="O365" t="s">
        <v>74</v>
      </c>
      <c r="P365" t="s">
        <v>74</v>
      </c>
      <c r="Q365" t="s">
        <v>74</v>
      </c>
      <c r="R365" t="s">
        <v>74</v>
      </c>
      <c r="S365" t="s">
        <v>74</v>
      </c>
      <c r="T365" t="s">
        <v>6353</v>
      </c>
      <c r="U365" t="s">
        <v>74</v>
      </c>
      <c r="V365" t="s">
        <v>74</v>
      </c>
      <c r="W365" t="s">
        <v>6354</v>
      </c>
      <c r="X365" t="s">
        <v>6355</v>
      </c>
      <c r="Y365" t="s">
        <v>6356</v>
      </c>
      <c r="Z365" t="s">
        <v>6357</v>
      </c>
      <c r="AA365" t="s">
        <v>74</v>
      </c>
      <c r="AB365" t="s">
        <v>6358</v>
      </c>
      <c r="AC365" t="s">
        <v>74</v>
      </c>
      <c r="AD365" t="s">
        <v>74</v>
      </c>
      <c r="AE365" t="s">
        <v>74</v>
      </c>
      <c r="AF365" t="s">
        <v>74</v>
      </c>
      <c r="AG365">
        <v>16</v>
      </c>
      <c r="AH365">
        <v>0</v>
      </c>
      <c r="AI365">
        <v>0</v>
      </c>
      <c r="AJ365">
        <v>0</v>
      </c>
      <c r="AK365">
        <v>0</v>
      </c>
      <c r="AL365" t="s">
        <v>92</v>
      </c>
      <c r="AM365" t="s">
        <v>93</v>
      </c>
      <c r="AN365" t="s">
        <v>94</v>
      </c>
      <c r="AO365" t="s">
        <v>6359</v>
      </c>
      <c r="AP365" t="s">
        <v>6360</v>
      </c>
      <c r="AQ365" t="s">
        <v>74</v>
      </c>
      <c r="AR365" t="s">
        <v>6361</v>
      </c>
      <c r="AS365" t="s">
        <v>6362</v>
      </c>
      <c r="AT365" t="s">
        <v>6304</v>
      </c>
      <c r="AU365">
        <v>2023</v>
      </c>
      <c r="AV365" t="s">
        <v>74</v>
      </c>
      <c r="AW365" t="s">
        <v>74</v>
      </c>
      <c r="AX365" t="s">
        <v>74</v>
      </c>
      <c r="AY365" t="s">
        <v>74</v>
      </c>
      <c r="AZ365" t="s">
        <v>74</v>
      </c>
      <c r="BA365" t="s">
        <v>74</v>
      </c>
      <c r="BB365" t="s">
        <v>74</v>
      </c>
      <c r="BC365" t="s">
        <v>74</v>
      </c>
      <c r="BD365" t="s">
        <v>74</v>
      </c>
      <c r="BE365" t="s">
        <v>6363</v>
      </c>
      <c r="BF365" t="str">
        <f>HYPERLINK("http://dx.doi.org/10.1080/14787210.2023.2260096","http://dx.doi.org/10.1080/14787210.2023.2260096")</f>
        <v>http://dx.doi.org/10.1080/14787210.2023.2260096</v>
      </c>
      <c r="BG365" t="s">
        <v>74</v>
      </c>
      <c r="BH365" t="s">
        <v>5545</v>
      </c>
      <c r="BI365">
        <v>3</v>
      </c>
      <c r="BJ365" t="s">
        <v>6364</v>
      </c>
      <c r="BK365" t="s">
        <v>102</v>
      </c>
      <c r="BL365" t="s">
        <v>6364</v>
      </c>
      <c r="BM365" t="s">
        <v>6365</v>
      </c>
      <c r="BN365">
        <v>37712181</v>
      </c>
      <c r="BO365" t="s">
        <v>5391</v>
      </c>
      <c r="BP365" t="s">
        <v>74</v>
      </c>
      <c r="BQ365" t="s">
        <v>74</v>
      </c>
      <c r="BR365" t="s">
        <v>105</v>
      </c>
      <c r="BS365" t="s">
        <v>6366</v>
      </c>
      <c r="BT365" t="str">
        <f>HYPERLINK("https%3A%2F%2Fwww.webofscience.com%2Fwos%2Fwoscc%2Ffull-record%2FWOS:001070479100001","View Full Record in Web of Science")</f>
        <v>View Full Record in Web of Science</v>
      </c>
    </row>
    <row r="366" spans="1:72" x14ac:dyDescent="0.15">
      <c r="A366" t="s">
        <v>72</v>
      </c>
      <c r="B366" t="s">
        <v>6367</v>
      </c>
      <c r="C366" t="s">
        <v>74</v>
      </c>
      <c r="D366" t="s">
        <v>74</v>
      </c>
      <c r="E366" t="s">
        <v>74</v>
      </c>
      <c r="F366" t="s">
        <v>6368</v>
      </c>
      <c r="G366" t="s">
        <v>74</v>
      </c>
      <c r="H366" t="s">
        <v>74</v>
      </c>
      <c r="I366" t="s">
        <v>6369</v>
      </c>
      <c r="J366" t="s">
        <v>6370</v>
      </c>
      <c r="K366" t="s">
        <v>74</v>
      </c>
      <c r="L366" t="s">
        <v>74</v>
      </c>
      <c r="M366" t="s">
        <v>78</v>
      </c>
      <c r="N366" t="s">
        <v>5492</v>
      </c>
      <c r="O366" t="s">
        <v>74</v>
      </c>
      <c r="P366" t="s">
        <v>74</v>
      </c>
      <c r="Q366" t="s">
        <v>74</v>
      </c>
      <c r="R366" t="s">
        <v>74</v>
      </c>
      <c r="S366" t="s">
        <v>74</v>
      </c>
      <c r="T366" t="s">
        <v>6371</v>
      </c>
      <c r="U366" t="s">
        <v>6372</v>
      </c>
      <c r="V366" t="s">
        <v>6373</v>
      </c>
      <c r="W366" t="s">
        <v>6374</v>
      </c>
      <c r="X366" t="s">
        <v>6375</v>
      </c>
      <c r="Y366" t="s">
        <v>6376</v>
      </c>
      <c r="Z366" t="s">
        <v>6377</v>
      </c>
      <c r="AA366" t="s">
        <v>74</v>
      </c>
      <c r="AB366" t="s">
        <v>74</v>
      </c>
      <c r="AC366" t="s">
        <v>74</v>
      </c>
      <c r="AD366" t="s">
        <v>74</v>
      </c>
      <c r="AE366" t="s">
        <v>74</v>
      </c>
      <c r="AF366" t="s">
        <v>74</v>
      </c>
      <c r="AG366">
        <v>52</v>
      </c>
      <c r="AH366">
        <v>0</v>
      </c>
      <c r="AI366">
        <v>0</v>
      </c>
      <c r="AJ366">
        <v>0</v>
      </c>
      <c r="AK366">
        <v>0</v>
      </c>
      <c r="AL366" t="s">
        <v>1188</v>
      </c>
      <c r="AM366" t="s">
        <v>93</v>
      </c>
      <c r="AN366" t="s">
        <v>1189</v>
      </c>
      <c r="AO366" t="s">
        <v>6378</v>
      </c>
      <c r="AP366" t="s">
        <v>6379</v>
      </c>
      <c r="AQ366" t="s">
        <v>74</v>
      </c>
      <c r="AR366" t="s">
        <v>6380</v>
      </c>
      <c r="AS366" t="s">
        <v>6381</v>
      </c>
      <c r="AT366" t="s">
        <v>6304</v>
      </c>
      <c r="AU366">
        <v>2023</v>
      </c>
      <c r="AV366" t="s">
        <v>74</v>
      </c>
      <c r="AW366" t="s">
        <v>74</v>
      </c>
      <c r="AX366" t="s">
        <v>74</v>
      </c>
      <c r="AY366" t="s">
        <v>74</v>
      </c>
      <c r="AZ366" t="s">
        <v>74</v>
      </c>
      <c r="BA366" t="s">
        <v>74</v>
      </c>
      <c r="BB366" t="s">
        <v>74</v>
      </c>
      <c r="BC366" t="s">
        <v>74</v>
      </c>
      <c r="BD366" t="s">
        <v>74</v>
      </c>
      <c r="BE366" t="s">
        <v>6382</v>
      </c>
      <c r="BF366" t="str">
        <f>HYPERLINK("http://dx.doi.org/10.1080/14725886.2023.2251117","http://dx.doi.org/10.1080/14725886.2023.2251117")</f>
        <v>http://dx.doi.org/10.1080/14725886.2023.2251117</v>
      </c>
      <c r="BG366" t="s">
        <v>74</v>
      </c>
      <c r="BH366" t="s">
        <v>5545</v>
      </c>
      <c r="BI366">
        <v>24</v>
      </c>
      <c r="BJ366" t="s">
        <v>575</v>
      </c>
      <c r="BK366" t="s">
        <v>211</v>
      </c>
      <c r="BL366" t="s">
        <v>576</v>
      </c>
      <c r="BM366" t="s">
        <v>6383</v>
      </c>
      <c r="BN366" t="s">
        <v>74</v>
      </c>
      <c r="BO366" t="s">
        <v>74</v>
      </c>
      <c r="BP366" t="s">
        <v>74</v>
      </c>
      <c r="BQ366" t="s">
        <v>74</v>
      </c>
      <c r="BR366" t="s">
        <v>105</v>
      </c>
      <c r="BS366" t="s">
        <v>6384</v>
      </c>
      <c r="BT366" t="str">
        <f>HYPERLINK("https%3A%2F%2Fwww.webofscience.com%2Fwos%2Fwoscc%2Ffull-record%2FWOS:001070475400001","View Full Record in Web of Science")</f>
        <v>View Full Record in Web of Science</v>
      </c>
    </row>
    <row r="367" spans="1:72" x14ac:dyDescent="0.15">
      <c r="A367" t="s">
        <v>72</v>
      </c>
      <c r="B367" t="s">
        <v>6385</v>
      </c>
      <c r="C367" t="s">
        <v>74</v>
      </c>
      <c r="D367" t="s">
        <v>74</v>
      </c>
      <c r="E367" t="s">
        <v>74</v>
      </c>
      <c r="F367" t="s">
        <v>6386</v>
      </c>
      <c r="G367" t="s">
        <v>74</v>
      </c>
      <c r="H367" t="s">
        <v>74</v>
      </c>
      <c r="I367" t="s">
        <v>6387</v>
      </c>
      <c r="J367" t="s">
        <v>6388</v>
      </c>
      <c r="K367" t="s">
        <v>74</v>
      </c>
      <c r="L367" t="s">
        <v>74</v>
      </c>
      <c r="M367" t="s">
        <v>78</v>
      </c>
      <c r="N367" t="s">
        <v>5492</v>
      </c>
      <c r="O367" t="s">
        <v>74</v>
      </c>
      <c r="P367" t="s">
        <v>74</v>
      </c>
      <c r="Q367" t="s">
        <v>74</v>
      </c>
      <c r="R367" t="s">
        <v>74</v>
      </c>
      <c r="S367" t="s">
        <v>74</v>
      </c>
      <c r="T367" t="s">
        <v>6389</v>
      </c>
      <c r="U367" t="s">
        <v>6390</v>
      </c>
      <c r="V367" t="s">
        <v>6391</v>
      </c>
      <c r="W367" t="s">
        <v>6392</v>
      </c>
      <c r="X367" t="s">
        <v>6393</v>
      </c>
      <c r="Y367" t="s">
        <v>6394</v>
      </c>
      <c r="Z367" t="s">
        <v>6395</v>
      </c>
      <c r="AA367" t="s">
        <v>74</v>
      </c>
      <c r="AB367" t="s">
        <v>6396</v>
      </c>
      <c r="AC367" t="s">
        <v>6397</v>
      </c>
      <c r="AD367" t="s">
        <v>6397</v>
      </c>
      <c r="AE367" t="s">
        <v>6398</v>
      </c>
      <c r="AF367" t="s">
        <v>74</v>
      </c>
      <c r="AG367">
        <v>102</v>
      </c>
      <c r="AH367">
        <v>0</v>
      </c>
      <c r="AI367">
        <v>0</v>
      </c>
      <c r="AJ367">
        <v>3</v>
      </c>
      <c r="AK367">
        <v>3</v>
      </c>
      <c r="AL367" t="s">
        <v>1188</v>
      </c>
      <c r="AM367" t="s">
        <v>93</v>
      </c>
      <c r="AN367" t="s">
        <v>1189</v>
      </c>
      <c r="AO367" t="s">
        <v>6399</v>
      </c>
      <c r="AP367" t="s">
        <v>6400</v>
      </c>
      <c r="AQ367" t="s">
        <v>74</v>
      </c>
      <c r="AR367" t="s">
        <v>6401</v>
      </c>
      <c r="AS367" t="s">
        <v>6402</v>
      </c>
      <c r="AT367" t="s">
        <v>6403</v>
      </c>
      <c r="AU367">
        <v>2023</v>
      </c>
      <c r="AV367" t="s">
        <v>74</v>
      </c>
      <c r="AW367" t="s">
        <v>74</v>
      </c>
      <c r="AX367" t="s">
        <v>74</v>
      </c>
      <c r="AY367" t="s">
        <v>74</v>
      </c>
      <c r="AZ367" t="s">
        <v>74</v>
      </c>
      <c r="BA367" t="s">
        <v>74</v>
      </c>
      <c r="BB367" t="s">
        <v>74</v>
      </c>
      <c r="BC367" t="s">
        <v>74</v>
      </c>
      <c r="BD367" t="s">
        <v>74</v>
      </c>
      <c r="BE367" t="s">
        <v>6404</v>
      </c>
      <c r="BF367" t="str">
        <f>HYPERLINK("http://dx.doi.org/10.1080/02508281.2023.2255939","http://dx.doi.org/10.1080/02508281.2023.2255939")</f>
        <v>http://dx.doi.org/10.1080/02508281.2023.2255939</v>
      </c>
      <c r="BG367" t="s">
        <v>74</v>
      </c>
      <c r="BH367" t="s">
        <v>5545</v>
      </c>
      <c r="BI367">
        <v>15</v>
      </c>
      <c r="BJ367" t="s">
        <v>5731</v>
      </c>
      <c r="BK367" t="s">
        <v>211</v>
      </c>
      <c r="BL367" t="s">
        <v>397</v>
      </c>
      <c r="BM367" t="s">
        <v>6405</v>
      </c>
      <c r="BN367" t="s">
        <v>74</v>
      </c>
      <c r="BO367" t="s">
        <v>74</v>
      </c>
      <c r="BP367" t="s">
        <v>74</v>
      </c>
      <c r="BQ367" t="s">
        <v>74</v>
      </c>
      <c r="BR367" t="s">
        <v>105</v>
      </c>
      <c r="BS367" t="s">
        <v>6406</v>
      </c>
      <c r="BT367" t="str">
        <f>HYPERLINK("https%3A%2F%2Fwww.webofscience.com%2Fwos%2Fwoscc%2Ffull-record%2FWOS:001065944600001","View Full Record in Web of Science")</f>
        <v>View Full Record in Web of Science</v>
      </c>
    </row>
    <row r="368" spans="1:72" x14ac:dyDescent="0.15">
      <c r="A368" t="s">
        <v>72</v>
      </c>
      <c r="B368" t="s">
        <v>6407</v>
      </c>
      <c r="C368" t="s">
        <v>74</v>
      </c>
      <c r="D368" t="s">
        <v>74</v>
      </c>
      <c r="E368" t="s">
        <v>74</v>
      </c>
      <c r="F368" t="s">
        <v>6408</v>
      </c>
      <c r="G368" t="s">
        <v>74</v>
      </c>
      <c r="H368" t="s">
        <v>74</v>
      </c>
      <c r="I368" t="s">
        <v>6409</v>
      </c>
      <c r="J368" t="s">
        <v>6410</v>
      </c>
      <c r="K368" t="s">
        <v>74</v>
      </c>
      <c r="L368" t="s">
        <v>74</v>
      </c>
      <c r="M368" t="s">
        <v>78</v>
      </c>
      <c r="N368" t="s">
        <v>5492</v>
      </c>
      <c r="O368" t="s">
        <v>74</v>
      </c>
      <c r="P368" t="s">
        <v>74</v>
      </c>
      <c r="Q368" t="s">
        <v>74</v>
      </c>
      <c r="R368" t="s">
        <v>74</v>
      </c>
      <c r="S368" t="s">
        <v>74</v>
      </c>
      <c r="T368" t="s">
        <v>74</v>
      </c>
      <c r="U368" t="s">
        <v>6411</v>
      </c>
      <c r="V368" t="s">
        <v>6412</v>
      </c>
      <c r="W368" t="s">
        <v>6413</v>
      </c>
      <c r="X368" t="s">
        <v>6414</v>
      </c>
      <c r="Y368" t="s">
        <v>6415</v>
      </c>
      <c r="Z368" t="s">
        <v>74</v>
      </c>
      <c r="AA368" t="s">
        <v>74</v>
      </c>
      <c r="AB368" t="s">
        <v>74</v>
      </c>
      <c r="AC368" t="s">
        <v>6416</v>
      </c>
      <c r="AD368" t="s">
        <v>6416</v>
      </c>
      <c r="AE368" t="s">
        <v>6417</v>
      </c>
      <c r="AF368" t="s">
        <v>74</v>
      </c>
      <c r="AG368">
        <v>154</v>
      </c>
      <c r="AH368">
        <v>0</v>
      </c>
      <c r="AI368">
        <v>0</v>
      </c>
      <c r="AJ368">
        <v>0</v>
      </c>
      <c r="AK368">
        <v>0</v>
      </c>
      <c r="AL368" t="s">
        <v>1188</v>
      </c>
      <c r="AM368" t="s">
        <v>93</v>
      </c>
      <c r="AN368" t="s">
        <v>1189</v>
      </c>
      <c r="AO368" t="s">
        <v>6418</v>
      </c>
      <c r="AP368" t="s">
        <v>6419</v>
      </c>
      <c r="AQ368" t="s">
        <v>74</v>
      </c>
      <c r="AR368" t="s">
        <v>6420</v>
      </c>
      <c r="AS368" t="s">
        <v>6421</v>
      </c>
      <c r="AT368" t="s">
        <v>6403</v>
      </c>
      <c r="AU368">
        <v>2023</v>
      </c>
      <c r="AV368" t="s">
        <v>74</v>
      </c>
      <c r="AW368" t="s">
        <v>74</v>
      </c>
      <c r="AX368" t="s">
        <v>74</v>
      </c>
      <c r="AY368" t="s">
        <v>74</v>
      </c>
      <c r="AZ368" t="s">
        <v>74</v>
      </c>
      <c r="BA368" t="s">
        <v>74</v>
      </c>
      <c r="BB368" t="s">
        <v>74</v>
      </c>
      <c r="BC368" t="s">
        <v>74</v>
      </c>
      <c r="BD368" t="s">
        <v>74</v>
      </c>
      <c r="BE368" t="s">
        <v>6422</v>
      </c>
      <c r="BF368" t="str">
        <f>HYPERLINK("http://dx.doi.org/10.1080/09636412.2023.2230879","http://dx.doi.org/10.1080/09636412.2023.2230879")</f>
        <v>http://dx.doi.org/10.1080/09636412.2023.2230879</v>
      </c>
      <c r="BG368" t="s">
        <v>74</v>
      </c>
      <c r="BH368" t="s">
        <v>5545</v>
      </c>
      <c r="BI368">
        <v>31</v>
      </c>
      <c r="BJ368" t="s">
        <v>5507</v>
      </c>
      <c r="BK368" t="s">
        <v>272</v>
      </c>
      <c r="BL368" t="s">
        <v>5507</v>
      </c>
      <c r="BM368" t="s">
        <v>6423</v>
      </c>
      <c r="BN368" t="s">
        <v>74</v>
      </c>
      <c r="BO368" t="s">
        <v>887</v>
      </c>
      <c r="BP368" t="s">
        <v>74</v>
      </c>
      <c r="BQ368" t="s">
        <v>74</v>
      </c>
      <c r="BR368" t="s">
        <v>105</v>
      </c>
      <c r="BS368" t="s">
        <v>6424</v>
      </c>
      <c r="BT368" t="str">
        <f>HYPERLINK("https%3A%2F%2Fwww.webofscience.com%2Fwos%2Fwoscc%2Ffull-record%2FWOS:001072062100001","View Full Record in Web of Science")</f>
        <v>View Full Record in Web of Science</v>
      </c>
    </row>
    <row r="369" spans="1:72" x14ac:dyDescent="0.15">
      <c r="A369" t="s">
        <v>72</v>
      </c>
      <c r="B369" t="s">
        <v>6425</v>
      </c>
      <c r="C369" t="s">
        <v>74</v>
      </c>
      <c r="D369" t="s">
        <v>74</v>
      </c>
      <c r="E369" t="s">
        <v>74</v>
      </c>
      <c r="F369" t="s">
        <v>6426</v>
      </c>
      <c r="G369" t="s">
        <v>74</v>
      </c>
      <c r="H369" t="s">
        <v>74</v>
      </c>
      <c r="I369" t="s">
        <v>6427</v>
      </c>
      <c r="J369" t="s">
        <v>6428</v>
      </c>
      <c r="K369" t="s">
        <v>74</v>
      </c>
      <c r="L369" t="s">
        <v>74</v>
      </c>
      <c r="M369" t="s">
        <v>78</v>
      </c>
      <c r="N369" t="s">
        <v>5492</v>
      </c>
      <c r="O369" t="s">
        <v>74</v>
      </c>
      <c r="P369" t="s">
        <v>74</v>
      </c>
      <c r="Q369" t="s">
        <v>74</v>
      </c>
      <c r="R369" t="s">
        <v>74</v>
      </c>
      <c r="S369" t="s">
        <v>74</v>
      </c>
      <c r="T369" t="s">
        <v>6429</v>
      </c>
      <c r="U369" t="s">
        <v>6430</v>
      </c>
      <c r="V369" t="s">
        <v>6431</v>
      </c>
      <c r="W369" t="s">
        <v>6432</v>
      </c>
      <c r="X369" t="s">
        <v>6433</v>
      </c>
      <c r="Y369" t="s">
        <v>6434</v>
      </c>
      <c r="Z369" t="s">
        <v>6435</v>
      </c>
      <c r="AA369" t="s">
        <v>74</v>
      </c>
      <c r="AB369" t="s">
        <v>74</v>
      </c>
      <c r="AC369" t="s">
        <v>6436</v>
      </c>
      <c r="AD369" t="s">
        <v>6436</v>
      </c>
      <c r="AE369" t="s">
        <v>6437</v>
      </c>
      <c r="AF369" t="s">
        <v>74</v>
      </c>
      <c r="AG369">
        <v>58</v>
      </c>
      <c r="AH369">
        <v>0</v>
      </c>
      <c r="AI369">
        <v>0</v>
      </c>
      <c r="AJ369">
        <v>0</v>
      </c>
      <c r="AK369">
        <v>0</v>
      </c>
      <c r="AL369" t="s">
        <v>1188</v>
      </c>
      <c r="AM369" t="s">
        <v>93</v>
      </c>
      <c r="AN369" t="s">
        <v>1189</v>
      </c>
      <c r="AO369" t="s">
        <v>6438</v>
      </c>
      <c r="AP369" t="s">
        <v>6439</v>
      </c>
      <c r="AQ369" t="s">
        <v>74</v>
      </c>
      <c r="AR369" t="s">
        <v>6440</v>
      </c>
      <c r="AS369" t="s">
        <v>6441</v>
      </c>
      <c r="AT369" t="s">
        <v>6403</v>
      </c>
      <c r="AU369">
        <v>2023</v>
      </c>
      <c r="AV369" t="s">
        <v>74</v>
      </c>
      <c r="AW369" t="s">
        <v>74</v>
      </c>
      <c r="AX369" t="s">
        <v>74</v>
      </c>
      <c r="AY369" t="s">
        <v>74</v>
      </c>
      <c r="AZ369" t="s">
        <v>74</v>
      </c>
      <c r="BA369" t="s">
        <v>74</v>
      </c>
      <c r="BB369" t="s">
        <v>74</v>
      </c>
      <c r="BC369" t="s">
        <v>74</v>
      </c>
      <c r="BD369" t="s">
        <v>74</v>
      </c>
      <c r="BE369" t="s">
        <v>6442</v>
      </c>
      <c r="BF369" t="str">
        <f>HYPERLINK("http://dx.doi.org/10.1080/20421338.2023.2247754","http://dx.doi.org/10.1080/20421338.2023.2247754")</f>
        <v>http://dx.doi.org/10.1080/20421338.2023.2247754</v>
      </c>
      <c r="BG369" t="s">
        <v>74</v>
      </c>
      <c r="BH369" t="s">
        <v>5545</v>
      </c>
      <c r="BI369">
        <v>16</v>
      </c>
      <c r="BJ369" t="s">
        <v>352</v>
      </c>
      <c r="BK369" t="s">
        <v>211</v>
      </c>
      <c r="BL369" t="s">
        <v>353</v>
      </c>
      <c r="BM369" t="s">
        <v>6443</v>
      </c>
      <c r="BN369" t="s">
        <v>74</v>
      </c>
      <c r="BO369" t="s">
        <v>74</v>
      </c>
      <c r="BP369" t="s">
        <v>74</v>
      </c>
      <c r="BQ369" t="s">
        <v>74</v>
      </c>
      <c r="BR369" t="s">
        <v>105</v>
      </c>
      <c r="BS369" t="s">
        <v>6444</v>
      </c>
      <c r="BT369" t="str">
        <f>HYPERLINK("https%3A%2F%2Fwww.webofscience.com%2Fwos%2Fwoscc%2Ffull-record%2FWOS:001069034400001","View Full Record in Web of Science")</f>
        <v>View Full Record in Web of Science</v>
      </c>
    </row>
    <row r="370" spans="1:72" x14ac:dyDescent="0.15">
      <c r="A370" t="s">
        <v>72</v>
      </c>
      <c r="B370" t="s">
        <v>6445</v>
      </c>
      <c r="C370" t="s">
        <v>74</v>
      </c>
      <c r="D370" t="s">
        <v>74</v>
      </c>
      <c r="E370" t="s">
        <v>74</v>
      </c>
      <c r="F370" t="s">
        <v>6446</v>
      </c>
      <c r="G370" t="s">
        <v>74</v>
      </c>
      <c r="H370" t="s">
        <v>74</v>
      </c>
      <c r="I370" t="s">
        <v>6447</v>
      </c>
      <c r="J370" t="s">
        <v>6448</v>
      </c>
      <c r="K370" t="s">
        <v>74</v>
      </c>
      <c r="L370" t="s">
        <v>74</v>
      </c>
      <c r="M370" t="s">
        <v>78</v>
      </c>
      <c r="N370" t="s">
        <v>5492</v>
      </c>
      <c r="O370" t="s">
        <v>74</v>
      </c>
      <c r="P370" t="s">
        <v>74</v>
      </c>
      <c r="Q370" t="s">
        <v>74</v>
      </c>
      <c r="R370" t="s">
        <v>74</v>
      </c>
      <c r="S370" t="s">
        <v>74</v>
      </c>
      <c r="T370" t="s">
        <v>6449</v>
      </c>
      <c r="U370" t="s">
        <v>6450</v>
      </c>
      <c r="V370" t="s">
        <v>6451</v>
      </c>
      <c r="W370" t="s">
        <v>6452</v>
      </c>
      <c r="X370" t="s">
        <v>74</v>
      </c>
      <c r="Y370" t="s">
        <v>6453</v>
      </c>
      <c r="Z370" t="s">
        <v>6454</v>
      </c>
      <c r="AA370" t="s">
        <v>74</v>
      </c>
      <c r="AB370" t="s">
        <v>74</v>
      </c>
      <c r="AC370" t="s">
        <v>6455</v>
      </c>
      <c r="AD370" t="s">
        <v>6455</v>
      </c>
      <c r="AE370" t="s">
        <v>6455</v>
      </c>
      <c r="AF370" t="s">
        <v>74</v>
      </c>
      <c r="AG370">
        <v>46</v>
      </c>
      <c r="AH370">
        <v>0</v>
      </c>
      <c r="AI370">
        <v>0</v>
      </c>
      <c r="AJ370">
        <v>0</v>
      </c>
      <c r="AK370">
        <v>0</v>
      </c>
      <c r="AL370" t="s">
        <v>92</v>
      </c>
      <c r="AM370" t="s">
        <v>93</v>
      </c>
      <c r="AN370" t="s">
        <v>94</v>
      </c>
      <c r="AO370" t="s">
        <v>6456</v>
      </c>
      <c r="AP370" t="s">
        <v>6457</v>
      </c>
      <c r="AQ370" t="s">
        <v>74</v>
      </c>
      <c r="AR370" t="s">
        <v>6458</v>
      </c>
      <c r="AS370" t="s">
        <v>6459</v>
      </c>
      <c r="AT370" t="s">
        <v>6403</v>
      </c>
      <c r="AU370">
        <v>2023</v>
      </c>
      <c r="AV370" t="s">
        <v>74</v>
      </c>
      <c r="AW370" t="s">
        <v>74</v>
      </c>
      <c r="AX370" t="s">
        <v>74</v>
      </c>
      <c r="AY370" t="s">
        <v>74</v>
      </c>
      <c r="AZ370" t="s">
        <v>74</v>
      </c>
      <c r="BA370" t="s">
        <v>74</v>
      </c>
      <c r="BB370" t="s">
        <v>74</v>
      </c>
      <c r="BC370" t="s">
        <v>74</v>
      </c>
      <c r="BD370" t="s">
        <v>74</v>
      </c>
      <c r="BE370" t="s">
        <v>6460</v>
      </c>
      <c r="BF370" t="str">
        <f>HYPERLINK("http://dx.doi.org/10.1080/23729333.2023.2225951","http://dx.doi.org/10.1080/23729333.2023.2225951")</f>
        <v>http://dx.doi.org/10.1080/23729333.2023.2225951</v>
      </c>
      <c r="BG370" t="s">
        <v>74</v>
      </c>
      <c r="BH370" t="s">
        <v>5545</v>
      </c>
      <c r="BI370">
        <v>22</v>
      </c>
      <c r="BJ370" t="s">
        <v>6461</v>
      </c>
      <c r="BK370" t="s">
        <v>211</v>
      </c>
      <c r="BL370" t="s">
        <v>6462</v>
      </c>
      <c r="BM370" t="s">
        <v>6463</v>
      </c>
      <c r="BN370" t="s">
        <v>74</v>
      </c>
      <c r="BO370" t="s">
        <v>74</v>
      </c>
      <c r="BP370" t="s">
        <v>74</v>
      </c>
      <c r="BQ370" t="s">
        <v>74</v>
      </c>
      <c r="BR370" t="s">
        <v>105</v>
      </c>
      <c r="BS370" t="s">
        <v>6464</v>
      </c>
      <c r="BT370" t="str">
        <f>HYPERLINK("https%3A%2F%2Fwww.webofscience.com%2Fwos%2Fwoscc%2Ffull-record%2FWOS:001068114000001","View Full Record in Web of Science")</f>
        <v>View Full Record in Web of Science</v>
      </c>
    </row>
    <row r="371" spans="1:72" x14ac:dyDescent="0.15">
      <c r="A371" t="s">
        <v>72</v>
      </c>
      <c r="B371" t="s">
        <v>6465</v>
      </c>
      <c r="C371" t="s">
        <v>74</v>
      </c>
      <c r="D371" t="s">
        <v>74</v>
      </c>
      <c r="E371" t="s">
        <v>74</v>
      </c>
      <c r="F371" t="s">
        <v>6466</v>
      </c>
      <c r="G371" t="s">
        <v>74</v>
      </c>
      <c r="H371" t="s">
        <v>74</v>
      </c>
      <c r="I371" t="s">
        <v>6467</v>
      </c>
      <c r="J371" t="s">
        <v>6468</v>
      </c>
      <c r="K371" t="s">
        <v>74</v>
      </c>
      <c r="L371" t="s">
        <v>74</v>
      </c>
      <c r="M371" t="s">
        <v>78</v>
      </c>
      <c r="N371" t="s">
        <v>5492</v>
      </c>
      <c r="O371" t="s">
        <v>74</v>
      </c>
      <c r="P371" t="s">
        <v>74</v>
      </c>
      <c r="Q371" t="s">
        <v>74</v>
      </c>
      <c r="R371" t="s">
        <v>74</v>
      </c>
      <c r="S371" t="s">
        <v>74</v>
      </c>
      <c r="T371" t="s">
        <v>6469</v>
      </c>
      <c r="U371" t="s">
        <v>74</v>
      </c>
      <c r="V371" t="s">
        <v>6470</v>
      </c>
      <c r="W371" t="s">
        <v>6471</v>
      </c>
      <c r="X371" t="s">
        <v>6472</v>
      </c>
      <c r="Y371" t="s">
        <v>6473</v>
      </c>
      <c r="Z371" t="s">
        <v>6474</v>
      </c>
      <c r="AA371" t="s">
        <v>74</v>
      </c>
      <c r="AB371" t="s">
        <v>6475</v>
      </c>
      <c r="AC371" t="s">
        <v>74</v>
      </c>
      <c r="AD371" t="s">
        <v>74</v>
      </c>
      <c r="AE371" t="s">
        <v>74</v>
      </c>
      <c r="AF371" t="s">
        <v>74</v>
      </c>
      <c r="AG371">
        <v>3</v>
      </c>
      <c r="AH371">
        <v>0</v>
      </c>
      <c r="AI371">
        <v>0</v>
      </c>
      <c r="AJ371">
        <v>0</v>
      </c>
      <c r="AK371">
        <v>0</v>
      </c>
      <c r="AL371" t="s">
        <v>92</v>
      </c>
      <c r="AM371" t="s">
        <v>93</v>
      </c>
      <c r="AN371" t="s">
        <v>94</v>
      </c>
      <c r="AO371" t="s">
        <v>6476</v>
      </c>
      <c r="AP371" t="s">
        <v>6477</v>
      </c>
      <c r="AQ371" t="s">
        <v>74</v>
      </c>
      <c r="AR371" t="s">
        <v>6478</v>
      </c>
      <c r="AS371" t="s">
        <v>6479</v>
      </c>
      <c r="AT371" t="s">
        <v>6403</v>
      </c>
      <c r="AU371">
        <v>2023</v>
      </c>
      <c r="AV371" t="s">
        <v>74</v>
      </c>
      <c r="AW371" t="s">
        <v>74</v>
      </c>
      <c r="AX371" t="s">
        <v>74</v>
      </c>
      <c r="AY371" t="s">
        <v>74</v>
      </c>
      <c r="AZ371" t="s">
        <v>74</v>
      </c>
      <c r="BA371" t="s">
        <v>74</v>
      </c>
      <c r="BB371" t="s">
        <v>74</v>
      </c>
      <c r="BC371" t="s">
        <v>74</v>
      </c>
      <c r="BD371" t="s">
        <v>74</v>
      </c>
      <c r="BE371" t="s">
        <v>6480</v>
      </c>
      <c r="BF371" t="str">
        <f>HYPERLINK("http://dx.doi.org/10.1080/13645706.2023.2250422","http://dx.doi.org/10.1080/13645706.2023.2250422")</f>
        <v>http://dx.doi.org/10.1080/13645706.2023.2250422</v>
      </c>
      <c r="BG371" t="s">
        <v>74</v>
      </c>
      <c r="BH371" t="s">
        <v>5545</v>
      </c>
      <c r="BI371">
        <v>3</v>
      </c>
      <c r="BJ371" t="s">
        <v>460</v>
      </c>
      <c r="BK371" t="s">
        <v>102</v>
      </c>
      <c r="BL371" t="s">
        <v>460</v>
      </c>
      <c r="BM371" t="s">
        <v>6481</v>
      </c>
      <c r="BN371">
        <v>37729442</v>
      </c>
      <c r="BO371" t="s">
        <v>74</v>
      </c>
      <c r="BP371" t="s">
        <v>74</v>
      </c>
      <c r="BQ371" t="s">
        <v>74</v>
      </c>
      <c r="BR371" t="s">
        <v>105</v>
      </c>
      <c r="BS371" t="s">
        <v>6482</v>
      </c>
      <c r="BT371" t="str">
        <f>HYPERLINK("https%3A%2F%2Fwww.webofscience.com%2Fwos%2Fwoscc%2Ffull-record%2FWOS:001068533500001","View Full Record in Web of Science")</f>
        <v>View Full Record in Web of Science</v>
      </c>
    </row>
    <row r="372" spans="1:72" x14ac:dyDescent="0.15">
      <c r="A372" t="s">
        <v>72</v>
      </c>
      <c r="B372" t="s">
        <v>6483</v>
      </c>
      <c r="C372" t="s">
        <v>74</v>
      </c>
      <c r="D372" t="s">
        <v>74</v>
      </c>
      <c r="E372" t="s">
        <v>74</v>
      </c>
      <c r="F372" t="s">
        <v>6484</v>
      </c>
      <c r="G372" t="s">
        <v>74</v>
      </c>
      <c r="H372" t="s">
        <v>74</v>
      </c>
      <c r="I372" t="s">
        <v>6485</v>
      </c>
      <c r="J372" t="s">
        <v>6486</v>
      </c>
      <c r="K372" t="s">
        <v>74</v>
      </c>
      <c r="L372" t="s">
        <v>74</v>
      </c>
      <c r="M372" t="s">
        <v>78</v>
      </c>
      <c r="N372" t="s">
        <v>5492</v>
      </c>
      <c r="O372" t="s">
        <v>74</v>
      </c>
      <c r="P372" t="s">
        <v>74</v>
      </c>
      <c r="Q372" t="s">
        <v>74</v>
      </c>
      <c r="R372" t="s">
        <v>74</v>
      </c>
      <c r="S372" t="s">
        <v>74</v>
      </c>
      <c r="T372" t="s">
        <v>6487</v>
      </c>
      <c r="U372" t="s">
        <v>6488</v>
      </c>
      <c r="V372" t="s">
        <v>6489</v>
      </c>
      <c r="W372" t="s">
        <v>6490</v>
      </c>
      <c r="X372" t="s">
        <v>6491</v>
      </c>
      <c r="Y372" t="s">
        <v>6492</v>
      </c>
      <c r="Z372" t="s">
        <v>6493</v>
      </c>
      <c r="AA372" t="s">
        <v>74</v>
      </c>
      <c r="AB372" t="s">
        <v>6494</v>
      </c>
      <c r="AC372" t="s">
        <v>74</v>
      </c>
      <c r="AD372" t="s">
        <v>74</v>
      </c>
      <c r="AE372" t="s">
        <v>74</v>
      </c>
      <c r="AF372" t="s">
        <v>74</v>
      </c>
      <c r="AG372">
        <v>20</v>
      </c>
      <c r="AH372">
        <v>0</v>
      </c>
      <c r="AI372">
        <v>0</v>
      </c>
      <c r="AJ372">
        <v>0</v>
      </c>
      <c r="AK372">
        <v>0</v>
      </c>
      <c r="AL372" t="s">
        <v>184</v>
      </c>
      <c r="AM372" t="s">
        <v>185</v>
      </c>
      <c r="AN372" t="s">
        <v>186</v>
      </c>
      <c r="AO372" t="s">
        <v>6495</v>
      </c>
      <c r="AP372" t="s">
        <v>6496</v>
      </c>
      <c r="AQ372" t="s">
        <v>74</v>
      </c>
      <c r="AR372" t="s">
        <v>6497</v>
      </c>
      <c r="AS372" t="s">
        <v>6498</v>
      </c>
      <c r="AT372" t="s">
        <v>6499</v>
      </c>
      <c r="AU372">
        <v>2023</v>
      </c>
      <c r="AV372" t="s">
        <v>74</v>
      </c>
      <c r="AW372" t="s">
        <v>74</v>
      </c>
      <c r="AX372" t="s">
        <v>74</v>
      </c>
      <c r="AY372" t="s">
        <v>74</v>
      </c>
      <c r="AZ372" t="s">
        <v>74</v>
      </c>
      <c r="BA372" t="s">
        <v>74</v>
      </c>
      <c r="BB372" t="s">
        <v>74</v>
      </c>
      <c r="BC372" t="s">
        <v>74</v>
      </c>
      <c r="BD372" t="s">
        <v>74</v>
      </c>
      <c r="BE372" t="s">
        <v>6500</v>
      </c>
      <c r="BF372" t="str">
        <f>HYPERLINK("http://dx.doi.org/10.1080/09273948.2023.2252892","http://dx.doi.org/10.1080/09273948.2023.2252892")</f>
        <v>http://dx.doi.org/10.1080/09273948.2023.2252892</v>
      </c>
      <c r="BG372" t="s">
        <v>74</v>
      </c>
      <c r="BH372" t="s">
        <v>5545</v>
      </c>
      <c r="BI372">
        <v>4</v>
      </c>
      <c r="BJ372" t="s">
        <v>6501</v>
      </c>
      <c r="BK372" t="s">
        <v>102</v>
      </c>
      <c r="BL372" t="s">
        <v>6501</v>
      </c>
      <c r="BM372" t="s">
        <v>6502</v>
      </c>
      <c r="BN372">
        <v>37722802</v>
      </c>
      <c r="BO372" t="s">
        <v>74</v>
      </c>
      <c r="BP372" t="s">
        <v>74</v>
      </c>
      <c r="BQ372" t="s">
        <v>74</v>
      </c>
      <c r="BR372" t="s">
        <v>105</v>
      </c>
      <c r="BS372" t="s">
        <v>6503</v>
      </c>
      <c r="BT372" t="str">
        <f>HYPERLINK("https%3A%2F%2Fwww.webofscience.com%2Fwos%2Fwoscc%2Ffull-record%2FWOS:001068376900001","View Full Record in Web of Science")</f>
        <v>View Full Record in Web of Science</v>
      </c>
    </row>
    <row r="373" spans="1:72" x14ac:dyDescent="0.15">
      <c r="A373" t="s">
        <v>72</v>
      </c>
      <c r="B373" t="s">
        <v>6504</v>
      </c>
      <c r="C373" t="s">
        <v>74</v>
      </c>
      <c r="D373" t="s">
        <v>74</v>
      </c>
      <c r="E373" t="s">
        <v>74</v>
      </c>
      <c r="F373" t="s">
        <v>6505</v>
      </c>
      <c r="G373" t="s">
        <v>74</v>
      </c>
      <c r="H373" t="s">
        <v>74</v>
      </c>
      <c r="I373" t="s">
        <v>6506</v>
      </c>
      <c r="J373" t="s">
        <v>6507</v>
      </c>
      <c r="K373" t="s">
        <v>74</v>
      </c>
      <c r="L373" t="s">
        <v>74</v>
      </c>
      <c r="M373" t="s">
        <v>78</v>
      </c>
      <c r="N373" t="s">
        <v>5492</v>
      </c>
      <c r="O373" t="s">
        <v>74</v>
      </c>
      <c r="P373" t="s">
        <v>74</v>
      </c>
      <c r="Q373" t="s">
        <v>74</v>
      </c>
      <c r="R373" t="s">
        <v>74</v>
      </c>
      <c r="S373" t="s">
        <v>74</v>
      </c>
      <c r="T373" t="s">
        <v>6508</v>
      </c>
      <c r="U373" t="s">
        <v>6509</v>
      </c>
      <c r="V373" t="s">
        <v>6510</v>
      </c>
      <c r="W373" t="s">
        <v>6511</v>
      </c>
      <c r="X373" t="s">
        <v>6512</v>
      </c>
      <c r="Y373" t="s">
        <v>6513</v>
      </c>
      <c r="Z373" t="s">
        <v>6514</v>
      </c>
      <c r="AA373" t="s">
        <v>74</v>
      </c>
      <c r="AB373" t="s">
        <v>74</v>
      </c>
      <c r="AC373" t="s">
        <v>6515</v>
      </c>
      <c r="AD373" t="s">
        <v>6515</v>
      </c>
      <c r="AE373" t="s">
        <v>6515</v>
      </c>
      <c r="AF373" t="s">
        <v>74</v>
      </c>
      <c r="AG373">
        <v>44</v>
      </c>
      <c r="AH373">
        <v>0</v>
      </c>
      <c r="AI373">
        <v>0</v>
      </c>
      <c r="AJ373">
        <v>2</v>
      </c>
      <c r="AK373">
        <v>2</v>
      </c>
      <c r="AL373" t="s">
        <v>1188</v>
      </c>
      <c r="AM373" t="s">
        <v>93</v>
      </c>
      <c r="AN373" t="s">
        <v>1189</v>
      </c>
      <c r="AO373" t="s">
        <v>6516</v>
      </c>
      <c r="AP373" t="s">
        <v>6517</v>
      </c>
      <c r="AQ373" t="s">
        <v>74</v>
      </c>
      <c r="AR373" t="s">
        <v>6518</v>
      </c>
      <c r="AS373" t="s">
        <v>6519</v>
      </c>
      <c r="AT373" t="s">
        <v>6499</v>
      </c>
      <c r="AU373">
        <v>2023</v>
      </c>
      <c r="AV373" t="s">
        <v>74</v>
      </c>
      <c r="AW373" t="s">
        <v>74</v>
      </c>
      <c r="AX373" t="s">
        <v>74</v>
      </c>
      <c r="AY373" t="s">
        <v>74</v>
      </c>
      <c r="AZ373" t="s">
        <v>74</v>
      </c>
      <c r="BA373" t="s">
        <v>74</v>
      </c>
      <c r="BB373" t="s">
        <v>74</v>
      </c>
      <c r="BC373" t="s">
        <v>74</v>
      </c>
      <c r="BD373" t="s">
        <v>74</v>
      </c>
      <c r="BE373" t="s">
        <v>6520</v>
      </c>
      <c r="BF373" t="str">
        <f>HYPERLINK("http://dx.doi.org/10.1080/00036846.2023.2257929","http://dx.doi.org/10.1080/00036846.2023.2257929")</f>
        <v>http://dx.doi.org/10.1080/00036846.2023.2257929</v>
      </c>
      <c r="BG373" t="s">
        <v>74</v>
      </c>
      <c r="BH373" t="s">
        <v>5545</v>
      </c>
      <c r="BI373">
        <v>16</v>
      </c>
      <c r="BJ373" t="s">
        <v>373</v>
      </c>
      <c r="BK373" t="s">
        <v>272</v>
      </c>
      <c r="BL373" t="s">
        <v>295</v>
      </c>
      <c r="BM373" t="s">
        <v>6521</v>
      </c>
      <c r="BN373" t="s">
        <v>74</v>
      </c>
      <c r="BO373" t="s">
        <v>74</v>
      </c>
      <c r="BP373" t="s">
        <v>74</v>
      </c>
      <c r="BQ373" t="s">
        <v>74</v>
      </c>
      <c r="BR373" t="s">
        <v>105</v>
      </c>
      <c r="BS373" t="s">
        <v>6522</v>
      </c>
      <c r="BT373" t="str">
        <f>HYPERLINK("https%3A%2F%2Fwww.webofscience.com%2Fwos%2Fwoscc%2Ffull-record%2FWOS:001066542800001","View Full Record in Web of Science")</f>
        <v>View Full Record in Web of Science</v>
      </c>
    </row>
    <row r="374" spans="1:72" x14ac:dyDescent="0.15">
      <c r="A374" t="s">
        <v>72</v>
      </c>
      <c r="B374" t="s">
        <v>6523</v>
      </c>
      <c r="C374" t="s">
        <v>74</v>
      </c>
      <c r="D374" t="s">
        <v>74</v>
      </c>
      <c r="E374" t="s">
        <v>74</v>
      </c>
      <c r="F374" t="s">
        <v>6524</v>
      </c>
      <c r="G374" t="s">
        <v>74</v>
      </c>
      <c r="H374" t="s">
        <v>74</v>
      </c>
      <c r="I374" t="s">
        <v>6525</v>
      </c>
      <c r="J374" t="s">
        <v>6526</v>
      </c>
      <c r="K374" t="s">
        <v>74</v>
      </c>
      <c r="L374" t="s">
        <v>74</v>
      </c>
      <c r="M374" t="s">
        <v>78</v>
      </c>
      <c r="N374" t="s">
        <v>5492</v>
      </c>
      <c r="O374" t="s">
        <v>74</v>
      </c>
      <c r="P374" t="s">
        <v>74</v>
      </c>
      <c r="Q374" t="s">
        <v>74</v>
      </c>
      <c r="R374" t="s">
        <v>74</v>
      </c>
      <c r="S374" t="s">
        <v>74</v>
      </c>
      <c r="T374" t="s">
        <v>6527</v>
      </c>
      <c r="U374" t="s">
        <v>6528</v>
      </c>
      <c r="V374" t="s">
        <v>6529</v>
      </c>
      <c r="W374" t="s">
        <v>6530</v>
      </c>
      <c r="X374" t="s">
        <v>6531</v>
      </c>
      <c r="Y374" t="s">
        <v>6532</v>
      </c>
      <c r="Z374" t="s">
        <v>6533</v>
      </c>
      <c r="AA374" t="s">
        <v>74</v>
      </c>
      <c r="AB374" t="s">
        <v>74</v>
      </c>
      <c r="AC374" t="s">
        <v>6534</v>
      </c>
      <c r="AD374" t="s">
        <v>6534</v>
      </c>
      <c r="AE374" t="s">
        <v>6534</v>
      </c>
      <c r="AF374" t="s">
        <v>74</v>
      </c>
      <c r="AG374">
        <v>20</v>
      </c>
      <c r="AH374">
        <v>0</v>
      </c>
      <c r="AI374">
        <v>0</v>
      </c>
      <c r="AJ374">
        <v>0</v>
      </c>
      <c r="AK374">
        <v>0</v>
      </c>
      <c r="AL374" t="s">
        <v>1188</v>
      </c>
      <c r="AM374" t="s">
        <v>93</v>
      </c>
      <c r="AN374" t="s">
        <v>1189</v>
      </c>
      <c r="AO374" t="s">
        <v>6535</v>
      </c>
      <c r="AP374" t="s">
        <v>6536</v>
      </c>
      <c r="AQ374" t="s">
        <v>74</v>
      </c>
      <c r="AR374" t="s">
        <v>6537</v>
      </c>
      <c r="AS374" t="s">
        <v>6538</v>
      </c>
      <c r="AT374" t="s">
        <v>6499</v>
      </c>
      <c r="AU374">
        <v>2023</v>
      </c>
      <c r="AV374" t="s">
        <v>74</v>
      </c>
      <c r="AW374" t="s">
        <v>74</v>
      </c>
      <c r="AX374" t="s">
        <v>74</v>
      </c>
      <c r="AY374" t="s">
        <v>74</v>
      </c>
      <c r="AZ374" t="s">
        <v>74</v>
      </c>
      <c r="BA374" t="s">
        <v>74</v>
      </c>
      <c r="BB374" t="s">
        <v>74</v>
      </c>
      <c r="BC374" t="s">
        <v>74</v>
      </c>
      <c r="BD374" t="s">
        <v>74</v>
      </c>
      <c r="BE374" t="s">
        <v>6539</v>
      </c>
      <c r="BF374" t="str">
        <f>HYPERLINK("http://dx.doi.org/10.1080/14763141.2023.2259356","http://dx.doi.org/10.1080/14763141.2023.2259356")</f>
        <v>http://dx.doi.org/10.1080/14763141.2023.2259356</v>
      </c>
      <c r="BG374" t="s">
        <v>74</v>
      </c>
      <c r="BH374" t="s">
        <v>5545</v>
      </c>
      <c r="BI374">
        <v>11</v>
      </c>
      <c r="BJ374" t="s">
        <v>6540</v>
      </c>
      <c r="BK374" t="s">
        <v>102</v>
      </c>
      <c r="BL374" t="s">
        <v>6541</v>
      </c>
      <c r="BM374" t="s">
        <v>6542</v>
      </c>
      <c r="BN374">
        <v>37722704</v>
      </c>
      <c r="BO374" t="s">
        <v>74</v>
      </c>
      <c r="BP374" t="s">
        <v>74</v>
      </c>
      <c r="BQ374" t="s">
        <v>74</v>
      </c>
      <c r="BR374" t="s">
        <v>105</v>
      </c>
      <c r="BS374" t="s">
        <v>6543</v>
      </c>
      <c r="BT374" t="str">
        <f>HYPERLINK("https%3A%2F%2Fwww.webofscience.com%2Fwos%2Fwoscc%2Ffull-record%2FWOS:001067390100001","View Full Record in Web of Science")</f>
        <v>View Full Record in Web of Science</v>
      </c>
    </row>
    <row r="375" spans="1:72" x14ac:dyDescent="0.15">
      <c r="A375" t="s">
        <v>72</v>
      </c>
      <c r="B375" t="s">
        <v>6544</v>
      </c>
      <c r="C375" t="s">
        <v>74</v>
      </c>
      <c r="D375" t="s">
        <v>74</v>
      </c>
      <c r="E375" t="s">
        <v>74</v>
      </c>
      <c r="F375" t="s">
        <v>6545</v>
      </c>
      <c r="G375" t="s">
        <v>74</v>
      </c>
      <c r="H375" t="s">
        <v>74</v>
      </c>
      <c r="I375" t="s">
        <v>6546</v>
      </c>
      <c r="J375" t="s">
        <v>6547</v>
      </c>
      <c r="K375" t="s">
        <v>74</v>
      </c>
      <c r="L375" t="s">
        <v>74</v>
      </c>
      <c r="M375" t="s">
        <v>78</v>
      </c>
      <c r="N375" t="s">
        <v>5492</v>
      </c>
      <c r="O375" t="s">
        <v>74</v>
      </c>
      <c r="P375" t="s">
        <v>74</v>
      </c>
      <c r="Q375" t="s">
        <v>74</v>
      </c>
      <c r="R375" t="s">
        <v>74</v>
      </c>
      <c r="S375" t="s">
        <v>74</v>
      </c>
      <c r="T375" t="s">
        <v>74</v>
      </c>
      <c r="U375" t="s">
        <v>6548</v>
      </c>
      <c r="V375" t="s">
        <v>6549</v>
      </c>
      <c r="W375" t="s">
        <v>6550</v>
      </c>
      <c r="X375" t="s">
        <v>6551</v>
      </c>
      <c r="Y375" t="s">
        <v>6552</v>
      </c>
      <c r="Z375" t="s">
        <v>6553</v>
      </c>
      <c r="AA375" t="s">
        <v>74</v>
      </c>
      <c r="AB375" t="s">
        <v>74</v>
      </c>
      <c r="AC375" t="s">
        <v>74</v>
      </c>
      <c r="AD375" t="s">
        <v>74</v>
      </c>
      <c r="AE375" t="s">
        <v>74</v>
      </c>
      <c r="AF375" t="s">
        <v>74</v>
      </c>
      <c r="AG375">
        <v>106</v>
      </c>
      <c r="AH375">
        <v>0</v>
      </c>
      <c r="AI375">
        <v>0</v>
      </c>
      <c r="AJ375">
        <v>0</v>
      </c>
      <c r="AK375">
        <v>0</v>
      </c>
      <c r="AL375" t="s">
        <v>1188</v>
      </c>
      <c r="AM375" t="s">
        <v>93</v>
      </c>
      <c r="AN375" t="s">
        <v>1189</v>
      </c>
      <c r="AO375" t="s">
        <v>6554</v>
      </c>
      <c r="AP375" t="s">
        <v>6555</v>
      </c>
      <c r="AQ375" t="s">
        <v>74</v>
      </c>
      <c r="AR375" t="s">
        <v>6556</v>
      </c>
      <c r="AS375" t="s">
        <v>6557</v>
      </c>
      <c r="AT375" t="s">
        <v>6499</v>
      </c>
      <c r="AU375">
        <v>2023</v>
      </c>
      <c r="AV375" t="s">
        <v>74</v>
      </c>
      <c r="AW375" t="s">
        <v>74</v>
      </c>
      <c r="AX375" t="s">
        <v>74</v>
      </c>
      <c r="AY375" t="s">
        <v>74</v>
      </c>
      <c r="AZ375" t="s">
        <v>74</v>
      </c>
      <c r="BA375" t="s">
        <v>74</v>
      </c>
      <c r="BB375" t="s">
        <v>74</v>
      </c>
      <c r="BC375" t="s">
        <v>74</v>
      </c>
      <c r="BD375" t="s">
        <v>74</v>
      </c>
      <c r="BE375" t="s">
        <v>6558</v>
      </c>
      <c r="BF375" t="str">
        <f>HYPERLINK("http://dx.doi.org/10.1080/10696679.2023.2248545","http://dx.doi.org/10.1080/10696679.2023.2248545")</f>
        <v>http://dx.doi.org/10.1080/10696679.2023.2248545</v>
      </c>
      <c r="BG375" t="s">
        <v>74</v>
      </c>
      <c r="BH375" t="s">
        <v>5545</v>
      </c>
      <c r="BI375">
        <v>14</v>
      </c>
      <c r="BJ375" t="s">
        <v>294</v>
      </c>
      <c r="BK375" t="s">
        <v>211</v>
      </c>
      <c r="BL375" t="s">
        <v>295</v>
      </c>
      <c r="BM375" t="s">
        <v>6559</v>
      </c>
      <c r="BN375" t="s">
        <v>74</v>
      </c>
      <c r="BO375" t="s">
        <v>74</v>
      </c>
      <c r="BP375" t="s">
        <v>74</v>
      </c>
      <c r="BQ375" t="s">
        <v>74</v>
      </c>
      <c r="BR375" t="s">
        <v>105</v>
      </c>
      <c r="BS375" t="s">
        <v>6560</v>
      </c>
      <c r="BT375" t="str">
        <f>HYPERLINK("https%3A%2F%2Fwww.webofscience.com%2Fwos%2Fwoscc%2Ffull-record%2FWOS:001068506500001","View Full Record in Web of Science")</f>
        <v>View Full Record in Web of Science</v>
      </c>
    </row>
    <row r="376" spans="1:72" x14ac:dyDescent="0.15">
      <c r="A376" t="s">
        <v>72</v>
      </c>
      <c r="B376" t="s">
        <v>6561</v>
      </c>
      <c r="C376" t="s">
        <v>74</v>
      </c>
      <c r="D376" t="s">
        <v>74</v>
      </c>
      <c r="E376" t="s">
        <v>74</v>
      </c>
      <c r="F376" t="s">
        <v>6562</v>
      </c>
      <c r="G376" t="s">
        <v>74</v>
      </c>
      <c r="H376" t="s">
        <v>74</v>
      </c>
      <c r="I376" t="s">
        <v>6563</v>
      </c>
      <c r="J376" t="s">
        <v>6564</v>
      </c>
      <c r="K376" t="s">
        <v>74</v>
      </c>
      <c r="L376" t="s">
        <v>74</v>
      </c>
      <c r="M376" t="s">
        <v>78</v>
      </c>
      <c r="N376" t="s">
        <v>5492</v>
      </c>
      <c r="O376" t="s">
        <v>74</v>
      </c>
      <c r="P376" t="s">
        <v>74</v>
      </c>
      <c r="Q376" t="s">
        <v>74</v>
      </c>
      <c r="R376" t="s">
        <v>74</v>
      </c>
      <c r="S376" t="s">
        <v>74</v>
      </c>
      <c r="T376" t="s">
        <v>6565</v>
      </c>
      <c r="U376" t="s">
        <v>6566</v>
      </c>
      <c r="V376" t="s">
        <v>6567</v>
      </c>
      <c r="W376" t="s">
        <v>6568</v>
      </c>
      <c r="X376" t="s">
        <v>6569</v>
      </c>
      <c r="Y376" t="s">
        <v>6570</v>
      </c>
      <c r="Z376" t="s">
        <v>6571</v>
      </c>
      <c r="AA376" t="s">
        <v>74</v>
      </c>
      <c r="AB376" t="s">
        <v>74</v>
      </c>
      <c r="AC376" t="s">
        <v>6572</v>
      </c>
      <c r="AD376" t="s">
        <v>6573</v>
      </c>
      <c r="AE376" t="s">
        <v>6574</v>
      </c>
      <c r="AF376" t="s">
        <v>74</v>
      </c>
      <c r="AG376">
        <v>15</v>
      </c>
      <c r="AH376">
        <v>0</v>
      </c>
      <c r="AI376">
        <v>0</v>
      </c>
      <c r="AJ376">
        <v>0</v>
      </c>
      <c r="AK376">
        <v>0</v>
      </c>
      <c r="AL376" t="s">
        <v>92</v>
      </c>
      <c r="AM376" t="s">
        <v>93</v>
      </c>
      <c r="AN376" t="s">
        <v>94</v>
      </c>
      <c r="AO376" t="s">
        <v>6575</v>
      </c>
      <c r="AP376" t="s">
        <v>6576</v>
      </c>
      <c r="AQ376" t="s">
        <v>74</v>
      </c>
      <c r="AR376" t="s">
        <v>6577</v>
      </c>
      <c r="AS376" t="s">
        <v>6578</v>
      </c>
      <c r="AT376" t="s">
        <v>6499</v>
      </c>
      <c r="AU376">
        <v>2023</v>
      </c>
      <c r="AV376" t="s">
        <v>74</v>
      </c>
      <c r="AW376" t="s">
        <v>74</v>
      </c>
      <c r="AX376" t="s">
        <v>74</v>
      </c>
      <c r="AY376" t="s">
        <v>74</v>
      </c>
      <c r="AZ376" t="s">
        <v>74</v>
      </c>
      <c r="BA376" t="s">
        <v>74</v>
      </c>
      <c r="BB376" t="s">
        <v>74</v>
      </c>
      <c r="BC376" t="s">
        <v>74</v>
      </c>
      <c r="BD376" t="s">
        <v>74</v>
      </c>
      <c r="BE376" t="s">
        <v>6579</v>
      </c>
      <c r="BF376" t="str">
        <f>HYPERLINK("http://dx.doi.org/10.1080/14786419.2023.2261067","http://dx.doi.org/10.1080/14786419.2023.2261067")</f>
        <v>http://dx.doi.org/10.1080/14786419.2023.2261067</v>
      </c>
      <c r="BG376" t="s">
        <v>74</v>
      </c>
      <c r="BH376" t="s">
        <v>5545</v>
      </c>
      <c r="BI376">
        <v>5</v>
      </c>
      <c r="BJ376" t="s">
        <v>6580</v>
      </c>
      <c r="BK376" t="s">
        <v>102</v>
      </c>
      <c r="BL376" t="s">
        <v>6581</v>
      </c>
      <c r="BM376" t="s">
        <v>6582</v>
      </c>
      <c r="BN376">
        <v>37737157</v>
      </c>
      <c r="BO376" t="s">
        <v>74</v>
      </c>
      <c r="BP376" t="s">
        <v>74</v>
      </c>
      <c r="BQ376" t="s">
        <v>74</v>
      </c>
      <c r="BR376" t="s">
        <v>105</v>
      </c>
      <c r="BS376" t="s">
        <v>6583</v>
      </c>
      <c r="BT376" t="str">
        <f>HYPERLINK("https%3A%2F%2Fwww.webofscience.com%2Fwos%2Fwoscc%2Ffull-record%2FWOS:001071637100001","View Full Record in Web of Science")</f>
        <v>View Full Record in Web of Science</v>
      </c>
    </row>
    <row r="377" spans="1:72" x14ac:dyDescent="0.15">
      <c r="A377" t="s">
        <v>72</v>
      </c>
      <c r="B377" t="s">
        <v>6584</v>
      </c>
      <c r="C377" t="s">
        <v>74</v>
      </c>
      <c r="D377" t="s">
        <v>74</v>
      </c>
      <c r="E377" t="s">
        <v>74</v>
      </c>
      <c r="F377" t="s">
        <v>6585</v>
      </c>
      <c r="G377" t="s">
        <v>74</v>
      </c>
      <c r="H377" t="s">
        <v>74</v>
      </c>
      <c r="I377" t="s">
        <v>6586</v>
      </c>
      <c r="J377" t="s">
        <v>6587</v>
      </c>
      <c r="K377" t="s">
        <v>74</v>
      </c>
      <c r="L377" t="s">
        <v>74</v>
      </c>
      <c r="M377" t="s">
        <v>78</v>
      </c>
      <c r="N377" t="s">
        <v>5492</v>
      </c>
      <c r="O377" t="s">
        <v>74</v>
      </c>
      <c r="P377" t="s">
        <v>74</v>
      </c>
      <c r="Q377" t="s">
        <v>74</v>
      </c>
      <c r="R377" t="s">
        <v>74</v>
      </c>
      <c r="S377" t="s">
        <v>74</v>
      </c>
      <c r="T377" t="s">
        <v>6588</v>
      </c>
      <c r="U377" t="s">
        <v>6589</v>
      </c>
      <c r="V377" t="s">
        <v>6590</v>
      </c>
      <c r="W377" t="s">
        <v>6591</v>
      </c>
      <c r="X377" t="s">
        <v>6592</v>
      </c>
      <c r="Y377" t="s">
        <v>6593</v>
      </c>
      <c r="Z377" t="s">
        <v>6594</v>
      </c>
      <c r="AA377" t="s">
        <v>6595</v>
      </c>
      <c r="AB377" t="s">
        <v>74</v>
      </c>
      <c r="AC377" t="s">
        <v>6596</v>
      </c>
      <c r="AD377" t="s">
        <v>6596</v>
      </c>
      <c r="AE377" t="s">
        <v>6597</v>
      </c>
      <c r="AF377" t="s">
        <v>74</v>
      </c>
      <c r="AG377">
        <v>47</v>
      </c>
      <c r="AH377">
        <v>0</v>
      </c>
      <c r="AI377">
        <v>0</v>
      </c>
      <c r="AJ377">
        <v>0</v>
      </c>
      <c r="AK377">
        <v>0</v>
      </c>
      <c r="AL377" t="s">
        <v>92</v>
      </c>
      <c r="AM377" t="s">
        <v>93</v>
      </c>
      <c r="AN377" t="s">
        <v>94</v>
      </c>
      <c r="AO377" t="s">
        <v>6598</v>
      </c>
      <c r="AP377" t="s">
        <v>6599</v>
      </c>
      <c r="AQ377" t="s">
        <v>74</v>
      </c>
      <c r="AR377" t="s">
        <v>6600</v>
      </c>
      <c r="AS377" t="s">
        <v>6601</v>
      </c>
      <c r="AT377" t="s">
        <v>6602</v>
      </c>
      <c r="AU377">
        <v>2023</v>
      </c>
      <c r="AV377" t="s">
        <v>74</v>
      </c>
      <c r="AW377" t="s">
        <v>74</v>
      </c>
      <c r="AX377" t="s">
        <v>74</v>
      </c>
      <c r="AY377" t="s">
        <v>74</v>
      </c>
      <c r="AZ377" t="s">
        <v>74</v>
      </c>
      <c r="BA377" t="s">
        <v>74</v>
      </c>
      <c r="BB377" t="s">
        <v>74</v>
      </c>
      <c r="BC377" t="s">
        <v>74</v>
      </c>
      <c r="BD377" t="s">
        <v>74</v>
      </c>
      <c r="BE377" t="s">
        <v>6603</v>
      </c>
      <c r="BF377" t="str">
        <f>HYPERLINK("http://dx.doi.org/10.1080/14498596.2023.2250749","http://dx.doi.org/10.1080/14498596.2023.2250749")</f>
        <v>http://dx.doi.org/10.1080/14498596.2023.2250749</v>
      </c>
      <c r="BG377" t="s">
        <v>74</v>
      </c>
      <c r="BH377" t="s">
        <v>5545</v>
      </c>
      <c r="BI377">
        <v>19</v>
      </c>
      <c r="BJ377" t="s">
        <v>542</v>
      </c>
      <c r="BK377" t="s">
        <v>102</v>
      </c>
      <c r="BL377" t="s">
        <v>543</v>
      </c>
      <c r="BM377" t="s">
        <v>6604</v>
      </c>
      <c r="BN377" t="s">
        <v>74</v>
      </c>
      <c r="BO377" t="s">
        <v>74</v>
      </c>
      <c r="BP377" t="s">
        <v>74</v>
      </c>
      <c r="BQ377" t="s">
        <v>74</v>
      </c>
      <c r="BR377" t="s">
        <v>105</v>
      </c>
      <c r="BS377" t="s">
        <v>6605</v>
      </c>
      <c r="BT377" t="str">
        <f>HYPERLINK("https%3A%2F%2Fwww.webofscience.com%2Fwos%2Fwoscc%2Ffull-record%2FWOS:001067375600001","View Full Record in Web of Science")</f>
        <v>View Full Record in Web of Science</v>
      </c>
    </row>
    <row r="378" spans="1:72" x14ac:dyDescent="0.15">
      <c r="A378" t="s">
        <v>72</v>
      </c>
      <c r="B378" t="s">
        <v>6606</v>
      </c>
      <c r="C378" t="s">
        <v>74</v>
      </c>
      <c r="D378" t="s">
        <v>74</v>
      </c>
      <c r="E378" t="s">
        <v>74</v>
      </c>
      <c r="F378" t="s">
        <v>6607</v>
      </c>
      <c r="G378" t="s">
        <v>74</v>
      </c>
      <c r="H378" t="s">
        <v>74</v>
      </c>
      <c r="I378" t="s">
        <v>6608</v>
      </c>
      <c r="J378" t="s">
        <v>6609</v>
      </c>
      <c r="K378" t="s">
        <v>74</v>
      </c>
      <c r="L378" t="s">
        <v>74</v>
      </c>
      <c r="M378" t="s">
        <v>78</v>
      </c>
      <c r="N378" t="s">
        <v>5492</v>
      </c>
      <c r="O378" t="s">
        <v>74</v>
      </c>
      <c r="P378" t="s">
        <v>74</v>
      </c>
      <c r="Q378" t="s">
        <v>74</v>
      </c>
      <c r="R378" t="s">
        <v>74</v>
      </c>
      <c r="S378" t="s">
        <v>74</v>
      </c>
      <c r="T378" t="s">
        <v>6610</v>
      </c>
      <c r="U378" t="s">
        <v>6611</v>
      </c>
      <c r="V378" t="s">
        <v>6612</v>
      </c>
      <c r="W378" t="s">
        <v>6613</v>
      </c>
      <c r="X378" t="s">
        <v>6614</v>
      </c>
      <c r="Y378" t="s">
        <v>6615</v>
      </c>
      <c r="Z378" t="s">
        <v>6616</v>
      </c>
      <c r="AA378" t="s">
        <v>74</v>
      </c>
      <c r="AB378" t="s">
        <v>74</v>
      </c>
      <c r="AC378" t="s">
        <v>6617</v>
      </c>
      <c r="AD378" t="s">
        <v>6617</v>
      </c>
      <c r="AE378" t="s">
        <v>6618</v>
      </c>
      <c r="AF378" t="s">
        <v>74</v>
      </c>
      <c r="AG378">
        <v>46</v>
      </c>
      <c r="AH378">
        <v>0</v>
      </c>
      <c r="AI378">
        <v>0</v>
      </c>
      <c r="AJ378">
        <v>1</v>
      </c>
      <c r="AK378">
        <v>1</v>
      </c>
      <c r="AL378" t="s">
        <v>184</v>
      </c>
      <c r="AM378" t="s">
        <v>185</v>
      </c>
      <c r="AN378" t="s">
        <v>186</v>
      </c>
      <c r="AO378" t="s">
        <v>6619</v>
      </c>
      <c r="AP378" t="s">
        <v>6620</v>
      </c>
      <c r="AQ378" t="s">
        <v>74</v>
      </c>
      <c r="AR378" t="s">
        <v>6621</v>
      </c>
      <c r="AS378" t="s">
        <v>6622</v>
      </c>
      <c r="AT378" t="s">
        <v>6602</v>
      </c>
      <c r="AU378">
        <v>2023</v>
      </c>
      <c r="AV378" t="s">
        <v>74</v>
      </c>
      <c r="AW378" t="s">
        <v>74</v>
      </c>
      <c r="AX378" t="s">
        <v>74</v>
      </c>
      <c r="AY378" t="s">
        <v>74</v>
      </c>
      <c r="AZ378" t="s">
        <v>74</v>
      </c>
      <c r="BA378" t="s">
        <v>74</v>
      </c>
      <c r="BB378" t="s">
        <v>74</v>
      </c>
      <c r="BC378" t="s">
        <v>74</v>
      </c>
      <c r="BD378" t="s">
        <v>74</v>
      </c>
      <c r="BE378" t="s">
        <v>6623</v>
      </c>
      <c r="BF378" t="str">
        <f>HYPERLINK("http://dx.doi.org/10.1080/26408066.2023.2257174","http://dx.doi.org/10.1080/26408066.2023.2257174")</f>
        <v>http://dx.doi.org/10.1080/26408066.2023.2257174</v>
      </c>
      <c r="BG378" t="s">
        <v>74</v>
      </c>
      <c r="BH378" t="s">
        <v>5545</v>
      </c>
      <c r="BI378">
        <v>18</v>
      </c>
      <c r="BJ378" t="s">
        <v>5869</v>
      </c>
      <c r="BK378" t="s">
        <v>211</v>
      </c>
      <c r="BL378" t="s">
        <v>5869</v>
      </c>
      <c r="BM378" t="s">
        <v>6624</v>
      </c>
      <c r="BN378">
        <v>37712670</v>
      </c>
      <c r="BO378" t="s">
        <v>887</v>
      </c>
      <c r="BP378" t="s">
        <v>74</v>
      </c>
      <c r="BQ378" t="s">
        <v>74</v>
      </c>
      <c r="BR378" t="s">
        <v>105</v>
      </c>
      <c r="BS378" t="s">
        <v>6625</v>
      </c>
      <c r="BT378" t="str">
        <f>HYPERLINK("https%3A%2F%2Fwww.webofscience.com%2Fwos%2Fwoscc%2Ffull-record%2FWOS:001066698700001","View Full Record in Web of Science")</f>
        <v>View Full Record in Web of Science</v>
      </c>
    </row>
    <row r="379" spans="1:72" x14ac:dyDescent="0.15">
      <c r="A379" t="s">
        <v>72</v>
      </c>
      <c r="B379" t="s">
        <v>6626</v>
      </c>
      <c r="C379" t="s">
        <v>74</v>
      </c>
      <c r="D379" t="s">
        <v>74</v>
      </c>
      <c r="E379" t="s">
        <v>74</v>
      </c>
      <c r="F379" t="s">
        <v>6627</v>
      </c>
      <c r="G379" t="s">
        <v>74</v>
      </c>
      <c r="H379" t="s">
        <v>74</v>
      </c>
      <c r="I379" t="s">
        <v>6628</v>
      </c>
      <c r="J379" t="s">
        <v>6629</v>
      </c>
      <c r="K379" t="s">
        <v>74</v>
      </c>
      <c r="L379" t="s">
        <v>74</v>
      </c>
      <c r="M379" t="s">
        <v>78</v>
      </c>
      <c r="N379" t="s">
        <v>5492</v>
      </c>
      <c r="O379" t="s">
        <v>74</v>
      </c>
      <c r="P379" t="s">
        <v>74</v>
      </c>
      <c r="Q379" t="s">
        <v>74</v>
      </c>
      <c r="R379" t="s">
        <v>74</v>
      </c>
      <c r="S379" t="s">
        <v>74</v>
      </c>
      <c r="T379" t="s">
        <v>6630</v>
      </c>
      <c r="U379" t="s">
        <v>6631</v>
      </c>
      <c r="V379" t="s">
        <v>6632</v>
      </c>
      <c r="W379" t="s">
        <v>6633</v>
      </c>
      <c r="X379" t="s">
        <v>6634</v>
      </c>
      <c r="Y379" t="s">
        <v>6635</v>
      </c>
      <c r="Z379" t="s">
        <v>6636</v>
      </c>
      <c r="AA379" t="s">
        <v>74</v>
      </c>
      <c r="AB379" t="s">
        <v>74</v>
      </c>
      <c r="AC379" t="s">
        <v>6637</v>
      </c>
      <c r="AD379" t="s">
        <v>6638</v>
      </c>
      <c r="AE379" t="s">
        <v>6639</v>
      </c>
      <c r="AF379" t="s">
        <v>74</v>
      </c>
      <c r="AG379">
        <v>23</v>
      </c>
      <c r="AH379">
        <v>0</v>
      </c>
      <c r="AI379">
        <v>0</v>
      </c>
      <c r="AJ379">
        <v>0</v>
      </c>
      <c r="AK379">
        <v>0</v>
      </c>
      <c r="AL379" t="s">
        <v>184</v>
      </c>
      <c r="AM379" t="s">
        <v>185</v>
      </c>
      <c r="AN379" t="s">
        <v>186</v>
      </c>
      <c r="AO379" t="s">
        <v>6640</v>
      </c>
      <c r="AP379" t="s">
        <v>6641</v>
      </c>
      <c r="AQ379" t="s">
        <v>74</v>
      </c>
      <c r="AR379" t="s">
        <v>6642</v>
      </c>
      <c r="AS379" t="s">
        <v>6643</v>
      </c>
      <c r="AT379" t="s">
        <v>6644</v>
      </c>
      <c r="AU379">
        <v>2023</v>
      </c>
      <c r="AV379" t="s">
        <v>74</v>
      </c>
      <c r="AW379" t="s">
        <v>74</v>
      </c>
      <c r="AX379" t="s">
        <v>74</v>
      </c>
      <c r="AY379" t="s">
        <v>74</v>
      </c>
      <c r="AZ379" t="s">
        <v>74</v>
      </c>
      <c r="BA379" t="s">
        <v>74</v>
      </c>
      <c r="BB379" t="s">
        <v>74</v>
      </c>
      <c r="BC379" t="s">
        <v>74</v>
      </c>
      <c r="BD379" t="s">
        <v>74</v>
      </c>
      <c r="BE379" t="s">
        <v>6645</v>
      </c>
      <c r="BF379" t="str">
        <f>HYPERLINK("http://dx.doi.org/10.1080/03610926.2023.2258428","http://dx.doi.org/10.1080/03610926.2023.2258428")</f>
        <v>http://dx.doi.org/10.1080/03610926.2023.2258428</v>
      </c>
      <c r="BG379" t="s">
        <v>74</v>
      </c>
      <c r="BH379" t="s">
        <v>5545</v>
      </c>
      <c r="BI379">
        <v>17</v>
      </c>
      <c r="BJ379" t="s">
        <v>5630</v>
      </c>
      <c r="BK379" t="s">
        <v>102</v>
      </c>
      <c r="BL379" t="s">
        <v>5435</v>
      </c>
      <c r="BM379" t="s">
        <v>6646</v>
      </c>
      <c r="BN379" t="s">
        <v>74</v>
      </c>
      <c r="BO379" t="s">
        <v>74</v>
      </c>
      <c r="BP379" t="s">
        <v>74</v>
      </c>
      <c r="BQ379" t="s">
        <v>74</v>
      </c>
      <c r="BR379" t="s">
        <v>105</v>
      </c>
      <c r="BS379" t="s">
        <v>6647</v>
      </c>
      <c r="BT379" t="str">
        <f>HYPERLINK("https%3A%2F%2Fwww.webofscience.com%2Fwos%2Fwoscc%2Ffull-record%2FWOS:001068318800001","View Full Record in Web of Science")</f>
        <v>View Full Record in Web of Science</v>
      </c>
    </row>
    <row r="380" spans="1:72" x14ac:dyDescent="0.15">
      <c r="A380" t="s">
        <v>72</v>
      </c>
      <c r="B380" t="s">
        <v>6648</v>
      </c>
      <c r="C380" t="s">
        <v>74</v>
      </c>
      <c r="D380" t="s">
        <v>74</v>
      </c>
      <c r="E380" t="s">
        <v>74</v>
      </c>
      <c r="F380" t="s">
        <v>6649</v>
      </c>
      <c r="G380" t="s">
        <v>74</v>
      </c>
      <c r="H380" t="s">
        <v>74</v>
      </c>
      <c r="I380" t="s">
        <v>6650</v>
      </c>
      <c r="J380" t="s">
        <v>6651</v>
      </c>
      <c r="K380" t="s">
        <v>74</v>
      </c>
      <c r="L380" t="s">
        <v>74</v>
      </c>
      <c r="M380" t="s">
        <v>78</v>
      </c>
      <c r="N380" t="s">
        <v>5492</v>
      </c>
      <c r="O380" t="s">
        <v>74</v>
      </c>
      <c r="P380" t="s">
        <v>74</v>
      </c>
      <c r="Q380" t="s">
        <v>74</v>
      </c>
      <c r="R380" t="s">
        <v>74</v>
      </c>
      <c r="S380" t="s">
        <v>74</v>
      </c>
      <c r="T380" t="s">
        <v>74</v>
      </c>
      <c r="U380" t="s">
        <v>6652</v>
      </c>
      <c r="V380" t="s">
        <v>6653</v>
      </c>
      <c r="W380" t="s">
        <v>6654</v>
      </c>
      <c r="X380" t="s">
        <v>6655</v>
      </c>
      <c r="Y380" t="s">
        <v>6656</v>
      </c>
      <c r="Z380" t="s">
        <v>6657</v>
      </c>
      <c r="AA380" t="s">
        <v>74</v>
      </c>
      <c r="AB380" t="s">
        <v>74</v>
      </c>
      <c r="AC380" t="s">
        <v>74</v>
      </c>
      <c r="AD380" t="s">
        <v>74</v>
      </c>
      <c r="AE380" t="s">
        <v>74</v>
      </c>
      <c r="AF380" t="s">
        <v>74</v>
      </c>
      <c r="AG380">
        <v>47</v>
      </c>
      <c r="AH380">
        <v>0</v>
      </c>
      <c r="AI380">
        <v>0</v>
      </c>
      <c r="AJ380">
        <v>0</v>
      </c>
      <c r="AK380">
        <v>0</v>
      </c>
      <c r="AL380" t="s">
        <v>1188</v>
      </c>
      <c r="AM380" t="s">
        <v>93</v>
      </c>
      <c r="AN380" t="s">
        <v>1189</v>
      </c>
      <c r="AO380" t="s">
        <v>6658</v>
      </c>
      <c r="AP380" t="s">
        <v>6659</v>
      </c>
      <c r="AQ380" t="s">
        <v>74</v>
      </c>
      <c r="AR380" t="s">
        <v>6660</v>
      </c>
      <c r="AS380" t="s">
        <v>6661</v>
      </c>
      <c r="AT380" t="s">
        <v>6644</v>
      </c>
      <c r="AU380">
        <v>2023</v>
      </c>
      <c r="AV380" t="s">
        <v>74</v>
      </c>
      <c r="AW380" t="s">
        <v>74</v>
      </c>
      <c r="AX380" t="s">
        <v>74</v>
      </c>
      <c r="AY380" t="s">
        <v>74</v>
      </c>
      <c r="AZ380" t="s">
        <v>74</v>
      </c>
      <c r="BA380" t="s">
        <v>74</v>
      </c>
      <c r="BB380" t="s">
        <v>74</v>
      </c>
      <c r="BC380" t="s">
        <v>74</v>
      </c>
      <c r="BD380" t="s">
        <v>74</v>
      </c>
      <c r="BE380" t="s">
        <v>6662</v>
      </c>
      <c r="BF380" t="str">
        <f>HYPERLINK("http://dx.doi.org/10.1080/15348431.2023.2256852","http://dx.doi.org/10.1080/15348431.2023.2256852")</f>
        <v>http://dx.doi.org/10.1080/15348431.2023.2256852</v>
      </c>
      <c r="BG380" t="s">
        <v>74</v>
      </c>
      <c r="BH380" t="s">
        <v>5545</v>
      </c>
      <c r="BI380">
        <v>12</v>
      </c>
      <c r="BJ380" t="s">
        <v>271</v>
      </c>
      <c r="BK380" t="s">
        <v>211</v>
      </c>
      <c r="BL380" t="s">
        <v>271</v>
      </c>
      <c r="BM380" t="s">
        <v>6663</v>
      </c>
      <c r="BN380" t="s">
        <v>74</v>
      </c>
      <c r="BO380" t="s">
        <v>74</v>
      </c>
      <c r="BP380" t="s">
        <v>74</v>
      </c>
      <c r="BQ380" t="s">
        <v>74</v>
      </c>
      <c r="BR380" t="s">
        <v>105</v>
      </c>
      <c r="BS380" t="s">
        <v>6664</v>
      </c>
      <c r="BT380" t="str">
        <f>HYPERLINK("https%3A%2F%2Fwww.webofscience.com%2Fwos%2Fwoscc%2Ffull-record%2FWOS:001067993100001","View Full Record in Web of Science")</f>
        <v>View Full Record in Web of Science</v>
      </c>
    </row>
    <row r="381" spans="1:72" x14ac:dyDescent="0.15">
      <c r="A381" t="s">
        <v>72</v>
      </c>
      <c r="B381" t="s">
        <v>6665</v>
      </c>
      <c r="C381" t="s">
        <v>74</v>
      </c>
      <c r="D381" t="s">
        <v>74</v>
      </c>
      <c r="E381" t="s">
        <v>74</v>
      </c>
      <c r="F381" t="s">
        <v>6666</v>
      </c>
      <c r="G381" t="s">
        <v>74</v>
      </c>
      <c r="H381" t="s">
        <v>74</v>
      </c>
      <c r="I381" t="s">
        <v>6667</v>
      </c>
      <c r="J381" t="s">
        <v>6668</v>
      </c>
      <c r="K381" t="s">
        <v>74</v>
      </c>
      <c r="L381" t="s">
        <v>74</v>
      </c>
      <c r="M381" t="s">
        <v>78</v>
      </c>
      <c r="N381" t="s">
        <v>5492</v>
      </c>
      <c r="O381" t="s">
        <v>74</v>
      </c>
      <c r="P381" t="s">
        <v>74</v>
      </c>
      <c r="Q381" t="s">
        <v>74</v>
      </c>
      <c r="R381" t="s">
        <v>74</v>
      </c>
      <c r="S381" t="s">
        <v>74</v>
      </c>
      <c r="T381" t="s">
        <v>6669</v>
      </c>
      <c r="U381" t="s">
        <v>6670</v>
      </c>
      <c r="V381" t="s">
        <v>6671</v>
      </c>
      <c r="W381" t="s">
        <v>6672</v>
      </c>
      <c r="X381" t="s">
        <v>6673</v>
      </c>
      <c r="Y381" t="s">
        <v>6674</v>
      </c>
      <c r="Z381" t="s">
        <v>6675</v>
      </c>
      <c r="AA381" t="s">
        <v>6676</v>
      </c>
      <c r="AB381" t="s">
        <v>6677</v>
      </c>
      <c r="AC381" t="s">
        <v>6678</v>
      </c>
      <c r="AD381" t="s">
        <v>6678</v>
      </c>
      <c r="AE381" t="s">
        <v>6678</v>
      </c>
      <c r="AF381" t="s">
        <v>74</v>
      </c>
      <c r="AG381">
        <v>58</v>
      </c>
      <c r="AH381">
        <v>0</v>
      </c>
      <c r="AI381">
        <v>0</v>
      </c>
      <c r="AJ381">
        <v>1</v>
      </c>
      <c r="AK381">
        <v>1</v>
      </c>
      <c r="AL381" t="s">
        <v>1188</v>
      </c>
      <c r="AM381" t="s">
        <v>93</v>
      </c>
      <c r="AN381" t="s">
        <v>1189</v>
      </c>
      <c r="AO381" t="s">
        <v>6679</v>
      </c>
      <c r="AP381" t="s">
        <v>6680</v>
      </c>
      <c r="AQ381" t="s">
        <v>74</v>
      </c>
      <c r="AR381" t="s">
        <v>6681</v>
      </c>
      <c r="AS381" t="s">
        <v>6682</v>
      </c>
      <c r="AT381" t="s">
        <v>6644</v>
      </c>
      <c r="AU381">
        <v>2023</v>
      </c>
      <c r="AV381" t="s">
        <v>74</v>
      </c>
      <c r="AW381" t="s">
        <v>74</v>
      </c>
      <c r="AX381" t="s">
        <v>74</v>
      </c>
      <c r="AY381" t="s">
        <v>74</v>
      </c>
      <c r="AZ381" t="s">
        <v>74</v>
      </c>
      <c r="BA381" t="s">
        <v>74</v>
      </c>
      <c r="BB381" t="s">
        <v>74</v>
      </c>
      <c r="BC381" t="s">
        <v>74</v>
      </c>
      <c r="BD381" t="s">
        <v>74</v>
      </c>
      <c r="BE381" t="s">
        <v>6683</v>
      </c>
      <c r="BF381" t="str">
        <f>HYPERLINK("http://dx.doi.org/10.1080/17408989.2023.2256771","http://dx.doi.org/10.1080/17408989.2023.2256771")</f>
        <v>http://dx.doi.org/10.1080/17408989.2023.2256771</v>
      </c>
      <c r="BG381" t="s">
        <v>74</v>
      </c>
      <c r="BH381" t="s">
        <v>5545</v>
      </c>
      <c r="BI381">
        <v>16</v>
      </c>
      <c r="BJ381" t="s">
        <v>271</v>
      </c>
      <c r="BK381" t="s">
        <v>272</v>
      </c>
      <c r="BL381" t="s">
        <v>271</v>
      </c>
      <c r="BM381" t="s">
        <v>6684</v>
      </c>
      <c r="BN381" t="s">
        <v>74</v>
      </c>
      <c r="BO381" t="s">
        <v>887</v>
      </c>
      <c r="BP381" t="s">
        <v>74</v>
      </c>
      <c r="BQ381" t="s">
        <v>74</v>
      </c>
      <c r="BR381" t="s">
        <v>105</v>
      </c>
      <c r="BS381" t="s">
        <v>6685</v>
      </c>
      <c r="BT381" t="str">
        <f>HYPERLINK("https%3A%2F%2Fwww.webofscience.com%2Fwos%2Fwoscc%2Ffull-record%2FWOS:001067313700001","View Full Record in Web of Science")</f>
        <v>View Full Record in Web of Science</v>
      </c>
    </row>
    <row r="382" spans="1:72" x14ac:dyDescent="0.15">
      <c r="A382" t="s">
        <v>72</v>
      </c>
      <c r="B382" t="s">
        <v>6686</v>
      </c>
      <c r="C382" t="s">
        <v>74</v>
      </c>
      <c r="D382" t="s">
        <v>74</v>
      </c>
      <c r="E382" t="s">
        <v>74</v>
      </c>
      <c r="F382" t="s">
        <v>6687</v>
      </c>
      <c r="G382" t="s">
        <v>74</v>
      </c>
      <c r="H382" t="s">
        <v>74</v>
      </c>
      <c r="I382" t="s">
        <v>6688</v>
      </c>
      <c r="J382" t="s">
        <v>6689</v>
      </c>
      <c r="K382" t="s">
        <v>74</v>
      </c>
      <c r="L382" t="s">
        <v>74</v>
      </c>
      <c r="M382" t="s">
        <v>78</v>
      </c>
      <c r="N382" t="s">
        <v>5492</v>
      </c>
      <c r="O382" t="s">
        <v>74</v>
      </c>
      <c r="P382" t="s">
        <v>74</v>
      </c>
      <c r="Q382" t="s">
        <v>74</v>
      </c>
      <c r="R382" t="s">
        <v>74</v>
      </c>
      <c r="S382" t="s">
        <v>74</v>
      </c>
      <c r="T382" t="s">
        <v>6690</v>
      </c>
      <c r="U382" t="s">
        <v>6691</v>
      </c>
      <c r="V382" t="s">
        <v>6692</v>
      </c>
      <c r="W382" t="s">
        <v>6693</v>
      </c>
      <c r="X382" t="s">
        <v>6694</v>
      </c>
      <c r="Y382" t="s">
        <v>6695</v>
      </c>
      <c r="Z382" t="s">
        <v>6696</v>
      </c>
      <c r="AA382" t="s">
        <v>74</v>
      </c>
      <c r="AB382" t="s">
        <v>74</v>
      </c>
      <c r="AC382" t="s">
        <v>74</v>
      </c>
      <c r="AD382" t="s">
        <v>74</v>
      </c>
      <c r="AE382" t="s">
        <v>74</v>
      </c>
      <c r="AF382" t="s">
        <v>74</v>
      </c>
      <c r="AG382">
        <v>93</v>
      </c>
      <c r="AH382">
        <v>0</v>
      </c>
      <c r="AI382">
        <v>0</v>
      </c>
      <c r="AJ382">
        <v>0</v>
      </c>
      <c r="AK382">
        <v>0</v>
      </c>
      <c r="AL382" t="s">
        <v>1188</v>
      </c>
      <c r="AM382" t="s">
        <v>93</v>
      </c>
      <c r="AN382" t="s">
        <v>1189</v>
      </c>
      <c r="AO382" t="s">
        <v>6697</v>
      </c>
      <c r="AP382" t="s">
        <v>6698</v>
      </c>
      <c r="AQ382" t="s">
        <v>74</v>
      </c>
      <c r="AR382" t="s">
        <v>6699</v>
      </c>
      <c r="AS382" t="s">
        <v>6700</v>
      </c>
      <c r="AT382" t="s">
        <v>6644</v>
      </c>
      <c r="AU382">
        <v>2023</v>
      </c>
      <c r="AV382" t="s">
        <v>74</v>
      </c>
      <c r="AW382" t="s">
        <v>74</v>
      </c>
      <c r="AX382" t="s">
        <v>74</v>
      </c>
      <c r="AY382" t="s">
        <v>74</v>
      </c>
      <c r="AZ382" t="s">
        <v>74</v>
      </c>
      <c r="BA382" t="s">
        <v>74</v>
      </c>
      <c r="BB382" t="s">
        <v>74</v>
      </c>
      <c r="BC382" t="s">
        <v>74</v>
      </c>
      <c r="BD382" t="s">
        <v>74</v>
      </c>
      <c r="BE382" t="s">
        <v>6701</v>
      </c>
      <c r="BF382" t="str">
        <f>HYPERLINK("http://dx.doi.org/10.1080/00208825.2023.2257537","http://dx.doi.org/10.1080/00208825.2023.2257537")</f>
        <v>http://dx.doi.org/10.1080/00208825.2023.2257537</v>
      </c>
      <c r="BG382" t="s">
        <v>74</v>
      </c>
      <c r="BH382" t="s">
        <v>5545</v>
      </c>
      <c r="BI382">
        <v>22</v>
      </c>
      <c r="BJ382" t="s">
        <v>6702</v>
      </c>
      <c r="BK382" t="s">
        <v>211</v>
      </c>
      <c r="BL382" t="s">
        <v>295</v>
      </c>
      <c r="BM382" t="s">
        <v>6703</v>
      </c>
      <c r="BN382" t="s">
        <v>74</v>
      </c>
      <c r="BO382" t="s">
        <v>74</v>
      </c>
      <c r="BP382" t="s">
        <v>74</v>
      </c>
      <c r="BQ382" t="s">
        <v>74</v>
      </c>
      <c r="BR382" t="s">
        <v>105</v>
      </c>
      <c r="BS382" t="s">
        <v>6704</v>
      </c>
      <c r="BT382" t="str">
        <f>HYPERLINK("https%3A%2F%2Fwww.webofscience.com%2Fwos%2Fwoscc%2Ffull-record%2FWOS:001068356200001","View Full Record in Web of Science")</f>
        <v>View Full Record in Web of Science</v>
      </c>
    </row>
    <row r="383" spans="1:72" x14ac:dyDescent="0.15">
      <c r="A383" t="s">
        <v>72</v>
      </c>
      <c r="B383" t="s">
        <v>6705</v>
      </c>
      <c r="C383" t="s">
        <v>74</v>
      </c>
      <c r="D383" t="s">
        <v>74</v>
      </c>
      <c r="E383" t="s">
        <v>74</v>
      </c>
      <c r="F383" t="s">
        <v>6706</v>
      </c>
      <c r="G383" t="s">
        <v>74</v>
      </c>
      <c r="H383" t="s">
        <v>74</v>
      </c>
      <c r="I383" t="s">
        <v>6707</v>
      </c>
      <c r="J383" t="s">
        <v>6011</v>
      </c>
      <c r="K383" t="s">
        <v>74</v>
      </c>
      <c r="L383" t="s">
        <v>74</v>
      </c>
      <c r="M383" t="s">
        <v>78</v>
      </c>
      <c r="N383" t="s">
        <v>5492</v>
      </c>
      <c r="O383" t="s">
        <v>74</v>
      </c>
      <c r="P383" t="s">
        <v>74</v>
      </c>
      <c r="Q383" t="s">
        <v>74</v>
      </c>
      <c r="R383" t="s">
        <v>74</v>
      </c>
      <c r="S383" t="s">
        <v>74</v>
      </c>
      <c r="T383" t="s">
        <v>6708</v>
      </c>
      <c r="U383" t="s">
        <v>6709</v>
      </c>
      <c r="V383" t="s">
        <v>6710</v>
      </c>
      <c r="W383" t="s">
        <v>6711</v>
      </c>
      <c r="X383" t="s">
        <v>6712</v>
      </c>
      <c r="Y383" t="s">
        <v>6713</v>
      </c>
      <c r="Z383" t="s">
        <v>6714</v>
      </c>
      <c r="AA383" t="s">
        <v>74</v>
      </c>
      <c r="AB383" t="s">
        <v>6715</v>
      </c>
      <c r="AC383" t="s">
        <v>6716</v>
      </c>
      <c r="AD383" t="s">
        <v>6717</v>
      </c>
      <c r="AE383" t="s">
        <v>6718</v>
      </c>
      <c r="AF383" t="s">
        <v>74</v>
      </c>
      <c r="AG383">
        <v>53</v>
      </c>
      <c r="AH383">
        <v>0</v>
      </c>
      <c r="AI383">
        <v>0</v>
      </c>
      <c r="AJ383">
        <v>0</v>
      </c>
      <c r="AK383">
        <v>0</v>
      </c>
      <c r="AL383" t="s">
        <v>184</v>
      </c>
      <c r="AM383" t="s">
        <v>185</v>
      </c>
      <c r="AN383" t="s">
        <v>186</v>
      </c>
      <c r="AO383" t="s">
        <v>6018</v>
      </c>
      <c r="AP383" t="s">
        <v>6019</v>
      </c>
      <c r="AQ383" t="s">
        <v>74</v>
      </c>
      <c r="AR383" t="s">
        <v>6020</v>
      </c>
      <c r="AS383" t="s">
        <v>6021</v>
      </c>
      <c r="AT383" t="s">
        <v>6719</v>
      </c>
      <c r="AU383">
        <v>2023</v>
      </c>
      <c r="AV383" t="s">
        <v>74</v>
      </c>
      <c r="AW383" t="s">
        <v>74</v>
      </c>
      <c r="AX383" t="s">
        <v>74</v>
      </c>
      <c r="AY383" t="s">
        <v>74</v>
      </c>
      <c r="AZ383" t="s">
        <v>74</v>
      </c>
      <c r="BA383" t="s">
        <v>74</v>
      </c>
      <c r="BB383" t="s">
        <v>74</v>
      </c>
      <c r="BC383" t="s">
        <v>74</v>
      </c>
      <c r="BD383" t="s">
        <v>74</v>
      </c>
      <c r="BE383" t="s">
        <v>6720</v>
      </c>
      <c r="BF383" t="str">
        <f>HYPERLINK("http://dx.doi.org/10.1080/00927872.2023.2255284","http://dx.doi.org/10.1080/00927872.2023.2255284")</f>
        <v>http://dx.doi.org/10.1080/00927872.2023.2255284</v>
      </c>
      <c r="BG383" t="s">
        <v>74</v>
      </c>
      <c r="BH383" t="s">
        <v>5545</v>
      </c>
      <c r="BI383">
        <v>28</v>
      </c>
      <c r="BJ383" t="s">
        <v>5435</v>
      </c>
      <c r="BK383" t="s">
        <v>102</v>
      </c>
      <c r="BL383" t="s">
        <v>5435</v>
      </c>
      <c r="BM383" t="s">
        <v>6721</v>
      </c>
      <c r="BN383" t="s">
        <v>74</v>
      </c>
      <c r="BO383" t="s">
        <v>5486</v>
      </c>
      <c r="BP383" t="s">
        <v>74</v>
      </c>
      <c r="BQ383" t="s">
        <v>74</v>
      </c>
      <c r="BR383" t="s">
        <v>105</v>
      </c>
      <c r="BS383" t="s">
        <v>6722</v>
      </c>
      <c r="BT383" t="str">
        <f>HYPERLINK("https%3A%2F%2Fwww.webofscience.com%2Fwos%2Fwoscc%2Ffull-record%2FWOS:001070487900001","View Full Record in Web of Science")</f>
        <v>View Full Record in Web of Science</v>
      </c>
    </row>
    <row r="384" spans="1:72" x14ac:dyDescent="0.15">
      <c r="A384" t="s">
        <v>72</v>
      </c>
      <c r="B384" t="s">
        <v>6723</v>
      </c>
      <c r="C384" t="s">
        <v>74</v>
      </c>
      <c r="D384" t="s">
        <v>74</v>
      </c>
      <c r="E384" t="s">
        <v>74</v>
      </c>
      <c r="F384" t="s">
        <v>6724</v>
      </c>
      <c r="G384" t="s">
        <v>74</v>
      </c>
      <c r="H384" t="s">
        <v>74</v>
      </c>
      <c r="I384" t="s">
        <v>6725</v>
      </c>
      <c r="J384" t="s">
        <v>6726</v>
      </c>
      <c r="K384" t="s">
        <v>74</v>
      </c>
      <c r="L384" t="s">
        <v>74</v>
      </c>
      <c r="M384" t="s">
        <v>78</v>
      </c>
      <c r="N384" t="s">
        <v>5492</v>
      </c>
      <c r="O384" t="s">
        <v>74</v>
      </c>
      <c r="P384" t="s">
        <v>74</v>
      </c>
      <c r="Q384" t="s">
        <v>74</v>
      </c>
      <c r="R384" t="s">
        <v>74</v>
      </c>
      <c r="S384" t="s">
        <v>74</v>
      </c>
      <c r="T384" t="s">
        <v>6727</v>
      </c>
      <c r="U384" t="s">
        <v>6728</v>
      </c>
      <c r="V384" t="s">
        <v>6729</v>
      </c>
      <c r="W384" t="s">
        <v>6730</v>
      </c>
      <c r="X384" t="s">
        <v>6731</v>
      </c>
      <c r="Y384" t="s">
        <v>6732</v>
      </c>
      <c r="Z384" t="s">
        <v>6733</v>
      </c>
      <c r="AA384" t="s">
        <v>74</v>
      </c>
      <c r="AB384" t="s">
        <v>74</v>
      </c>
      <c r="AC384" t="s">
        <v>74</v>
      </c>
      <c r="AD384" t="s">
        <v>74</v>
      </c>
      <c r="AE384" t="s">
        <v>74</v>
      </c>
      <c r="AF384" t="s">
        <v>74</v>
      </c>
      <c r="AG384">
        <v>65</v>
      </c>
      <c r="AH384">
        <v>0</v>
      </c>
      <c r="AI384">
        <v>0</v>
      </c>
      <c r="AJ384">
        <v>0</v>
      </c>
      <c r="AK384">
        <v>0</v>
      </c>
      <c r="AL384" t="s">
        <v>1188</v>
      </c>
      <c r="AM384" t="s">
        <v>93</v>
      </c>
      <c r="AN384" t="s">
        <v>1189</v>
      </c>
      <c r="AO384" t="s">
        <v>6734</v>
      </c>
      <c r="AP384" t="s">
        <v>6735</v>
      </c>
      <c r="AQ384" t="s">
        <v>74</v>
      </c>
      <c r="AR384" t="s">
        <v>6736</v>
      </c>
      <c r="AS384" t="s">
        <v>6737</v>
      </c>
      <c r="AT384" t="s">
        <v>6719</v>
      </c>
      <c r="AU384">
        <v>2023</v>
      </c>
      <c r="AV384" t="s">
        <v>74</v>
      </c>
      <c r="AW384" t="s">
        <v>74</v>
      </c>
      <c r="AX384" t="s">
        <v>74</v>
      </c>
      <c r="AY384" t="s">
        <v>74</v>
      </c>
      <c r="AZ384" t="s">
        <v>74</v>
      </c>
      <c r="BA384" t="s">
        <v>74</v>
      </c>
      <c r="BB384" t="s">
        <v>74</v>
      </c>
      <c r="BC384" t="s">
        <v>74</v>
      </c>
      <c r="BD384" t="s">
        <v>74</v>
      </c>
      <c r="BE384" t="s">
        <v>6738</v>
      </c>
      <c r="BF384" t="str">
        <f>HYPERLINK("http://dx.doi.org/10.1080/16184742.2023.2257727","http://dx.doi.org/10.1080/16184742.2023.2257727")</f>
        <v>http://dx.doi.org/10.1080/16184742.2023.2257727</v>
      </c>
      <c r="BG384" t="s">
        <v>74</v>
      </c>
      <c r="BH384" t="s">
        <v>5545</v>
      </c>
      <c r="BI384">
        <v>20</v>
      </c>
      <c r="BJ384" t="s">
        <v>5731</v>
      </c>
      <c r="BK384" t="s">
        <v>272</v>
      </c>
      <c r="BL384" t="s">
        <v>397</v>
      </c>
      <c r="BM384" t="s">
        <v>6739</v>
      </c>
      <c r="BN384" t="s">
        <v>74</v>
      </c>
      <c r="BO384" t="s">
        <v>74</v>
      </c>
      <c r="BP384" t="s">
        <v>74</v>
      </c>
      <c r="BQ384" t="s">
        <v>74</v>
      </c>
      <c r="BR384" t="s">
        <v>105</v>
      </c>
      <c r="BS384" t="s">
        <v>6740</v>
      </c>
      <c r="BT384" t="str">
        <f>HYPERLINK("https%3A%2F%2Fwww.webofscience.com%2Fwos%2Fwoscc%2Ffull-record%2FWOS:001068007100001","View Full Record in Web of Science")</f>
        <v>View Full Record in Web of Science</v>
      </c>
    </row>
    <row r="385" spans="1:72" x14ac:dyDescent="0.15">
      <c r="A385" t="s">
        <v>72</v>
      </c>
      <c r="B385" t="s">
        <v>6741</v>
      </c>
      <c r="C385" t="s">
        <v>74</v>
      </c>
      <c r="D385" t="s">
        <v>74</v>
      </c>
      <c r="E385" t="s">
        <v>74</v>
      </c>
      <c r="F385" t="s">
        <v>6742</v>
      </c>
      <c r="G385" t="s">
        <v>74</v>
      </c>
      <c r="H385" t="s">
        <v>74</v>
      </c>
      <c r="I385" t="s">
        <v>6743</v>
      </c>
      <c r="J385" t="s">
        <v>6370</v>
      </c>
      <c r="K385" t="s">
        <v>74</v>
      </c>
      <c r="L385" t="s">
        <v>74</v>
      </c>
      <c r="M385" t="s">
        <v>78</v>
      </c>
      <c r="N385" t="s">
        <v>6253</v>
      </c>
      <c r="O385" t="s">
        <v>74</v>
      </c>
      <c r="P385" t="s">
        <v>74</v>
      </c>
      <c r="Q385" t="s">
        <v>74</v>
      </c>
      <c r="R385" t="s">
        <v>74</v>
      </c>
      <c r="S385" t="s">
        <v>74</v>
      </c>
      <c r="T385" t="s">
        <v>74</v>
      </c>
      <c r="U385" t="s">
        <v>74</v>
      </c>
      <c r="V385" t="s">
        <v>74</v>
      </c>
      <c r="W385" t="s">
        <v>6744</v>
      </c>
      <c r="X385" t="s">
        <v>74</v>
      </c>
      <c r="Y385" t="s">
        <v>6745</v>
      </c>
      <c r="Z385" t="s">
        <v>6746</v>
      </c>
      <c r="AA385" t="s">
        <v>74</v>
      </c>
      <c r="AB385" t="s">
        <v>74</v>
      </c>
      <c r="AC385" t="s">
        <v>74</v>
      </c>
      <c r="AD385" t="s">
        <v>74</v>
      </c>
      <c r="AE385" t="s">
        <v>74</v>
      </c>
      <c r="AF385" t="s">
        <v>74</v>
      </c>
      <c r="AG385">
        <v>1</v>
      </c>
      <c r="AH385">
        <v>0</v>
      </c>
      <c r="AI385">
        <v>0</v>
      </c>
      <c r="AJ385">
        <v>0</v>
      </c>
      <c r="AK385">
        <v>0</v>
      </c>
      <c r="AL385" t="s">
        <v>1188</v>
      </c>
      <c r="AM385" t="s">
        <v>93</v>
      </c>
      <c r="AN385" t="s">
        <v>1189</v>
      </c>
      <c r="AO385" t="s">
        <v>6378</v>
      </c>
      <c r="AP385" t="s">
        <v>6379</v>
      </c>
      <c r="AQ385" t="s">
        <v>74</v>
      </c>
      <c r="AR385" t="s">
        <v>6380</v>
      </c>
      <c r="AS385" t="s">
        <v>6381</v>
      </c>
      <c r="AT385" t="s">
        <v>6719</v>
      </c>
      <c r="AU385">
        <v>2023</v>
      </c>
      <c r="AV385" t="s">
        <v>74</v>
      </c>
      <c r="AW385" t="s">
        <v>74</v>
      </c>
      <c r="AX385" t="s">
        <v>74</v>
      </c>
      <c r="AY385" t="s">
        <v>74</v>
      </c>
      <c r="AZ385" t="s">
        <v>74</v>
      </c>
      <c r="BA385" t="s">
        <v>74</v>
      </c>
      <c r="BB385" t="s">
        <v>74</v>
      </c>
      <c r="BC385" t="s">
        <v>74</v>
      </c>
      <c r="BD385" t="s">
        <v>74</v>
      </c>
      <c r="BE385" t="s">
        <v>6747</v>
      </c>
      <c r="BF385" t="str">
        <f>HYPERLINK("http://dx.doi.org/10.1080/14725886.2023.2258348","http://dx.doi.org/10.1080/14725886.2023.2258348")</f>
        <v>http://dx.doi.org/10.1080/14725886.2023.2258348</v>
      </c>
      <c r="BG385" t="s">
        <v>74</v>
      </c>
      <c r="BH385" t="s">
        <v>5545</v>
      </c>
      <c r="BI385">
        <v>1</v>
      </c>
      <c r="BJ385" t="s">
        <v>575</v>
      </c>
      <c r="BK385" t="s">
        <v>211</v>
      </c>
      <c r="BL385" t="s">
        <v>576</v>
      </c>
      <c r="BM385" t="s">
        <v>6748</v>
      </c>
      <c r="BN385" t="s">
        <v>74</v>
      </c>
      <c r="BO385" t="s">
        <v>74</v>
      </c>
      <c r="BP385" t="s">
        <v>74</v>
      </c>
      <c r="BQ385" t="s">
        <v>74</v>
      </c>
      <c r="BR385" t="s">
        <v>105</v>
      </c>
      <c r="BS385" t="s">
        <v>6749</v>
      </c>
      <c r="BT385" t="str">
        <f>HYPERLINK("https%3A%2F%2Fwww.webofscience.com%2Fwos%2Fwoscc%2Ffull-record%2FWOS:001070504700001","View Full Record in Web of Science")</f>
        <v>View Full Record in Web of Science</v>
      </c>
    </row>
    <row r="386" spans="1:72" x14ac:dyDescent="0.15">
      <c r="A386" t="s">
        <v>72</v>
      </c>
      <c r="B386" t="s">
        <v>6750</v>
      </c>
      <c r="C386" t="s">
        <v>74</v>
      </c>
      <c r="D386" t="s">
        <v>74</v>
      </c>
      <c r="E386" t="s">
        <v>74</v>
      </c>
      <c r="F386" t="s">
        <v>6751</v>
      </c>
      <c r="G386" t="s">
        <v>74</v>
      </c>
      <c r="H386" t="s">
        <v>74</v>
      </c>
      <c r="I386" t="s">
        <v>6752</v>
      </c>
      <c r="J386" t="s">
        <v>6753</v>
      </c>
      <c r="K386" t="s">
        <v>74</v>
      </c>
      <c r="L386" t="s">
        <v>74</v>
      </c>
      <c r="M386" t="s">
        <v>78</v>
      </c>
      <c r="N386" t="s">
        <v>6754</v>
      </c>
      <c r="O386" t="s">
        <v>74</v>
      </c>
      <c r="P386" t="s">
        <v>74</v>
      </c>
      <c r="Q386" t="s">
        <v>74</v>
      </c>
      <c r="R386" t="s">
        <v>74</v>
      </c>
      <c r="S386" t="s">
        <v>74</v>
      </c>
      <c r="T386" t="s">
        <v>6755</v>
      </c>
      <c r="U386" t="s">
        <v>6756</v>
      </c>
      <c r="V386" t="s">
        <v>6757</v>
      </c>
      <c r="W386" t="s">
        <v>6758</v>
      </c>
      <c r="X386" t="s">
        <v>6759</v>
      </c>
      <c r="Y386" t="s">
        <v>6760</v>
      </c>
      <c r="Z386" t="s">
        <v>6761</v>
      </c>
      <c r="AA386" t="s">
        <v>74</v>
      </c>
      <c r="AB386" t="s">
        <v>74</v>
      </c>
      <c r="AC386" t="s">
        <v>6762</v>
      </c>
      <c r="AD386" t="s">
        <v>6762</v>
      </c>
      <c r="AE386" t="s">
        <v>6762</v>
      </c>
      <c r="AF386" t="s">
        <v>74</v>
      </c>
      <c r="AG386">
        <v>68</v>
      </c>
      <c r="AH386">
        <v>0</v>
      </c>
      <c r="AI386">
        <v>0</v>
      </c>
      <c r="AJ386">
        <v>0</v>
      </c>
      <c r="AK386">
        <v>0</v>
      </c>
      <c r="AL386" t="s">
        <v>1188</v>
      </c>
      <c r="AM386" t="s">
        <v>93</v>
      </c>
      <c r="AN386" t="s">
        <v>1189</v>
      </c>
      <c r="AO386" t="s">
        <v>6763</v>
      </c>
      <c r="AP386" t="s">
        <v>6764</v>
      </c>
      <c r="AQ386" t="s">
        <v>74</v>
      </c>
      <c r="AR386" t="s">
        <v>6765</v>
      </c>
      <c r="AS386" t="s">
        <v>6766</v>
      </c>
      <c r="AT386" t="s">
        <v>6719</v>
      </c>
      <c r="AU386">
        <v>2023</v>
      </c>
      <c r="AV386" t="s">
        <v>74</v>
      </c>
      <c r="AW386" t="s">
        <v>74</v>
      </c>
      <c r="AX386" t="s">
        <v>74</v>
      </c>
      <c r="AY386" t="s">
        <v>74</v>
      </c>
      <c r="AZ386" t="s">
        <v>74</v>
      </c>
      <c r="BA386" t="s">
        <v>74</v>
      </c>
      <c r="BB386" t="s">
        <v>74</v>
      </c>
      <c r="BC386" t="s">
        <v>74</v>
      </c>
      <c r="BD386" t="s">
        <v>74</v>
      </c>
      <c r="BE386" t="s">
        <v>6767</v>
      </c>
      <c r="BF386" t="str">
        <f>HYPERLINK("http://dx.doi.org/10.1080/03323315.2023.2256689","http://dx.doi.org/10.1080/03323315.2023.2256689")</f>
        <v>http://dx.doi.org/10.1080/03323315.2023.2256689</v>
      </c>
      <c r="BG386" t="s">
        <v>74</v>
      </c>
      <c r="BH386" t="s">
        <v>5545</v>
      </c>
      <c r="BI386">
        <v>19</v>
      </c>
      <c r="BJ386" t="s">
        <v>271</v>
      </c>
      <c r="BK386" t="s">
        <v>272</v>
      </c>
      <c r="BL386" t="s">
        <v>271</v>
      </c>
      <c r="BM386" t="s">
        <v>6768</v>
      </c>
      <c r="BN386" t="s">
        <v>74</v>
      </c>
      <c r="BO386" t="s">
        <v>74</v>
      </c>
      <c r="BP386" t="s">
        <v>74</v>
      </c>
      <c r="BQ386" t="s">
        <v>74</v>
      </c>
      <c r="BR386" t="s">
        <v>105</v>
      </c>
      <c r="BS386" t="s">
        <v>6769</v>
      </c>
      <c r="BT386" t="str">
        <f>HYPERLINK("https%3A%2F%2Fwww.webofscience.com%2Fwos%2Fwoscc%2Ffull-record%2FWOS:001065508000001","View Full Record in Web of Science")</f>
        <v>View Full Record in Web of Science</v>
      </c>
    </row>
    <row r="387" spans="1:72" x14ac:dyDescent="0.15">
      <c r="A387" t="s">
        <v>72</v>
      </c>
      <c r="B387" t="s">
        <v>6770</v>
      </c>
      <c r="C387" t="s">
        <v>74</v>
      </c>
      <c r="D387" t="s">
        <v>74</v>
      </c>
      <c r="E387" t="s">
        <v>74</v>
      </c>
      <c r="F387" t="s">
        <v>6771</v>
      </c>
      <c r="G387" t="s">
        <v>74</v>
      </c>
      <c r="H387" t="s">
        <v>74</v>
      </c>
      <c r="I387" t="s">
        <v>6772</v>
      </c>
      <c r="J387" t="s">
        <v>6773</v>
      </c>
      <c r="K387" t="s">
        <v>74</v>
      </c>
      <c r="L387" t="s">
        <v>74</v>
      </c>
      <c r="M387" t="s">
        <v>78</v>
      </c>
      <c r="N387" t="s">
        <v>5492</v>
      </c>
      <c r="O387" t="s">
        <v>74</v>
      </c>
      <c r="P387" t="s">
        <v>74</v>
      </c>
      <c r="Q387" t="s">
        <v>74</v>
      </c>
      <c r="R387" t="s">
        <v>74</v>
      </c>
      <c r="S387" t="s">
        <v>74</v>
      </c>
      <c r="T387" t="s">
        <v>6774</v>
      </c>
      <c r="U387" t="s">
        <v>6775</v>
      </c>
      <c r="V387" t="s">
        <v>6776</v>
      </c>
      <c r="W387" t="s">
        <v>6777</v>
      </c>
      <c r="X387" t="s">
        <v>6778</v>
      </c>
      <c r="Y387" t="s">
        <v>6779</v>
      </c>
      <c r="Z387" t="s">
        <v>6780</v>
      </c>
      <c r="AA387" t="s">
        <v>74</v>
      </c>
      <c r="AB387" t="s">
        <v>6781</v>
      </c>
      <c r="AC387" t="s">
        <v>6782</v>
      </c>
      <c r="AD387" t="s">
        <v>6782</v>
      </c>
      <c r="AE387" t="s">
        <v>6783</v>
      </c>
      <c r="AF387" t="s">
        <v>74</v>
      </c>
      <c r="AG387">
        <v>29</v>
      </c>
      <c r="AH387">
        <v>0</v>
      </c>
      <c r="AI387">
        <v>0</v>
      </c>
      <c r="AJ387">
        <v>5</v>
      </c>
      <c r="AK387">
        <v>5</v>
      </c>
      <c r="AL387" t="s">
        <v>1188</v>
      </c>
      <c r="AM387" t="s">
        <v>93</v>
      </c>
      <c r="AN387" t="s">
        <v>1189</v>
      </c>
      <c r="AO387" t="s">
        <v>6784</v>
      </c>
      <c r="AP387" t="s">
        <v>6785</v>
      </c>
      <c r="AQ387" t="s">
        <v>74</v>
      </c>
      <c r="AR387" t="s">
        <v>6786</v>
      </c>
      <c r="AS387" t="s">
        <v>6787</v>
      </c>
      <c r="AT387" t="s">
        <v>6719</v>
      </c>
      <c r="AU387">
        <v>2023</v>
      </c>
      <c r="AV387" t="s">
        <v>74</v>
      </c>
      <c r="AW387" t="s">
        <v>74</v>
      </c>
      <c r="AX387" t="s">
        <v>74</v>
      </c>
      <c r="AY387" t="s">
        <v>74</v>
      </c>
      <c r="AZ387" t="s">
        <v>74</v>
      </c>
      <c r="BA387" t="s">
        <v>74</v>
      </c>
      <c r="BB387" t="s">
        <v>74</v>
      </c>
      <c r="BC387" t="s">
        <v>74</v>
      </c>
      <c r="BD387" t="s">
        <v>74</v>
      </c>
      <c r="BE387" t="s">
        <v>6788</v>
      </c>
      <c r="BF387" t="str">
        <f>HYPERLINK("http://dx.doi.org/10.1080/09540121.2023.2253504","http://dx.doi.org/10.1080/09540121.2023.2253504")</f>
        <v>http://dx.doi.org/10.1080/09540121.2023.2253504</v>
      </c>
      <c r="BG387" t="s">
        <v>74</v>
      </c>
      <c r="BH387" t="s">
        <v>5545</v>
      </c>
      <c r="BI387">
        <v>9</v>
      </c>
      <c r="BJ387" t="s">
        <v>6789</v>
      </c>
      <c r="BK387" t="s">
        <v>272</v>
      </c>
      <c r="BL387" t="s">
        <v>6790</v>
      </c>
      <c r="BM387" t="s">
        <v>6791</v>
      </c>
      <c r="BN387">
        <v>37194644</v>
      </c>
      <c r="BO387" t="s">
        <v>74</v>
      </c>
      <c r="BP387" t="s">
        <v>74</v>
      </c>
      <c r="BQ387" t="s">
        <v>74</v>
      </c>
      <c r="BR387" t="s">
        <v>105</v>
      </c>
      <c r="BS387" t="s">
        <v>6792</v>
      </c>
      <c r="BT387" t="str">
        <f>HYPERLINK("https%3A%2F%2Fwww.webofscience.com%2Fwos%2Fwoscc%2Ffull-record%2FWOS:001065946600001","View Full Record in Web of Science")</f>
        <v>View Full Record in Web of Science</v>
      </c>
    </row>
    <row r="388" spans="1:72" x14ac:dyDescent="0.15">
      <c r="A388" t="s">
        <v>72</v>
      </c>
      <c r="B388" t="s">
        <v>6793</v>
      </c>
      <c r="C388" t="s">
        <v>74</v>
      </c>
      <c r="D388" t="s">
        <v>74</v>
      </c>
      <c r="E388" t="s">
        <v>74</v>
      </c>
      <c r="F388" t="s">
        <v>6794</v>
      </c>
      <c r="G388" t="s">
        <v>74</v>
      </c>
      <c r="H388" t="s">
        <v>74</v>
      </c>
      <c r="I388" t="s">
        <v>6795</v>
      </c>
      <c r="J388" t="s">
        <v>6796</v>
      </c>
      <c r="K388" t="s">
        <v>74</v>
      </c>
      <c r="L388" t="s">
        <v>74</v>
      </c>
      <c r="M388" t="s">
        <v>78</v>
      </c>
      <c r="N388" t="s">
        <v>5492</v>
      </c>
      <c r="O388" t="s">
        <v>74</v>
      </c>
      <c r="P388" t="s">
        <v>74</v>
      </c>
      <c r="Q388" t="s">
        <v>74</v>
      </c>
      <c r="R388" t="s">
        <v>74</v>
      </c>
      <c r="S388" t="s">
        <v>74</v>
      </c>
      <c r="T388" t="s">
        <v>6797</v>
      </c>
      <c r="U388" t="s">
        <v>6798</v>
      </c>
      <c r="V388" t="s">
        <v>6799</v>
      </c>
      <c r="W388" t="s">
        <v>6800</v>
      </c>
      <c r="X388" t="s">
        <v>6801</v>
      </c>
      <c r="Y388" t="s">
        <v>6802</v>
      </c>
      <c r="Z388" t="s">
        <v>6803</v>
      </c>
      <c r="AA388" t="s">
        <v>74</v>
      </c>
      <c r="AB388" t="s">
        <v>74</v>
      </c>
      <c r="AC388" t="s">
        <v>6804</v>
      </c>
      <c r="AD388" t="s">
        <v>6804</v>
      </c>
      <c r="AE388" t="s">
        <v>6805</v>
      </c>
      <c r="AF388" t="s">
        <v>74</v>
      </c>
      <c r="AG388">
        <v>14</v>
      </c>
      <c r="AH388">
        <v>0</v>
      </c>
      <c r="AI388">
        <v>0</v>
      </c>
      <c r="AJ388">
        <v>0</v>
      </c>
      <c r="AK388">
        <v>0</v>
      </c>
      <c r="AL388" t="s">
        <v>1188</v>
      </c>
      <c r="AM388" t="s">
        <v>93</v>
      </c>
      <c r="AN388" t="s">
        <v>1189</v>
      </c>
      <c r="AO388" t="s">
        <v>6806</v>
      </c>
      <c r="AP388" t="s">
        <v>6807</v>
      </c>
      <c r="AQ388" t="s">
        <v>74</v>
      </c>
      <c r="AR388" t="s">
        <v>6808</v>
      </c>
      <c r="AS388" t="s">
        <v>6809</v>
      </c>
      <c r="AT388" t="s">
        <v>6719</v>
      </c>
      <c r="AU388">
        <v>2023</v>
      </c>
      <c r="AV388" t="s">
        <v>74</v>
      </c>
      <c r="AW388" t="s">
        <v>74</v>
      </c>
      <c r="AX388" t="s">
        <v>74</v>
      </c>
      <c r="AY388" t="s">
        <v>74</v>
      </c>
      <c r="AZ388" t="s">
        <v>74</v>
      </c>
      <c r="BA388" t="s">
        <v>74</v>
      </c>
      <c r="BB388" t="s">
        <v>74</v>
      </c>
      <c r="BC388" t="s">
        <v>74</v>
      </c>
      <c r="BD388" t="s">
        <v>74</v>
      </c>
      <c r="BE388" t="s">
        <v>6810</v>
      </c>
      <c r="BF388" t="str">
        <f>HYPERLINK("http://dx.doi.org/10.1080/09672559.2023.2237026","http://dx.doi.org/10.1080/09672559.2023.2237026")</f>
        <v>http://dx.doi.org/10.1080/09672559.2023.2237026</v>
      </c>
      <c r="BG388" t="s">
        <v>74</v>
      </c>
      <c r="BH388" t="s">
        <v>5545</v>
      </c>
      <c r="BI388">
        <v>13</v>
      </c>
      <c r="BJ388" t="s">
        <v>6811</v>
      </c>
      <c r="BK388" t="s">
        <v>6264</v>
      </c>
      <c r="BL388" t="s">
        <v>6811</v>
      </c>
      <c r="BM388" t="s">
        <v>6812</v>
      </c>
      <c r="BN388" t="s">
        <v>74</v>
      </c>
      <c r="BO388" t="s">
        <v>74</v>
      </c>
      <c r="BP388" t="s">
        <v>74</v>
      </c>
      <c r="BQ388" t="s">
        <v>74</v>
      </c>
      <c r="BR388" t="s">
        <v>105</v>
      </c>
      <c r="BS388" t="s">
        <v>6813</v>
      </c>
      <c r="BT388" t="str">
        <f>HYPERLINK("https%3A%2F%2Fwww.webofscience.com%2Fwos%2Fwoscc%2Ffull-record%2FWOS:001067526700001","View Full Record in Web of Science")</f>
        <v>View Full Record in Web of Science</v>
      </c>
    </row>
    <row r="389" spans="1:72" x14ac:dyDescent="0.15">
      <c r="A389" t="s">
        <v>72</v>
      </c>
      <c r="B389" t="s">
        <v>6814</v>
      </c>
      <c r="C389" t="s">
        <v>74</v>
      </c>
      <c r="D389" t="s">
        <v>74</v>
      </c>
      <c r="E389" t="s">
        <v>74</v>
      </c>
      <c r="F389" t="s">
        <v>6815</v>
      </c>
      <c r="G389" t="s">
        <v>74</v>
      </c>
      <c r="H389" t="s">
        <v>74</v>
      </c>
      <c r="I389" t="s">
        <v>6816</v>
      </c>
      <c r="J389" t="s">
        <v>6817</v>
      </c>
      <c r="K389" t="s">
        <v>74</v>
      </c>
      <c r="L389" t="s">
        <v>74</v>
      </c>
      <c r="M389" t="s">
        <v>78</v>
      </c>
      <c r="N389" t="s">
        <v>5492</v>
      </c>
      <c r="O389" t="s">
        <v>74</v>
      </c>
      <c r="P389" t="s">
        <v>74</v>
      </c>
      <c r="Q389" t="s">
        <v>74</v>
      </c>
      <c r="R389" t="s">
        <v>74</v>
      </c>
      <c r="S389" t="s">
        <v>74</v>
      </c>
      <c r="T389" t="s">
        <v>6818</v>
      </c>
      <c r="U389" t="s">
        <v>74</v>
      </c>
      <c r="V389" t="s">
        <v>6819</v>
      </c>
      <c r="W389" t="s">
        <v>6820</v>
      </c>
      <c r="X389" t="s">
        <v>6821</v>
      </c>
      <c r="Y389" t="s">
        <v>6822</v>
      </c>
      <c r="Z389" t="s">
        <v>6823</v>
      </c>
      <c r="AA389" t="s">
        <v>74</v>
      </c>
      <c r="AB389" t="s">
        <v>74</v>
      </c>
      <c r="AC389" t="s">
        <v>6824</v>
      </c>
      <c r="AD389" t="s">
        <v>6824</v>
      </c>
      <c r="AE389" t="s">
        <v>6825</v>
      </c>
      <c r="AF389" t="s">
        <v>74</v>
      </c>
      <c r="AG389">
        <v>31</v>
      </c>
      <c r="AH389">
        <v>0</v>
      </c>
      <c r="AI389">
        <v>0</v>
      </c>
      <c r="AJ389">
        <v>0</v>
      </c>
      <c r="AK389">
        <v>0</v>
      </c>
      <c r="AL389" t="s">
        <v>1188</v>
      </c>
      <c r="AM389" t="s">
        <v>93</v>
      </c>
      <c r="AN389" t="s">
        <v>1189</v>
      </c>
      <c r="AO389" t="s">
        <v>6826</v>
      </c>
      <c r="AP389" t="s">
        <v>6827</v>
      </c>
      <c r="AQ389" t="s">
        <v>74</v>
      </c>
      <c r="AR389" t="s">
        <v>6828</v>
      </c>
      <c r="AS389" t="s">
        <v>6829</v>
      </c>
      <c r="AT389" t="s">
        <v>6719</v>
      </c>
      <c r="AU389">
        <v>2023</v>
      </c>
      <c r="AV389" t="s">
        <v>74</v>
      </c>
      <c r="AW389" t="s">
        <v>74</v>
      </c>
      <c r="AX389" t="s">
        <v>74</v>
      </c>
      <c r="AY389" t="s">
        <v>74</v>
      </c>
      <c r="AZ389" t="s">
        <v>74</v>
      </c>
      <c r="BA389" t="s">
        <v>74</v>
      </c>
      <c r="BB389" t="s">
        <v>74</v>
      </c>
      <c r="BC389" t="s">
        <v>74</v>
      </c>
      <c r="BD389" t="s">
        <v>74</v>
      </c>
      <c r="BE389" t="s">
        <v>6830</v>
      </c>
      <c r="BF389" t="str">
        <f>HYPERLINK("http://dx.doi.org/10.1080/08164649.2023.2255931","http://dx.doi.org/10.1080/08164649.2023.2255931")</f>
        <v>http://dx.doi.org/10.1080/08164649.2023.2255931</v>
      </c>
      <c r="BG389" t="s">
        <v>74</v>
      </c>
      <c r="BH389" t="s">
        <v>5545</v>
      </c>
      <c r="BI389">
        <v>17</v>
      </c>
      <c r="BJ389" t="s">
        <v>6831</v>
      </c>
      <c r="BK389" t="s">
        <v>272</v>
      </c>
      <c r="BL389" t="s">
        <v>6831</v>
      </c>
      <c r="BM389" t="s">
        <v>6832</v>
      </c>
      <c r="BN389" t="s">
        <v>74</v>
      </c>
      <c r="BO389" t="s">
        <v>887</v>
      </c>
      <c r="BP389" t="s">
        <v>74</v>
      </c>
      <c r="BQ389" t="s">
        <v>74</v>
      </c>
      <c r="BR389" t="s">
        <v>105</v>
      </c>
      <c r="BS389" t="s">
        <v>6833</v>
      </c>
      <c r="BT389" t="str">
        <f>HYPERLINK("https%3A%2F%2Fwww.webofscience.com%2Fwos%2Fwoscc%2Ffull-record%2FWOS:001067262600001","View Full Record in Web of Science")</f>
        <v>View Full Record in Web of Science</v>
      </c>
    </row>
    <row r="390" spans="1:72" x14ac:dyDescent="0.15">
      <c r="A390" t="s">
        <v>72</v>
      </c>
      <c r="B390" t="s">
        <v>6834</v>
      </c>
      <c r="C390" t="s">
        <v>74</v>
      </c>
      <c r="D390" t="s">
        <v>74</v>
      </c>
      <c r="E390" t="s">
        <v>74</v>
      </c>
      <c r="F390" t="s">
        <v>6835</v>
      </c>
      <c r="G390" t="s">
        <v>74</v>
      </c>
      <c r="H390" t="s">
        <v>74</v>
      </c>
      <c r="I390" t="s">
        <v>6836</v>
      </c>
      <c r="J390" t="s">
        <v>6837</v>
      </c>
      <c r="K390" t="s">
        <v>74</v>
      </c>
      <c r="L390" t="s">
        <v>74</v>
      </c>
      <c r="M390" t="s">
        <v>78</v>
      </c>
      <c r="N390" t="s">
        <v>5492</v>
      </c>
      <c r="O390" t="s">
        <v>74</v>
      </c>
      <c r="P390" t="s">
        <v>74</v>
      </c>
      <c r="Q390" t="s">
        <v>74</v>
      </c>
      <c r="R390" t="s">
        <v>74</v>
      </c>
      <c r="S390" t="s">
        <v>74</v>
      </c>
      <c r="T390" t="s">
        <v>6838</v>
      </c>
      <c r="U390" t="s">
        <v>74</v>
      </c>
      <c r="V390" t="s">
        <v>6839</v>
      </c>
      <c r="W390" t="s">
        <v>6840</v>
      </c>
      <c r="X390" t="s">
        <v>6841</v>
      </c>
      <c r="Y390" t="s">
        <v>6842</v>
      </c>
      <c r="Z390" t="s">
        <v>6843</v>
      </c>
      <c r="AA390" t="s">
        <v>74</v>
      </c>
      <c r="AB390" t="s">
        <v>74</v>
      </c>
      <c r="AC390" t="s">
        <v>6844</v>
      </c>
      <c r="AD390" t="s">
        <v>6845</v>
      </c>
      <c r="AE390" t="s">
        <v>6846</v>
      </c>
      <c r="AF390" t="s">
        <v>74</v>
      </c>
      <c r="AG390">
        <v>32</v>
      </c>
      <c r="AH390">
        <v>0</v>
      </c>
      <c r="AI390">
        <v>0</v>
      </c>
      <c r="AJ390">
        <v>0</v>
      </c>
      <c r="AK390">
        <v>0</v>
      </c>
      <c r="AL390" t="s">
        <v>92</v>
      </c>
      <c r="AM390" t="s">
        <v>93</v>
      </c>
      <c r="AN390" t="s">
        <v>94</v>
      </c>
      <c r="AO390" t="s">
        <v>6847</v>
      </c>
      <c r="AP390" t="s">
        <v>6848</v>
      </c>
      <c r="AQ390" t="s">
        <v>74</v>
      </c>
      <c r="AR390" t="s">
        <v>6849</v>
      </c>
      <c r="AS390" t="s">
        <v>6850</v>
      </c>
      <c r="AT390" t="s">
        <v>6719</v>
      </c>
      <c r="AU390">
        <v>2023</v>
      </c>
      <c r="AV390" t="s">
        <v>74</v>
      </c>
      <c r="AW390" t="s">
        <v>74</v>
      </c>
      <c r="AX390" t="s">
        <v>74</v>
      </c>
      <c r="AY390" t="s">
        <v>74</v>
      </c>
      <c r="AZ390" t="s">
        <v>74</v>
      </c>
      <c r="BA390" t="s">
        <v>74</v>
      </c>
      <c r="BB390" t="s">
        <v>74</v>
      </c>
      <c r="BC390" t="s">
        <v>74</v>
      </c>
      <c r="BD390" t="s">
        <v>74</v>
      </c>
      <c r="BE390" t="s">
        <v>6851</v>
      </c>
      <c r="BF390" t="str">
        <f>HYPERLINK("http://dx.doi.org/10.1080/10589759.2023.2249581","http://dx.doi.org/10.1080/10589759.2023.2249581")</f>
        <v>http://dx.doi.org/10.1080/10589759.2023.2249581</v>
      </c>
      <c r="BG390" t="s">
        <v>74</v>
      </c>
      <c r="BH390" t="s">
        <v>5545</v>
      </c>
      <c r="BI390">
        <v>17</v>
      </c>
      <c r="BJ390" t="s">
        <v>6852</v>
      </c>
      <c r="BK390" t="s">
        <v>102</v>
      </c>
      <c r="BL390" t="s">
        <v>1594</v>
      </c>
      <c r="BM390" t="s">
        <v>6853</v>
      </c>
      <c r="BN390" t="s">
        <v>74</v>
      </c>
      <c r="BO390" t="s">
        <v>74</v>
      </c>
      <c r="BP390" t="s">
        <v>74</v>
      </c>
      <c r="BQ390" t="s">
        <v>74</v>
      </c>
      <c r="BR390" t="s">
        <v>105</v>
      </c>
      <c r="BS390" t="s">
        <v>6854</v>
      </c>
      <c r="BT390" t="str">
        <f>HYPERLINK("https%3A%2F%2Fwww.webofscience.com%2Fwos%2Fwoscc%2Ffull-record%2FWOS:001065905700001","View Full Record in Web of Science")</f>
        <v>View Full Record in Web of Science</v>
      </c>
    </row>
    <row r="391" spans="1:72" x14ac:dyDescent="0.15">
      <c r="A391" t="s">
        <v>72</v>
      </c>
      <c r="B391" t="s">
        <v>6855</v>
      </c>
      <c r="C391" t="s">
        <v>74</v>
      </c>
      <c r="D391" t="s">
        <v>74</v>
      </c>
      <c r="E391" t="s">
        <v>74</v>
      </c>
      <c r="F391" t="s">
        <v>6856</v>
      </c>
      <c r="G391" t="s">
        <v>74</v>
      </c>
      <c r="H391" t="s">
        <v>74</v>
      </c>
      <c r="I391" t="s">
        <v>6857</v>
      </c>
      <c r="J391" t="s">
        <v>6858</v>
      </c>
      <c r="K391" t="s">
        <v>74</v>
      </c>
      <c r="L391" t="s">
        <v>74</v>
      </c>
      <c r="M391" t="s">
        <v>78</v>
      </c>
      <c r="N391" t="s">
        <v>5492</v>
      </c>
      <c r="O391" t="s">
        <v>74</v>
      </c>
      <c r="P391" t="s">
        <v>74</v>
      </c>
      <c r="Q391" t="s">
        <v>74</v>
      </c>
      <c r="R391" t="s">
        <v>74</v>
      </c>
      <c r="S391" t="s">
        <v>74</v>
      </c>
      <c r="T391" t="s">
        <v>6859</v>
      </c>
      <c r="U391" t="s">
        <v>6860</v>
      </c>
      <c r="V391" t="s">
        <v>6861</v>
      </c>
      <c r="W391" t="s">
        <v>6862</v>
      </c>
      <c r="X391" t="s">
        <v>6863</v>
      </c>
      <c r="Y391" t="s">
        <v>6864</v>
      </c>
      <c r="Z391" t="s">
        <v>6865</v>
      </c>
      <c r="AA391" t="s">
        <v>74</v>
      </c>
      <c r="AB391" t="s">
        <v>74</v>
      </c>
      <c r="AC391" t="s">
        <v>74</v>
      </c>
      <c r="AD391" t="s">
        <v>74</v>
      </c>
      <c r="AE391" t="s">
        <v>74</v>
      </c>
      <c r="AF391" t="s">
        <v>74</v>
      </c>
      <c r="AG391">
        <v>73</v>
      </c>
      <c r="AH391">
        <v>0</v>
      </c>
      <c r="AI391">
        <v>0</v>
      </c>
      <c r="AJ391">
        <v>0</v>
      </c>
      <c r="AK391">
        <v>0</v>
      </c>
      <c r="AL391" t="s">
        <v>1188</v>
      </c>
      <c r="AM391" t="s">
        <v>93</v>
      </c>
      <c r="AN391" t="s">
        <v>1189</v>
      </c>
      <c r="AO391" t="s">
        <v>6866</v>
      </c>
      <c r="AP391" t="s">
        <v>6867</v>
      </c>
      <c r="AQ391" t="s">
        <v>74</v>
      </c>
      <c r="AR391" t="s">
        <v>6868</v>
      </c>
      <c r="AS391" t="s">
        <v>6869</v>
      </c>
      <c r="AT391" t="s">
        <v>6870</v>
      </c>
      <c r="AU391">
        <v>2023</v>
      </c>
      <c r="AV391" t="s">
        <v>74</v>
      </c>
      <c r="AW391" t="s">
        <v>74</v>
      </c>
      <c r="AX391" t="s">
        <v>74</v>
      </c>
      <c r="AY391" t="s">
        <v>74</v>
      </c>
      <c r="AZ391" t="s">
        <v>74</v>
      </c>
      <c r="BA391" t="s">
        <v>74</v>
      </c>
      <c r="BB391" t="s">
        <v>74</v>
      </c>
      <c r="BC391" t="s">
        <v>74</v>
      </c>
      <c r="BD391" t="s">
        <v>74</v>
      </c>
      <c r="BE391" t="s">
        <v>6871</v>
      </c>
      <c r="BF391" t="str">
        <f>HYPERLINK("http://dx.doi.org/10.1080/15228916.2023.2257556","http://dx.doi.org/10.1080/15228916.2023.2257556")</f>
        <v>http://dx.doi.org/10.1080/15228916.2023.2257556</v>
      </c>
      <c r="BG391" t="s">
        <v>74</v>
      </c>
      <c r="BH391" t="s">
        <v>5545</v>
      </c>
      <c r="BI391">
        <v>20</v>
      </c>
      <c r="BJ391" t="s">
        <v>294</v>
      </c>
      <c r="BK391" t="s">
        <v>211</v>
      </c>
      <c r="BL391" t="s">
        <v>295</v>
      </c>
      <c r="BM391" t="s">
        <v>6872</v>
      </c>
      <c r="BN391" t="s">
        <v>74</v>
      </c>
      <c r="BO391" t="s">
        <v>74</v>
      </c>
      <c r="BP391" t="s">
        <v>74</v>
      </c>
      <c r="BQ391" t="s">
        <v>74</v>
      </c>
      <c r="BR391" t="s">
        <v>105</v>
      </c>
      <c r="BS391" t="s">
        <v>6873</v>
      </c>
      <c r="BT391" t="str">
        <f>HYPERLINK("https%3A%2F%2Fwww.webofscience.com%2Fwos%2Fwoscc%2Ffull-record%2FWOS:001065887800001","View Full Record in Web of Science")</f>
        <v>View Full Record in Web of Science</v>
      </c>
    </row>
    <row r="392" spans="1:72" x14ac:dyDescent="0.15">
      <c r="A392" t="s">
        <v>72</v>
      </c>
      <c r="B392" t="s">
        <v>6874</v>
      </c>
      <c r="C392" t="s">
        <v>74</v>
      </c>
      <c r="D392" t="s">
        <v>74</v>
      </c>
      <c r="E392" t="s">
        <v>74</v>
      </c>
      <c r="F392" t="s">
        <v>6875</v>
      </c>
      <c r="G392" t="s">
        <v>74</v>
      </c>
      <c r="H392" t="s">
        <v>74</v>
      </c>
      <c r="I392" t="s">
        <v>6876</v>
      </c>
      <c r="J392" t="s">
        <v>6877</v>
      </c>
      <c r="K392" t="s">
        <v>74</v>
      </c>
      <c r="L392" t="s">
        <v>74</v>
      </c>
      <c r="M392" t="s">
        <v>78</v>
      </c>
      <c r="N392" t="s">
        <v>5492</v>
      </c>
      <c r="O392" t="s">
        <v>74</v>
      </c>
      <c r="P392" t="s">
        <v>74</v>
      </c>
      <c r="Q392" t="s">
        <v>74</v>
      </c>
      <c r="R392" t="s">
        <v>74</v>
      </c>
      <c r="S392" t="s">
        <v>74</v>
      </c>
      <c r="T392" t="s">
        <v>6878</v>
      </c>
      <c r="U392" t="s">
        <v>6879</v>
      </c>
      <c r="V392" t="s">
        <v>6880</v>
      </c>
      <c r="W392" t="s">
        <v>6881</v>
      </c>
      <c r="X392" t="s">
        <v>6882</v>
      </c>
      <c r="Y392" t="s">
        <v>6883</v>
      </c>
      <c r="Z392" t="s">
        <v>6884</v>
      </c>
      <c r="AA392" t="s">
        <v>74</v>
      </c>
      <c r="AB392" t="s">
        <v>74</v>
      </c>
      <c r="AC392" t="s">
        <v>6885</v>
      </c>
      <c r="AD392" t="s">
        <v>6886</v>
      </c>
      <c r="AE392" t="s">
        <v>6887</v>
      </c>
      <c r="AF392" t="s">
        <v>74</v>
      </c>
      <c r="AG392">
        <v>54</v>
      </c>
      <c r="AH392">
        <v>0</v>
      </c>
      <c r="AI392">
        <v>0</v>
      </c>
      <c r="AJ392">
        <v>0</v>
      </c>
      <c r="AK392">
        <v>0</v>
      </c>
      <c r="AL392" t="s">
        <v>1188</v>
      </c>
      <c r="AM392" t="s">
        <v>93</v>
      </c>
      <c r="AN392" t="s">
        <v>1189</v>
      </c>
      <c r="AO392" t="s">
        <v>6888</v>
      </c>
      <c r="AP392" t="s">
        <v>6889</v>
      </c>
      <c r="AQ392" t="s">
        <v>74</v>
      </c>
      <c r="AR392" t="s">
        <v>6890</v>
      </c>
      <c r="AS392" t="s">
        <v>6891</v>
      </c>
      <c r="AT392" t="s">
        <v>6870</v>
      </c>
      <c r="AU392">
        <v>2023</v>
      </c>
      <c r="AV392" t="s">
        <v>74</v>
      </c>
      <c r="AW392" t="s">
        <v>74</v>
      </c>
      <c r="AX392" t="s">
        <v>74</v>
      </c>
      <c r="AY392" t="s">
        <v>74</v>
      </c>
      <c r="AZ392" t="s">
        <v>74</v>
      </c>
      <c r="BA392" t="s">
        <v>74</v>
      </c>
      <c r="BB392" t="s">
        <v>74</v>
      </c>
      <c r="BC392" t="s">
        <v>74</v>
      </c>
      <c r="BD392" t="s">
        <v>74</v>
      </c>
      <c r="BE392" t="s">
        <v>6892</v>
      </c>
      <c r="BF392" t="str">
        <f>HYPERLINK("http://dx.doi.org/10.1080/17448689.2023.2255690","http://dx.doi.org/10.1080/17448689.2023.2255690")</f>
        <v>http://dx.doi.org/10.1080/17448689.2023.2255690</v>
      </c>
      <c r="BG392" t="s">
        <v>74</v>
      </c>
      <c r="BH392" t="s">
        <v>5545</v>
      </c>
      <c r="BI392">
        <v>19</v>
      </c>
      <c r="BJ392" t="s">
        <v>6893</v>
      </c>
      <c r="BK392" t="s">
        <v>211</v>
      </c>
      <c r="BL392" t="s">
        <v>6894</v>
      </c>
      <c r="BM392" t="s">
        <v>6895</v>
      </c>
      <c r="BN392" t="s">
        <v>74</v>
      </c>
      <c r="BO392" t="s">
        <v>74</v>
      </c>
      <c r="BP392" t="s">
        <v>74</v>
      </c>
      <c r="BQ392" t="s">
        <v>74</v>
      </c>
      <c r="BR392" t="s">
        <v>105</v>
      </c>
      <c r="BS392" t="s">
        <v>6896</v>
      </c>
      <c r="BT392" t="str">
        <f>HYPERLINK("https%3A%2F%2Fwww.webofscience.com%2Fwos%2Fwoscc%2Ffull-record%2FWOS:001066704800001","View Full Record in Web of Science")</f>
        <v>View Full Record in Web of Science</v>
      </c>
    </row>
    <row r="393" spans="1:72" x14ac:dyDescent="0.15">
      <c r="A393" t="s">
        <v>72</v>
      </c>
      <c r="B393" t="s">
        <v>6897</v>
      </c>
      <c r="C393" t="s">
        <v>74</v>
      </c>
      <c r="D393" t="s">
        <v>74</v>
      </c>
      <c r="E393" t="s">
        <v>74</v>
      </c>
      <c r="F393" t="s">
        <v>6898</v>
      </c>
      <c r="G393" t="s">
        <v>74</v>
      </c>
      <c r="H393" t="s">
        <v>74</v>
      </c>
      <c r="I393" t="s">
        <v>6899</v>
      </c>
      <c r="J393" t="s">
        <v>6900</v>
      </c>
      <c r="K393" t="s">
        <v>74</v>
      </c>
      <c r="L393" t="s">
        <v>74</v>
      </c>
      <c r="M393" t="s">
        <v>78</v>
      </c>
      <c r="N393" t="s">
        <v>5492</v>
      </c>
      <c r="O393" t="s">
        <v>74</v>
      </c>
      <c r="P393" t="s">
        <v>74</v>
      </c>
      <c r="Q393" t="s">
        <v>74</v>
      </c>
      <c r="R393" t="s">
        <v>74</v>
      </c>
      <c r="S393" t="s">
        <v>74</v>
      </c>
      <c r="T393" t="s">
        <v>6901</v>
      </c>
      <c r="U393" t="s">
        <v>6902</v>
      </c>
      <c r="V393" t="s">
        <v>6903</v>
      </c>
      <c r="W393" t="s">
        <v>6904</v>
      </c>
      <c r="X393" t="s">
        <v>6905</v>
      </c>
      <c r="Y393" t="s">
        <v>6906</v>
      </c>
      <c r="Z393" t="s">
        <v>6907</v>
      </c>
      <c r="AA393" t="s">
        <v>74</v>
      </c>
      <c r="AB393" t="s">
        <v>74</v>
      </c>
      <c r="AC393" t="s">
        <v>6908</v>
      </c>
      <c r="AD393" t="s">
        <v>6909</v>
      </c>
      <c r="AE393" t="s">
        <v>6910</v>
      </c>
      <c r="AF393" t="s">
        <v>74</v>
      </c>
      <c r="AG393">
        <v>40</v>
      </c>
      <c r="AH393">
        <v>0</v>
      </c>
      <c r="AI393">
        <v>0</v>
      </c>
      <c r="AJ393">
        <v>0</v>
      </c>
      <c r="AK393">
        <v>0</v>
      </c>
      <c r="AL393" t="s">
        <v>1188</v>
      </c>
      <c r="AM393" t="s">
        <v>93</v>
      </c>
      <c r="AN393" t="s">
        <v>1189</v>
      </c>
      <c r="AO393" t="s">
        <v>6911</v>
      </c>
      <c r="AP393" t="s">
        <v>6912</v>
      </c>
      <c r="AQ393" t="s">
        <v>74</v>
      </c>
      <c r="AR393" t="s">
        <v>6913</v>
      </c>
      <c r="AS393" t="s">
        <v>6914</v>
      </c>
      <c r="AT393" t="s">
        <v>6870</v>
      </c>
      <c r="AU393">
        <v>2023</v>
      </c>
      <c r="AV393" t="s">
        <v>74</v>
      </c>
      <c r="AW393" t="s">
        <v>74</v>
      </c>
      <c r="AX393" t="s">
        <v>74</v>
      </c>
      <c r="AY393" t="s">
        <v>74</v>
      </c>
      <c r="AZ393" t="s">
        <v>74</v>
      </c>
      <c r="BA393" t="s">
        <v>74</v>
      </c>
      <c r="BB393" t="s">
        <v>74</v>
      </c>
      <c r="BC393" t="s">
        <v>74</v>
      </c>
      <c r="BD393" t="s">
        <v>74</v>
      </c>
      <c r="BE393" t="s">
        <v>6915</v>
      </c>
      <c r="BF393" t="str">
        <f>HYPERLINK("http://dx.doi.org/10.1080/02660830.2023.2249599","http://dx.doi.org/10.1080/02660830.2023.2249599")</f>
        <v>http://dx.doi.org/10.1080/02660830.2023.2249599</v>
      </c>
      <c r="BG393" t="s">
        <v>74</v>
      </c>
      <c r="BH393" t="s">
        <v>5545</v>
      </c>
      <c r="BI393">
        <v>25</v>
      </c>
      <c r="BJ393" t="s">
        <v>271</v>
      </c>
      <c r="BK393" t="s">
        <v>211</v>
      </c>
      <c r="BL393" t="s">
        <v>271</v>
      </c>
      <c r="BM393" t="s">
        <v>6916</v>
      </c>
      <c r="BN393" t="s">
        <v>74</v>
      </c>
      <c r="BO393" t="s">
        <v>74</v>
      </c>
      <c r="BP393" t="s">
        <v>74</v>
      </c>
      <c r="BQ393" t="s">
        <v>74</v>
      </c>
      <c r="BR393" t="s">
        <v>105</v>
      </c>
      <c r="BS393" t="s">
        <v>6917</v>
      </c>
      <c r="BT393" t="str">
        <f>HYPERLINK("https%3A%2F%2Fwww.webofscience.com%2Fwos%2Fwoscc%2Ffull-record%2FWOS:001065935200001","View Full Record in Web of Science")</f>
        <v>View Full Record in Web of Science</v>
      </c>
    </row>
    <row r="394" spans="1:72" x14ac:dyDescent="0.15">
      <c r="A394" t="s">
        <v>72</v>
      </c>
      <c r="B394" t="s">
        <v>6918</v>
      </c>
      <c r="C394" t="s">
        <v>74</v>
      </c>
      <c r="D394" t="s">
        <v>74</v>
      </c>
      <c r="E394" t="s">
        <v>74</v>
      </c>
      <c r="F394" t="s">
        <v>6919</v>
      </c>
      <c r="G394" t="s">
        <v>74</v>
      </c>
      <c r="H394" t="s">
        <v>74</v>
      </c>
      <c r="I394" t="s">
        <v>6920</v>
      </c>
      <c r="J394" t="s">
        <v>6921</v>
      </c>
      <c r="K394" t="s">
        <v>74</v>
      </c>
      <c r="L394" t="s">
        <v>74</v>
      </c>
      <c r="M394" t="s">
        <v>78</v>
      </c>
      <c r="N394" t="s">
        <v>6922</v>
      </c>
      <c r="O394" t="s">
        <v>74</v>
      </c>
      <c r="P394" t="s">
        <v>74</v>
      </c>
      <c r="Q394" t="s">
        <v>74</v>
      </c>
      <c r="R394" t="s">
        <v>74</v>
      </c>
      <c r="S394" t="s">
        <v>74</v>
      </c>
      <c r="T394" t="s">
        <v>74</v>
      </c>
      <c r="U394" t="s">
        <v>6923</v>
      </c>
      <c r="V394" t="s">
        <v>74</v>
      </c>
      <c r="W394" t="s">
        <v>6924</v>
      </c>
      <c r="X394" t="s">
        <v>6925</v>
      </c>
      <c r="Y394" t="s">
        <v>6926</v>
      </c>
      <c r="Z394" t="s">
        <v>6927</v>
      </c>
      <c r="AA394" t="s">
        <v>74</v>
      </c>
      <c r="AB394" t="s">
        <v>6928</v>
      </c>
      <c r="AC394" t="s">
        <v>74</v>
      </c>
      <c r="AD394" t="s">
        <v>74</v>
      </c>
      <c r="AE394" t="s">
        <v>74</v>
      </c>
      <c r="AF394" t="s">
        <v>74</v>
      </c>
      <c r="AG394">
        <v>26</v>
      </c>
      <c r="AH394">
        <v>0</v>
      </c>
      <c r="AI394">
        <v>0</v>
      </c>
      <c r="AJ394">
        <v>0</v>
      </c>
      <c r="AK394">
        <v>0</v>
      </c>
      <c r="AL394" t="s">
        <v>92</v>
      </c>
      <c r="AM394" t="s">
        <v>93</v>
      </c>
      <c r="AN394" t="s">
        <v>94</v>
      </c>
      <c r="AO394" t="s">
        <v>6929</v>
      </c>
      <c r="AP394" t="s">
        <v>6930</v>
      </c>
      <c r="AQ394" t="s">
        <v>74</v>
      </c>
      <c r="AR394" t="s">
        <v>6931</v>
      </c>
      <c r="AS394" t="s">
        <v>6932</v>
      </c>
      <c r="AT394" t="s">
        <v>6870</v>
      </c>
      <c r="AU394">
        <v>2023</v>
      </c>
      <c r="AV394" t="s">
        <v>74</v>
      </c>
      <c r="AW394" t="s">
        <v>74</v>
      </c>
      <c r="AX394" t="s">
        <v>74</v>
      </c>
      <c r="AY394" t="s">
        <v>74</v>
      </c>
      <c r="AZ394" t="s">
        <v>74</v>
      </c>
      <c r="BA394" t="s">
        <v>74</v>
      </c>
      <c r="BB394" t="s">
        <v>74</v>
      </c>
      <c r="BC394" t="s">
        <v>74</v>
      </c>
      <c r="BD394" t="s">
        <v>74</v>
      </c>
      <c r="BE394" t="s">
        <v>6933</v>
      </c>
      <c r="BF394" t="str">
        <f>HYPERLINK("http://dx.doi.org/10.1080/0284186X.2023.2258443","http://dx.doi.org/10.1080/0284186X.2023.2258443")</f>
        <v>http://dx.doi.org/10.1080/0284186X.2023.2258443</v>
      </c>
      <c r="BG394" t="s">
        <v>74</v>
      </c>
      <c r="BH394" t="s">
        <v>5545</v>
      </c>
      <c r="BI394">
        <v>6</v>
      </c>
      <c r="BJ394" t="s">
        <v>1353</v>
      </c>
      <c r="BK394" t="s">
        <v>102</v>
      </c>
      <c r="BL394" t="s">
        <v>1353</v>
      </c>
      <c r="BM394" t="s">
        <v>6934</v>
      </c>
      <c r="BN394">
        <v>37713274</v>
      </c>
      <c r="BO394" t="s">
        <v>5391</v>
      </c>
      <c r="BP394" t="s">
        <v>74</v>
      </c>
      <c r="BQ394" t="s">
        <v>74</v>
      </c>
      <c r="BR394" t="s">
        <v>105</v>
      </c>
      <c r="BS394" t="s">
        <v>6935</v>
      </c>
      <c r="BT394" t="str">
        <f>HYPERLINK("https%3A%2F%2Fwww.webofscience.com%2Fwos%2Fwoscc%2Ffull-record%2FWOS:001068653900001","View Full Record in Web of Science")</f>
        <v>View Full Record in Web of Science</v>
      </c>
    </row>
    <row r="395" spans="1:72" x14ac:dyDescent="0.15">
      <c r="A395" t="s">
        <v>72</v>
      </c>
      <c r="B395" t="s">
        <v>6936</v>
      </c>
      <c r="C395" t="s">
        <v>74</v>
      </c>
      <c r="D395" t="s">
        <v>74</v>
      </c>
      <c r="E395" t="s">
        <v>74</v>
      </c>
      <c r="F395" t="s">
        <v>6937</v>
      </c>
      <c r="G395" t="s">
        <v>74</v>
      </c>
      <c r="H395" t="s">
        <v>74</v>
      </c>
      <c r="I395" t="s">
        <v>6938</v>
      </c>
      <c r="J395" t="s">
        <v>6939</v>
      </c>
      <c r="K395" t="s">
        <v>74</v>
      </c>
      <c r="L395" t="s">
        <v>74</v>
      </c>
      <c r="M395" t="s">
        <v>78</v>
      </c>
      <c r="N395" t="s">
        <v>5492</v>
      </c>
      <c r="O395" t="s">
        <v>74</v>
      </c>
      <c r="P395" t="s">
        <v>74</v>
      </c>
      <c r="Q395" t="s">
        <v>74</v>
      </c>
      <c r="R395" t="s">
        <v>74</v>
      </c>
      <c r="S395" t="s">
        <v>74</v>
      </c>
      <c r="T395" t="s">
        <v>74</v>
      </c>
      <c r="U395" t="s">
        <v>74</v>
      </c>
      <c r="V395" t="s">
        <v>74</v>
      </c>
      <c r="W395" t="s">
        <v>74</v>
      </c>
      <c r="X395" t="s">
        <v>74</v>
      </c>
      <c r="Y395" t="s">
        <v>74</v>
      </c>
      <c r="Z395" t="s">
        <v>74</v>
      </c>
      <c r="AA395" t="s">
        <v>74</v>
      </c>
      <c r="AB395" t="s">
        <v>6940</v>
      </c>
      <c r="AC395" t="s">
        <v>74</v>
      </c>
      <c r="AD395" t="s">
        <v>74</v>
      </c>
      <c r="AE395" t="s">
        <v>74</v>
      </c>
      <c r="AF395" t="s">
        <v>74</v>
      </c>
      <c r="AG395">
        <v>18</v>
      </c>
      <c r="AH395">
        <v>0</v>
      </c>
      <c r="AI395">
        <v>0</v>
      </c>
      <c r="AJ395">
        <v>0</v>
      </c>
      <c r="AK395">
        <v>0</v>
      </c>
      <c r="AL395" t="s">
        <v>1188</v>
      </c>
      <c r="AM395" t="s">
        <v>93</v>
      </c>
      <c r="AN395" t="s">
        <v>1189</v>
      </c>
      <c r="AO395" t="s">
        <v>6941</v>
      </c>
      <c r="AP395" t="s">
        <v>6942</v>
      </c>
      <c r="AQ395" t="s">
        <v>74</v>
      </c>
      <c r="AR395" t="s">
        <v>6943</v>
      </c>
      <c r="AS395" t="s">
        <v>6944</v>
      </c>
      <c r="AT395" t="s">
        <v>6870</v>
      </c>
      <c r="AU395">
        <v>2023</v>
      </c>
      <c r="AV395" t="s">
        <v>74</v>
      </c>
      <c r="AW395" t="s">
        <v>74</v>
      </c>
      <c r="AX395" t="s">
        <v>74</v>
      </c>
      <c r="AY395" t="s">
        <v>74</v>
      </c>
      <c r="AZ395" t="s">
        <v>74</v>
      </c>
      <c r="BA395" t="s">
        <v>74</v>
      </c>
      <c r="BB395" t="s">
        <v>74</v>
      </c>
      <c r="BC395" t="s">
        <v>74</v>
      </c>
      <c r="BD395" t="s">
        <v>74</v>
      </c>
      <c r="BE395" t="s">
        <v>6945</v>
      </c>
      <c r="BF395" t="str">
        <f>HYPERLINK("http://dx.doi.org/10.1080/0895769X.2023.2258384","http://dx.doi.org/10.1080/0895769X.2023.2258384")</f>
        <v>http://dx.doi.org/10.1080/0895769X.2023.2258384</v>
      </c>
      <c r="BG395" t="s">
        <v>74</v>
      </c>
      <c r="BH395" t="s">
        <v>5545</v>
      </c>
      <c r="BI395">
        <v>13</v>
      </c>
      <c r="BJ395" t="s">
        <v>6283</v>
      </c>
      <c r="BK395" t="s">
        <v>6264</v>
      </c>
      <c r="BL395" t="s">
        <v>6283</v>
      </c>
      <c r="BM395" t="s">
        <v>6946</v>
      </c>
      <c r="BN395" t="s">
        <v>74</v>
      </c>
      <c r="BO395" t="s">
        <v>74</v>
      </c>
      <c r="BP395" t="s">
        <v>74</v>
      </c>
      <c r="BQ395" t="s">
        <v>74</v>
      </c>
      <c r="BR395" t="s">
        <v>105</v>
      </c>
      <c r="BS395" t="s">
        <v>6947</v>
      </c>
      <c r="BT395" t="str">
        <f>HYPERLINK("https%3A%2F%2Fwww.webofscience.com%2Fwos%2Fwoscc%2Ffull-record%2FWOS:001066855100001","View Full Record in Web of Science")</f>
        <v>View Full Record in Web of Science</v>
      </c>
    </row>
    <row r="396" spans="1:72" x14ac:dyDescent="0.15">
      <c r="A396" t="s">
        <v>72</v>
      </c>
      <c r="B396" t="s">
        <v>6948</v>
      </c>
      <c r="C396" t="s">
        <v>74</v>
      </c>
      <c r="D396" t="s">
        <v>74</v>
      </c>
      <c r="E396" t="s">
        <v>74</v>
      </c>
      <c r="F396" t="s">
        <v>6949</v>
      </c>
      <c r="G396" t="s">
        <v>74</v>
      </c>
      <c r="H396" t="s">
        <v>74</v>
      </c>
      <c r="I396" t="s">
        <v>6950</v>
      </c>
      <c r="J396" t="s">
        <v>6951</v>
      </c>
      <c r="K396" t="s">
        <v>74</v>
      </c>
      <c r="L396" t="s">
        <v>74</v>
      </c>
      <c r="M396" t="s">
        <v>78</v>
      </c>
      <c r="N396" t="s">
        <v>6754</v>
      </c>
      <c r="O396" t="s">
        <v>74</v>
      </c>
      <c r="P396" t="s">
        <v>74</v>
      </c>
      <c r="Q396" t="s">
        <v>74</v>
      </c>
      <c r="R396" t="s">
        <v>74</v>
      </c>
      <c r="S396" t="s">
        <v>74</v>
      </c>
      <c r="T396" t="s">
        <v>6952</v>
      </c>
      <c r="U396" t="s">
        <v>6953</v>
      </c>
      <c r="V396" t="s">
        <v>6954</v>
      </c>
      <c r="W396" t="s">
        <v>6955</v>
      </c>
      <c r="X396" t="s">
        <v>6956</v>
      </c>
      <c r="Y396" t="s">
        <v>6957</v>
      </c>
      <c r="Z396" t="s">
        <v>6958</v>
      </c>
      <c r="AA396" t="s">
        <v>74</v>
      </c>
      <c r="AB396" t="s">
        <v>74</v>
      </c>
      <c r="AC396" t="s">
        <v>6959</v>
      </c>
      <c r="AD396" t="s">
        <v>6960</v>
      </c>
      <c r="AE396" t="s">
        <v>6961</v>
      </c>
      <c r="AF396" t="s">
        <v>74</v>
      </c>
      <c r="AG396">
        <v>79</v>
      </c>
      <c r="AH396">
        <v>0</v>
      </c>
      <c r="AI396">
        <v>0</v>
      </c>
      <c r="AJ396">
        <v>0</v>
      </c>
      <c r="AK396">
        <v>0</v>
      </c>
      <c r="AL396" t="s">
        <v>92</v>
      </c>
      <c r="AM396" t="s">
        <v>93</v>
      </c>
      <c r="AN396" t="s">
        <v>94</v>
      </c>
      <c r="AO396" t="s">
        <v>6962</v>
      </c>
      <c r="AP396" t="s">
        <v>6963</v>
      </c>
      <c r="AQ396" t="s">
        <v>74</v>
      </c>
      <c r="AR396" t="s">
        <v>6964</v>
      </c>
      <c r="AS396" t="s">
        <v>6965</v>
      </c>
      <c r="AT396" t="s">
        <v>6870</v>
      </c>
      <c r="AU396">
        <v>2023</v>
      </c>
      <c r="AV396" t="s">
        <v>74</v>
      </c>
      <c r="AW396" t="s">
        <v>74</v>
      </c>
      <c r="AX396" t="s">
        <v>74</v>
      </c>
      <c r="AY396" t="s">
        <v>74</v>
      </c>
      <c r="AZ396" t="s">
        <v>74</v>
      </c>
      <c r="BA396" t="s">
        <v>74</v>
      </c>
      <c r="BB396" t="s">
        <v>74</v>
      </c>
      <c r="BC396" t="s">
        <v>74</v>
      </c>
      <c r="BD396" t="s">
        <v>74</v>
      </c>
      <c r="BE396" t="s">
        <v>6966</v>
      </c>
      <c r="BF396" t="str">
        <f>HYPERLINK("http://dx.doi.org/10.1080/17474124.2023.2232718","http://dx.doi.org/10.1080/17474124.2023.2232718")</f>
        <v>http://dx.doi.org/10.1080/17474124.2023.2232718</v>
      </c>
      <c r="BG396" t="s">
        <v>74</v>
      </c>
      <c r="BH396" t="s">
        <v>5545</v>
      </c>
      <c r="BI396">
        <v>8</v>
      </c>
      <c r="BJ396" t="s">
        <v>6967</v>
      </c>
      <c r="BK396" t="s">
        <v>102</v>
      </c>
      <c r="BL396" t="s">
        <v>6967</v>
      </c>
      <c r="BM396" t="s">
        <v>6968</v>
      </c>
      <c r="BN396">
        <v>37705376</v>
      </c>
      <c r="BO396" t="s">
        <v>74</v>
      </c>
      <c r="BP396" t="s">
        <v>74</v>
      </c>
      <c r="BQ396" t="s">
        <v>74</v>
      </c>
      <c r="BR396" t="s">
        <v>105</v>
      </c>
      <c r="BS396" t="s">
        <v>6969</v>
      </c>
      <c r="BT396" t="str">
        <f>HYPERLINK("https%3A%2F%2Fwww.webofscience.com%2Fwos%2Fwoscc%2Ffull-record%2FWOS:001065892100001","View Full Record in Web of Science")</f>
        <v>View Full Record in Web of Science</v>
      </c>
    </row>
    <row r="397" spans="1:72" x14ac:dyDescent="0.15">
      <c r="A397" t="s">
        <v>72</v>
      </c>
      <c r="B397" t="s">
        <v>6970</v>
      </c>
      <c r="C397" t="s">
        <v>74</v>
      </c>
      <c r="D397" t="s">
        <v>74</v>
      </c>
      <c r="E397" t="s">
        <v>74</v>
      </c>
      <c r="F397" t="s">
        <v>6971</v>
      </c>
      <c r="G397" t="s">
        <v>74</v>
      </c>
      <c r="H397" t="s">
        <v>74</v>
      </c>
      <c r="I397" t="s">
        <v>6972</v>
      </c>
      <c r="J397" t="s">
        <v>6973</v>
      </c>
      <c r="K397" t="s">
        <v>74</v>
      </c>
      <c r="L397" t="s">
        <v>74</v>
      </c>
      <c r="M397" t="s">
        <v>78</v>
      </c>
      <c r="N397" t="s">
        <v>5492</v>
      </c>
      <c r="O397" t="s">
        <v>74</v>
      </c>
      <c r="P397" t="s">
        <v>74</v>
      </c>
      <c r="Q397" t="s">
        <v>74</v>
      </c>
      <c r="R397" t="s">
        <v>74</v>
      </c>
      <c r="S397" t="s">
        <v>74</v>
      </c>
      <c r="T397" t="s">
        <v>6974</v>
      </c>
      <c r="U397" t="s">
        <v>6975</v>
      </c>
      <c r="V397" t="s">
        <v>6976</v>
      </c>
      <c r="W397" t="s">
        <v>6977</v>
      </c>
      <c r="X397" t="s">
        <v>6978</v>
      </c>
      <c r="Y397" t="s">
        <v>6979</v>
      </c>
      <c r="Z397" t="s">
        <v>6980</v>
      </c>
      <c r="AA397" t="s">
        <v>74</v>
      </c>
      <c r="AB397" t="s">
        <v>74</v>
      </c>
      <c r="AC397" t="s">
        <v>6981</v>
      </c>
      <c r="AD397" t="s">
        <v>1368</v>
      </c>
      <c r="AE397" t="s">
        <v>6982</v>
      </c>
      <c r="AF397" t="s">
        <v>74</v>
      </c>
      <c r="AG397">
        <v>21</v>
      </c>
      <c r="AH397">
        <v>0</v>
      </c>
      <c r="AI397">
        <v>0</v>
      </c>
      <c r="AJ397">
        <v>1</v>
      </c>
      <c r="AK397">
        <v>1</v>
      </c>
      <c r="AL397" t="s">
        <v>184</v>
      </c>
      <c r="AM397" t="s">
        <v>185</v>
      </c>
      <c r="AN397" t="s">
        <v>186</v>
      </c>
      <c r="AO397" t="s">
        <v>6983</v>
      </c>
      <c r="AP397" t="s">
        <v>6984</v>
      </c>
      <c r="AQ397" t="s">
        <v>74</v>
      </c>
      <c r="AR397" t="s">
        <v>6985</v>
      </c>
      <c r="AS397" t="s">
        <v>6986</v>
      </c>
      <c r="AT397" t="s">
        <v>6870</v>
      </c>
      <c r="AU397">
        <v>2023</v>
      </c>
      <c r="AV397" t="s">
        <v>74</v>
      </c>
      <c r="AW397" t="s">
        <v>74</v>
      </c>
      <c r="AX397" t="s">
        <v>74</v>
      </c>
      <c r="AY397" t="s">
        <v>74</v>
      </c>
      <c r="AZ397" t="s">
        <v>74</v>
      </c>
      <c r="BA397" t="s">
        <v>74</v>
      </c>
      <c r="BB397" t="s">
        <v>74</v>
      </c>
      <c r="BC397" t="s">
        <v>74</v>
      </c>
      <c r="BD397" t="s">
        <v>74</v>
      </c>
      <c r="BE397" t="s">
        <v>6987</v>
      </c>
      <c r="BF397" t="str">
        <f>HYPERLINK("http://dx.doi.org/10.1080/1536383X.2023.2259515","http://dx.doi.org/10.1080/1536383X.2023.2259515")</f>
        <v>http://dx.doi.org/10.1080/1536383X.2023.2259515</v>
      </c>
      <c r="BG397" t="s">
        <v>74</v>
      </c>
      <c r="BH397" t="s">
        <v>5545</v>
      </c>
      <c r="BI397">
        <v>9</v>
      </c>
      <c r="BJ397" t="s">
        <v>6988</v>
      </c>
      <c r="BK397" t="s">
        <v>102</v>
      </c>
      <c r="BL397" t="s">
        <v>6989</v>
      </c>
      <c r="BM397" t="s">
        <v>6990</v>
      </c>
      <c r="BN397" t="s">
        <v>74</v>
      </c>
      <c r="BO397" t="s">
        <v>74</v>
      </c>
      <c r="BP397" t="s">
        <v>74</v>
      </c>
      <c r="BQ397" t="s">
        <v>74</v>
      </c>
      <c r="BR397" t="s">
        <v>105</v>
      </c>
      <c r="BS397" t="s">
        <v>6991</v>
      </c>
      <c r="BT397" t="str">
        <f>HYPERLINK("https%3A%2F%2Fwww.webofscience.com%2Fwos%2Fwoscc%2Ffull-record%2FWOS:001068504100001","View Full Record in Web of Science")</f>
        <v>View Full Record in Web of Science</v>
      </c>
    </row>
    <row r="398" spans="1:72" x14ac:dyDescent="0.15">
      <c r="A398" t="s">
        <v>72</v>
      </c>
      <c r="B398" t="s">
        <v>6992</v>
      </c>
      <c r="C398" t="s">
        <v>74</v>
      </c>
      <c r="D398" t="s">
        <v>74</v>
      </c>
      <c r="E398" t="s">
        <v>74</v>
      </c>
      <c r="F398" t="s">
        <v>6993</v>
      </c>
      <c r="G398" t="s">
        <v>74</v>
      </c>
      <c r="H398" t="s">
        <v>74</v>
      </c>
      <c r="I398" t="s">
        <v>6994</v>
      </c>
      <c r="J398" t="s">
        <v>6995</v>
      </c>
      <c r="K398" t="s">
        <v>74</v>
      </c>
      <c r="L398" t="s">
        <v>74</v>
      </c>
      <c r="M398" t="s">
        <v>78</v>
      </c>
      <c r="N398" t="s">
        <v>6352</v>
      </c>
      <c r="O398" t="s">
        <v>74</v>
      </c>
      <c r="P398" t="s">
        <v>74</v>
      </c>
      <c r="Q398" t="s">
        <v>74</v>
      </c>
      <c r="R398" t="s">
        <v>74</v>
      </c>
      <c r="S398" t="s">
        <v>74</v>
      </c>
      <c r="T398" t="s">
        <v>74</v>
      </c>
      <c r="U398" t="s">
        <v>74</v>
      </c>
      <c r="V398" t="s">
        <v>74</v>
      </c>
      <c r="W398" t="s">
        <v>6996</v>
      </c>
      <c r="X398" t="s">
        <v>6997</v>
      </c>
      <c r="Y398" t="s">
        <v>6998</v>
      </c>
      <c r="Z398" t="s">
        <v>74</v>
      </c>
      <c r="AA398" t="s">
        <v>74</v>
      </c>
      <c r="AB398" t="s">
        <v>74</v>
      </c>
      <c r="AC398" t="s">
        <v>74</v>
      </c>
      <c r="AD398" t="s">
        <v>74</v>
      </c>
      <c r="AE398" t="s">
        <v>74</v>
      </c>
      <c r="AF398" t="s">
        <v>74</v>
      </c>
      <c r="AG398">
        <v>8</v>
      </c>
      <c r="AH398">
        <v>0</v>
      </c>
      <c r="AI398">
        <v>0</v>
      </c>
      <c r="AJ398">
        <v>0</v>
      </c>
      <c r="AK398">
        <v>0</v>
      </c>
      <c r="AL398" t="s">
        <v>1188</v>
      </c>
      <c r="AM398" t="s">
        <v>93</v>
      </c>
      <c r="AN398" t="s">
        <v>1189</v>
      </c>
      <c r="AO398" t="s">
        <v>6999</v>
      </c>
      <c r="AP398" t="s">
        <v>7000</v>
      </c>
      <c r="AQ398" t="s">
        <v>74</v>
      </c>
      <c r="AR398" t="s">
        <v>7001</v>
      </c>
      <c r="AS398" t="s">
        <v>7002</v>
      </c>
      <c r="AT398" t="s">
        <v>6870</v>
      </c>
      <c r="AU398">
        <v>2023</v>
      </c>
      <c r="AV398" t="s">
        <v>74</v>
      </c>
      <c r="AW398" t="s">
        <v>74</v>
      </c>
      <c r="AX398" t="s">
        <v>74</v>
      </c>
      <c r="AY398" t="s">
        <v>74</v>
      </c>
      <c r="AZ398" t="s">
        <v>74</v>
      </c>
      <c r="BA398" t="s">
        <v>74</v>
      </c>
      <c r="BB398" t="s">
        <v>74</v>
      </c>
      <c r="BC398" t="s">
        <v>74</v>
      </c>
      <c r="BD398">
        <v>2257453</v>
      </c>
      <c r="BE398" t="s">
        <v>7003</v>
      </c>
      <c r="BF398" t="str">
        <f>HYPERLINK("http://dx.doi.org/10.1080/09540962.2023.2257453","http://dx.doi.org/10.1080/09540962.2023.2257453")</f>
        <v>http://dx.doi.org/10.1080/09540962.2023.2257453</v>
      </c>
      <c r="BG398" t="s">
        <v>74</v>
      </c>
      <c r="BH398" t="s">
        <v>5545</v>
      </c>
      <c r="BI398">
        <v>2</v>
      </c>
      <c r="BJ398" t="s">
        <v>7004</v>
      </c>
      <c r="BK398" t="s">
        <v>272</v>
      </c>
      <c r="BL398" t="s">
        <v>7004</v>
      </c>
      <c r="BM398" t="s">
        <v>7005</v>
      </c>
      <c r="BN398" t="s">
        <v>74</v>
      </c>
      <c r="BO398" t="s">
        <v>887</v>
      </c>
      <c r="BP398" t="s">
        <v>74</v>
      </c>
      <c r="BQ398" t="s">
        <v>74</v>
      </c>
      <c r="BR398" t="s">
        <v>105</v>
      </c>
      <c r="BS398" t="s">
        <v>7006</v>
      </c>
      <c r="BT398" t="str">
        <f>HYPERLINK("https%3A%2F%2Fwww.webofscience.com%2Fwos%2Fwoscc%2Ffull-record%2FWOS:001071060700001","View Full Record in Web of Science")</f>
        <v>View Full Record in Web of Science</v>
      </c>
    </row>
    <row r="399" spans="1:72" x14ac:dyDescent="0.15">
      <c r="A399" t="s">
        <v>72</v>
      </c>
      <c r="B399" t="s">
        <v>7007</v>
      </c>
      <c r="C399" t="s">
        <v>74</v>
      </c>
      <c r="D399" t="s">
        <v>74</v>
      </c>
      <c r="E399" t="s">
        <v>74</v>
      </c>
      <c r="F399" t="s">
        <v>7008</v>
      </c>
      <c r="G399" t="s">
        <v>74</v>
      </c>
      <c r="H399" t="s">
        <v>74</v>
      </c>
      <c r="I399" t="s">
        <v>7009</v>
      </c>
      <c r="J399" t="s">
        <v>7010</v>
      </c>
      <c r="K399" t="s">
        <v>74</v>
      </c>
      <c r="L399" t="s">
        <v>74</v>
      </c>
      <c r="M399" t="s">
        <v>78</v>
      </c>
      <c r="N399" t="s">
        <v>6253</v>
      </c>
      <c r="O399" t="s">
        <v>74</v>
      </c>
      <c r="P399" t="s">
        <v>74</v>
      </c>
      <c r="Q399" t="s">
        <v>74</v>
      </c>
      <c r="R399" t="s">
        <v>74</v>
      </c>
      <c r="S399" t="s">
        <v>74</v>
      </c>
      <c r="T399" t="s">
        <v>74</v>
      </c>
      <c r="U399" t="s">
        <v>74</v>
      </c>
      <c r="V399" t="s">
        <v>74</v>
      </c>
      <c r="W399" t="s">
        <v>7011</v>
      </c>
      <c r="X399" t="s">
        <v>7012</v>
      </c>
      <c r="Y399" t="s">
        <v>7013</v>
      </c>
      <c r="Z399" t="s">
        <v>74</v>
      </c>
      <c r="AA399" t="s">
        <v>74</v>
      </c>
      <c r="AB399" t="s">
        <v>74</v>
      </c>
      <c r="AC399" t="s">
        <v>74</v>
      </c>
      <c r="AD399" t="s">
        <v>74</v>
      </c>
      <c r="AE399" t="s">
        <v>74</v>
      </c>
      <c r="AF399" t="s">
        <v>74</v>
      </c>
      <c r="AG399">
        <v>1</v>
      </c>
      <c r="AH399">
        <v>0</v>
      </c>
      <c r="AI399">
        <v>0</v>
      </c>
      <c r="AJ399">
        <v>0</v>
      </c>
      <c r="AK399">
        <v>0</v>
      </c>
      <c r="AL399" t="s">
        <v>1188</v>
      </c>
      <c r="AM399" t="s">
        <v>93</v>
      </c>
      <c r="AN399" t="s">
        <v>1189</v>
      </c>
      <c r="AO399" t="s">
        <v>7014</v>
      </c>
      <c r="AP399" t="s">
        <v>7015</v>
      </c>
      <c r="AQ399" t="s">
        <v>74</v>
      </c>
      <c r="AR399" t="s">
        <v>7016</v>
      </c>
      <c r="AS399" t="s">
        <v>7017</v>
      </c>
      <c r="AT399" t="s">
        <v>7018</v>
      </c>
      <c r="AU399">
        <v>2023</v>
      </c>
      <c r="AV399" t="s">
        <v>74</v>
      </c>
      <c r="AW399" t="s">
        <v>74</v>
      </c>
      <c r="AX399" t="s">
        <v>74</v>
      </c>
      <c r="AY399" t="s">
        <v>74</v>
      </c>
      <c r="AZ399" t="s">
        <v>74</v>
      </c>
      <c r="BA399" t="s">
        <v>74</v>
      </c>
      <c r="BB399" t="s">
        <v>74</v>
      </c>
      <c r="BC399" t="s">
        <v>74</v>
      </c>
      <c r="BD399" t="s">
        <v>74</v>
      </c>
      <c r="BE399" t="s">
        <v>7019</v>
      </c>
      <c r="BF399" t="str">
        <f>HYPERLINK("http://dx.doi.org/10.1080/00048402.2023.2256768","http://dx.doi.org/10.1080/00048402.2023.2256768")</f>
        <v>http://dx.doi.org/10.1080/00048402.2023.2256768</v>
      </c>
      <c r="BG399" t="s">
        <v>74</v>
      </c>
      <c r="BH399" t="s">
        <v>5545</v>
      </c>
      <c r="BI399">
        <v>4</v>
      </c>
      <c r="BJ399" t="s">
        <v>6811</v>
      </c>
      <c r="BK399" t="s">
        <v>6264</v>
      </c>
      <c r="BL399" t="s">
        <v>6811</v>
      </c>
      <c r="BM399" t="s">
        <v>7020</v>
      </c>
      <c r="BN399" t="s">
        <v>74</v>
      </c>
      <c r="BO399" t="s">
        <v>74</v>
      </c>
      <c r="BP399" t="s">
        <v>74</v>
      </c>
      <c r="BQ399" t="s">
        <v>74</v>
      </c>
      <c r="BR399" t="s">
        <v>105</v>
      </c>
      <c r="BS399" t="s">
        <v>7021</v>
      </c>
      <c r="BT399" t="str">
        <f>HYPERLINK("https%3A%2F%2Fwww.webofscience.com%2Fwos%2Fwoscc%2Ffull-record%2FWOS:001066857600001","View Full Record in Web of Science")</f>
        <v>View Full Record in Web of Science</v>
      </c>
    </row>
    <row r="400" spans="1:72" x14ac:dyDescent="0.15">
      <c r="A400" t="s">
        <v>72</v>
      </c>
      <c r="B400" t="s">
        <v>7022</v>
      </c>
      <c r="C400" t="s">
        <v>74</v>
      </c>
      <c r="D400" t="s">
        <v>74</v>
      </c>
      <c r="E400" t="s">
        <v>74</v>
      </c>
      <c r="F400" t="s">
        <v>7023</v>
      </c>
      <c r="G400" t="s">
        <v>74</v>
      </c>
      <c r="H400" t="s">
        <v>74</v>
      </c>
      <c r="I400" t="s">
        <v>7024</v>
      </c>
      <c r="J400" t="s">
        <v>7025</v>
      </c>
      <c r="K400" t="s">
        <v>74</v>
      </c>
      <c r="L400" t="s">
        <v>74</v>
      </c>
      <c r="M400" t="s">
        <v>78</v>
      </c>
      <c r="N400" t="s">
        <v>5492</v>
      </c>
      <c r="O400" t="s">
        <v>74</v>
      </c>
      <c r="P400" t="s">
        <v>74</v>
      </c>
      <c r="Q400" t="s">
        <v>74</v>
      </c>
      <c r="R400" t="s">
        <v>74</v>
      </c>
      <c r="S400" t="s">
        <v>74</v>
      </c>
      <c r="T400" t="s">
        <v>7026</v>
      </c>
      <c r="U400" t="s">
        <v>7027</v>
      </c>
      <c r="V400" t="s">
        <v>7028</v>
      </c>
      <c r="W400" t="s">
        <v>7029</v>
      </c>
      <c r="X400" t="s">
        <v>7030</v>
      </c>
      <c r="Y400" t="s">
        <v>7031</v>
      </c>
      <c r="Z400" t="s">
        <v>7032</v>
      </c>
      <c r="AA400" t="s">
        <v>74</v>
      </c>
      <c r="AB400" t="s">
        <v>74</v>
      </c>
      <c r="AC400" t="s">
        <v>7033</v>
      </c>
      <c r="AD400" t="s">
        <v>7034</v>
      </c>
      <c r="AE400" t="s">
        <v>7035</v>
      </c>
      <c r="AF400" t="s">
        <v>74</v>
      </c>
      <c r="AG400">
        <v>61</v>
      </c>
      <c r="AH400">
        <v>0</v>
      </c>
      <c r="AI400">
        <v>0</v>
      </c>
      <c r="AJ400">
        <v>0</v>
      </c>
      <c r="AK400">
        <v>0</v>
      </c>
      <c r="AL400" t="s">
        <v>92</v>
      </c>
      <c r="AM400" t="s">
        <v>93</v>
      </c>
      <c r="AN400" t="s">
        <v>94</v>
      </c>
      <c r="AO400" t="s">
        <v>7036</v>
      </c>
      <c r="AP400" t="s">
        <v>7037</v>
      </c>
      <c r="AQ400" t="s">
        <v>74</v>
      </c>
      <c r="AR400" t="s">
        <v>7038</v>
      </c>
      <c r="AS400" t="s">
        <v>7039</v>
      </c>
      <c r="AT400" t="s">
        <v>7018</v>
      </c>
      <c r="AU400">
        <v>2023</v>
      </c>
      <c r="AV400" t="s">
        <v>74</v>
      </c>
      <c r="AW400" t="s">
        <v>74</v>
      </c>
      <c r="AX400" t="s">
        <v>74</v>
      </c>
      <c r="AY400" t="s">
        <v>74</v>
      </c>
      <c r="AZ400" t="s">
        <v>74</v>
      </c>
      <c r="BA400" t="s">
        <v>74</v>
      </c>
      <c r="BB400" t="s">
        <v>74</v>
      </c>
      <c r="BC400" t="s">
        <v>74</v>
      </c>
      <c r="BD400" t="s">
        <v>74</v>
      </c>
      <c r="BE400" t="s">
        <v>7040</v>
      </c>
      <c r="BF400" t="str">
        <f>HYPERLINK("http://dx.doi.org/10.1080/00084433.2023.2257569","http://dx.doi.org/10.1080/00084433.2023.2257569")</f>
        <v>http://dx.doi.org/10.1080/00084433.2023.2257569</v>
      </c>
      <c r="BG400" t="s">
        <v>74</v>
      </c>
      <c r="BH400" t="s">
        <v>5545</v>
      </c>
      <c r="BI400">
        <v>14</v>
      </c>
      <c r="BJ400" t="s">
        <v>5970</v>
      </c>
      <c r="BK400" t="s">
        <v>102</v>
      </c>
      <c r="BL400" t="s">
        <v>5970</v>
      </c>
      <c r="BM400" t="s">
        <v>7041</v>
      </c>
      <c r="BN400" t="s">
        <v>74</v>
      </c>
      <c r="BO400" t="s">
        <v>74</v>
      </c>
      <c r="BP400" t="s">
        <v>74</v>
      </c>
      <c r="BQ400" t="s">
        <v>74</v>
      </c>
      <c r="BR400" t="s">
        <v>105</v>
      </c>
      <c r="BS400" t="s">
        <v>7042</v>
      </c>
      <c r="BT400" t="str">
        <f>HYPERLINK("https%3A%2F%2Fwww.webofscience.com%2Fwos%2Fwoscc%2Ffull-record%2FWOS:001065888400001","View Full Record in Web of Science")</f>
        <v>View Full Record in Web of Science</v>
      </c>
    </row>
    <row r="401" spans="1:72" x14ac:dyDescent="0.15">
      <c r="A401" t="s">
        <v>72</v>
      </c>
      <c r="B401" t="s">
        <v>7043</v>
      </c>
      <c r="C401" t="s">
        <v>74</v>
      </c>
      <c r="D401" t="s">
        <v>74</v>
      </c>
      <c r="E401" t="s">
        <v>74</v>
      </c>
      <c r="F401" t="s">
        <v>7044</v>
      </c>
      <c r="G401" t="s">
        <v>74</v>
      </c>
      <c r="H401" t="s">
        <v>74</v>
      </c>
      <c r="I401" t="s">
        <v>7045</v>
      </c>
      <c r="J401" t="s">
        <v>7046</v>
      </c>
      <c r="K401" t="s">
        <v>74</v>
      </c>
      <c r="L401" t="s">
        <v>74</v>
      </c>
      <c r="M401" t="s">
        <v>78</v>
      </c>
      <c r="N401" t="s">
        <v>5492</v>
      </c>
      <c r="O401" t="s">
        <v>74</v>
      </c>
      <c r="P401" t="s">
        <v>74</v>
      </c>
      <c r="Q401" t="s">
        <v>74</v>
      </c>
      <c r="R401" t="s">
        <v>74</v>
      </c>
      <c r="S401" t="s">
        <v>74</v>
      </c>
      <c r="T401" t="s">
        <v>74</v>
      </c>
      <c r="U401" t="s">
        <v>74</v>
      </c>
      <c r="V401" t="s">
        <v>7047</v>
      </c>
      <c r="W401" t="s">
        <v>7048</v>
      </c>
      <c r="X401" t="s">
        <v>7049</v>
      </c>
      <c r="Y401" t="s">
        <v>7050</v>
      </c>
      <c r="Z401" t="s">
        <v>74</v>
      </c>
      <c r="AA401" t="s">
        <v>74</v>
      </c>
      <c r="AB401" t="s">
        <v>74</v>
      </c>
      <c r="AC401" t="s">
        <v>74</v>
      </c>
      <c r="AD401" t="s">
        <v>74</v>
      </c>
      <c r="AE401" t="s">
        <v>74</v>
      </c>
      <c r="AF401" t="s">
        <v>74</v>
      </c>
      <c r="AG401">
        <v>85</v>
      </c>
      <c r="AH401">
        <v>0</v>
      </c>
      <c r="AI401">
        <v>0</v>
      </c>
      <c r="AJ401">
        <v>0</v>
      </c>
      <c r="AK401">
        <v>0</v>
      </c>
      <c r="AL401" t="s">
        <v>1188</v>
      </c>
      <c r="AM401" t="s">
        <v>93</v>
      </c>
      <c r="AN401" t="s">
        <v>1189</v>
      </c>
      <c r="AO401" t="s">
        <v>7051</v>
      </c>
      <c r="AP401" t="s">
        <v>7052</v>
      </c>
      <c r="AQ401" t="s">
        <v>74</v>
      </c>
      <c r="AR401" t="s">
        <v>7053</v>
      </c>
      <c r="AS401" t="s">
        <v>7054</v>
      </c>
      <c r="AT401" t="s">
        <v>7018</v>
      </c>
      <c r="AU401">
        <v>2023</v>
      </c>
      <c r="AV401" t="s">
        <v>74</v>
      </c>
      <c r="AW401" t="s">
        <v>74</v>
      </c>
      <c r="AX401" t="s">
        <v>74</v>
      </c>
      <c r="AY401" t="s">
        <v>74</v>
      </c>
      <c r="AZ401" t="s">
        <v>74</v>
      </c>
      <c r="BA401" t="s">
        <v>74</v>
      </c>
      <c r="BB401" t="s">
        <v>74</v>
      </c>
      <c r="BC401" t="s">
        <v>74</v>
      </c>
      <c r="BD401" t="s">
        <v>74</v>
      </c>
      <c r="BE401" t="s">
        <v>7055</v>
      </c>
      <c r="BF401" t="str">
        <f>HYPERLINK("http://dx.doi.org/10.1080/14753820.2023.2247708","http://dx.doi.org/10.1080/14753820.2023.2247708")</f>
        <v>http://dx.doi.org/10.1080/14753820.2023.2247708</v>
      </c>
      <c r="BG401" t="s">
        <v>74</v>
      </c>
      <c r="BH401" t="s">
        <v>5545</v>
      </c>
      <c r="BI401">
        <v>23</v>
      </c>
      <c r="BJ401" t="s">
        <v>7056</v>
      </c>
      <c r="BK401" t="s">
        <v>6264</v>
      </c>
      <c r="BL401" t="s">
        <v>6283</v>
      </c>
      <c r="BM401" t="s">
        <v>7057</v>
      </c>
      <c r="BN401" t="s">
        <v>74</v>
      </c>
      <c r="BO401" t="s">
        <v>74</v>
      </c>
      <c r="BP401" t="s">
        <v>74</v>
      </c>
      <c r="BQ401" t="s">
        <v>74</v>
      </c>
      <c r="BR401" t="s">
        <v>105</v>
      </c>
      <c r="BS401" t="s">
        <v>7058</v>
      </c>
      <c r="BT401" t="str">
        <f>HYPERLINK("https%3A%2F%2Fwww.webofscience.com%2Fwos%2Fwoscc%2Ffull-record%2FWOS:001068470600001","View Full Record in Web of Science")</f>
        <v>View Full Record in Web of Science</v>
      </c>
    </row>
    <row r="402" spans="1:72" x14ac:dyDescent="0.15">
      <c r="A402" t="s">
        <v>72</v>
      </c>
      <c r="B402" t="s">
        <v>7059</v>
      </c>
      <c r="C402" t="s">
        <v>74</v>
      </c>
      <c r="D402" t="s">
        <v>74</v>
      </c>
      <c r="E402" t="s">
        <v>74</v>
      </c>
      <c r="F402" t="s">
        <v>7060</v>
      </c>
      <c r="G402" t="s">
        <v>74</v>
      </c>
      <c r="H402" t="s">
        <v>74</v>
      </c>
      <c r="I402" t="s">
        <v>7061</v>
      </c>
      <c r="J402" t="s">
        <v>7062</v>
      </c>
      <c r="K402" t="s">
        <v>74</v>
      </c>
      <c r="L402" t="s">
        <v>74</v>
      </c>
      <c r="M402" t="s">
        <v>78</v>
      </c>
      <c r="N402" t="s">
        <v>5492</v>
      </c>
      <c r="O402" t="s">
        <v>74</v>
      </c>
      <c r="P402" t="s">
        <v>74</v>
      </c>
      <c r="Q402" t="s">
        <v>74</v>
      </c>
      <c r="R402" t="s">
        <v>74</v>
      </c>
      <c r="S402" t="s">
        <v>74</v>
      </c>
      <c r="T402" t="s">
        <v>7063</v>
      </c>
      <c r="U402" t="s">
        <v>7064</v>
      </c>
      <c r="V402" t="s">
        <v>7065</v>
      </c>
      <c r="W402" t="s">
        <v>7066</v>
      </c>
      <c r="X402" t="s">
        <v>74</v>
      </c>
      <c r="Y402" t="s">
        <v>7067</v>
      </c>
      <c r="Z402" t="s">
        <v>7068</v>
      </c>
      <c r="AA402" t="s">
        <v>74</v>
      </c>
      <c r="AB402" t="s">
        <v>74</v>
      </c>
      <c r="AC402" t="s">
        <v>74</v>
      </c>
      <c r="AD402" t="s">
        <v>74</v>
      </c>
      <c r="AE402" t="s">
        <v>74</v>
      </c>
      <c r="AF402" t="s">
        <v>74</v>
      </c>
      <c r="AG402">
        <v>56</v>
      </c>
      <c r="AH402">
        <v>0</v>
      </c>
      <c r="AI402">
        <v>0</v>
      </c>
      <c r="AJ402">
        <v>2</v>
      </c>
      <c r="AK402">
        <v>2</v>
      </c>
      <c r="AL402" t="s">
        <v>1188</v>
      </c>
      <c r="AM402" t="s">
        <v>93</v>
      </c>
      <c r="AN402" t="s">
        <v>1189</v>
      </c>
      <c r="AO402" t="s">
        <v>7069</v>
      </c>
      <c r="AP402" t="s">
        <v>7070</v>
      </c>
      <c r="AQ402" t="s">
        <v>74</v>
      </c>
      <c r="AR402" t="s">
        <v>7071</v>
      </c>
      <c r="AS402" t="s">
        <v>7072</v>
      </c>
      <c r="AT402" t="s">
        <v>7018</v>
      </c>
      <c r="AU402">
        <v>2023</v>
      </c>
      <c r="AV402" t="s">
        <v>74</v>
      </c>
      <c r="AW402" t="s">
        <v>74</v>
      </c>
      <c r="AX402" t="s">
        <v>74</v>
      </c>
      <c r="AY402" t="s">
        <v>74</v>
      </c>
      <c r="AZ402" t="s">
        <v>74</v>
      </c>
      <c r="BA402" t="s">
        <v>74</v>
      </c>
      <c r="BB402" t="s">
        <v>74</v>
      </c>
      <c r="BC402" t="s">
        <v>74</v>
      </c>
      <c r="BD402" t="s">
        <v>74</v>
      </c>
      <c r="BE402" t="s">
        <v>7073</v>
      </c>
      <c r="BF402" t="str">
        <f>HYPERLINK("http://dx.doi.org/10.1080/09518398.2023.2258094","http://dx.doi.org/10.1080/09518398.2023.2258094")</f>
        <v>http://dx.doi.org/10.1080/09518398.2023.2258094</v>
      </c>
      <c r="BG402" t="s">
        <v>74</v>
      </c>
      <c r="BH402" t="s">
        <v>5545</v>
      </c>
      <c r="BI402">
        <v>15</v>
      </c>
      <c r="BJ402" t="s">
        <v>271</v>
      </c>
      <c r="BK402" t="s">
        <v>211</v>
      </c>
      <c r="BL402" t="s">
        <v>271</v>
      </c>
      <c r="BM402" t="s">
        <v>7074</v>
      </c>
      <c r="BN402" t="s">
        <v>74</v>
      </c>
      <c r="BO402" t="s">
        <v>74</v>
      </c>
      <c r="BP402" t="s">
        <v>74</v>
      </c>
      <c r="BQ402" t="s">
        <v>74</v>
      </c>
      <c r="BR402" t="s">
        <v>105</v>
      </c>
      <c r="BS402" t="s">
        <v>7075</v>
      </c>
      <c r="BT402" t="str">
        <f>HYPERLINK("https%3A%2F%2Fwww.webofscience.com%2Fwos%2Fwoscc%2Ffull-record%2FWOS:001065916300001","View Full Record in Web of Science")</f>
        <v>View Full Record in Web of Science</v>
      </c>
    </row>
    <row r="403" spans="1:72" x14ac:dyDescent="0.15">
      <c r="A403" t="s">
        <v>72</v>
      </c>
      <c r="B403" t="s">
        <v>7076</v>
      </c>
      <c r="C403" t="s">
        <v>74</v>
      </c>
      <c r="D403" t="s">
        <v>74</v>
      </c>
      <c r="E403" t="s">
        <v>74</v>
      </c>
      <c r="F403" t="s">
        <v>7077</v>
      </c>
      <c r="G403" t="s">
        <v>74</v>
      </c>
      <c r="H403" t="s">
        <v>74</v>
      </c>
      <c r="I403" t="s">
        <v>7078</v>
      </c>
      <c r="J403" t="s">
        <v>7079</v>
      </c>
      <c r="K403" t="s">
        <v>74</v>
      </c>
      <c r="L403" t="s">
        <v>74</v>
      </c>
      <c r="M403" t="s">
        <v>78</v>
      </c>
      <c r="N403" t="s">
        <v>5492</v>
      </c>
      <c r="O403" t="s">
        <v>74</v>
      </c>
      <c r="P403" t="s">
        <v>74</v>
      </c>
      <c r="Q403" t="s">
        <v>74</v>
      </c>
      <c r="R403" t="s">
        <v>74</v>
      </c>
      <c r="S403" t="s">
        <v>74</v>
      </c>
      <c r="T403" t="s">
        <v>7080</v>
      </c>
      <c r="U403" t="s">
        <v>7081</v>
      </c>
      <c r="V403" t="s">
        <v>7082</v>
      </c>
      <c r="W403" t="s">
        <v>7083</v>
      </c>
      <c r="X403" t="s">
        <v>7084</v>
      </c>
      <c r="Y403" t="s">
        <v>7085</v>
      </c>
      <c r="Z403" t="s">
        <v>7086</v>
      </c>
      <c r="AA403" t="s">
        <v>7087</v>
      </c>
      <c r="AB403" t="s">
        <v>7088</v>
      </c>
      <c r="AC403" t="s">
        <v>7089</v>
      </c>
      <c r="AD403" t="s">
        <v>7089</v>
      </c>
      <c r="AE403" t="s">
        <v>7090</v>
      </c>
      <c r="AF403" t="s">
        <v>74</v>
      </c>
      <c r="AG403">
        <v>42</v>
      </c>
      <c r="AH403">
        <v>0</v>
      </c>
      <c r="AI403">
        <v>0</v>
      </c>
      <c r="AJ403">
        <v>1</v>
      </c>
      <c r="AK403">
        <v>1</v>
      </c>
      <c r="AL403" t="s">
        <v>184</v>
      </c>
      <c r="AM403" t="s">
        <v>185</v>
      </c>
      <c r="AN403" t="s">
        <v>186</v>
      </c>
      <c r="AO403" t="s">
        <v>7091</v>
      </c>
      <c r="AP403" t="s">
        <v>7092</v>
      </c>
      <c r="AQ403" t="s">
        <v>74</v>
      </c>
      <c r="AR403" t="s">
        <v>7093</v>
      </c>
      <c r="AS403" t="s">
        <v>7094</v>
      </c>
      <c r="AT403" t="s">
        <v>7018</v>
      </c>
      <c r="AU403">
        <v>2023</v>
      </c>
      <c r="AV403" t="s">
        <v>74</v>
      </c>
      <c r="AW403" t="s">
        <v>74</v>
      </c>
      <c r="AX403" t="s">
        <v>74</v>
      </c>
      <c r="AY403" t="s">
        <v>74</v>
      </c>
      <c r="AZ403" t="s">
        <v>74</v>
      </c>
      <c r="BA403" t="s">
        <v>74</v>
      </c>
      <c r="BB403" t="s">
        <v>74</v>
      </c>
      <c r="BC403" t="s">
        <v>74</v>
      </c>
      <c r="BD403" t="s">
        <v>74</v>
      </c>
      <c r="BE403" t="s">
        <v>7095</v>
      </c>
      <c r="BF403" t="str">
        <f>HYPERLINK("http://dx.doi.org/10.1080/15226514.2023.2257314","http://dx.doi.org/10.1080/15226514.2023.2257314")</f>
        <v>http://dx.doi.org/10.1080/15226514.2023.2257314</v>
      </c>
      <c r="BG403" t="s">
        <v>74</v>
      </c>
      <c r="BH403" t="s">
        <v>5545</v>
      </c>
      <c r="BI403">
        <v>10</v>
      </c>
      <c r="BJ403" t="s">
        <v>7096</v>
      </c>
      <c r="BK403" t="s">
        <v>102</v>
      </c>
      <c r="BL403" t="s">
        <v>7097</v>
      </c>
      <c r="BM403" t="s">
        <v>7098</v>
      </c>
      <c r="BN403">
        <v>37705149</v>
      </c>
      <c r="BO403" t="s">
        <v>74</v>
      </c>
      <c r="BP403" t="s">
        <v>74</v>
      </c>
      <c r="BQ403" t="s">
        <v>74</v>
      </c>
      <c r="BR403" t="s">
        <v>105</v>
      </c>
      <c r="BS403" t="s">
        <v>7099</v>
      </c>
      <c r="BT403" t="str">
        <f>HYPERLINK("https%3A%2F%2Fwww.webofscience.com%2Fwos%2Fwoscc%2Ffull-record%2FWOS:001066464400001","View Full Record in Web of Science")</f>
        <v>View Full Record in Web of Science</v>
      </c>
    </row>
    <row r="404" spans="1:72" x14ac:dyDescent="0.15">
      <c r="A404" t="s">
        <v>72</v>
      </c>
      <c r="B404" t="s">
        <v>7100</v>
      </c>
      <c r="C404" t="s">
        <v>74</v>
      </c>
      <c r="D404" t="s">
        <v>74</v>
      </c>
      <c r="E404" t="s">
        <v>74</v>
      </c>
      <c r="F404" t="s">
        <v>7101</v>
      </c>
      <c r="G404" t="s">
        <v>74</v>
      </c>
      <c r="H404" t="s">
        <v>74</v>
      </c>
      <c r="I404" t="s">
        <v>7102</v>
      </c>
      <c r="J404" t="s">
        <v>5976</v>
      </c>
      <c r="K404" t="s">
        <v>74</v>
      </c>
      <c r="L404" t="s">
        <v>74</v>
      </c>
      <c r="M404" t="s">
        <v>78</v>
      </c>
      <c r="N404" t="s">
        <v>5492</v>
      </c>
      <c r="O404" t="s">
        <v>74</v>
      </c>
      <c r="P404" t="s">
        <v>74</v>
      </c>
      <c r="Q404" t="s">
        <v>74</v>
      </c>
      <c r="R404" t="s">
        <v>74</v>
      </c>
      <c r="S404" t="s">
        <v>74</v>
      </c>
      <c r="T404" t="s">
        <v>7103</v>
      </c>
      <c r="U404" t="s">
        <v>74</v>
      </c>
      <c r="V404" t="s">
        <v>7104</v>
      </c>
      <c r="W404" t="s">
        <v>7105</v>
      </c>
      <c r="X404" t="s">
        <v>7106</v>
      </c>
      <c r="Y404" t="s">
        <v>7107</v>
      </c>
      <c r="Z404" t="s">
        <v>7108</v>
      </c>
      <c r="AA404" t="s">
        <v>74</v>
      </c>
      <c r="AB404" t="s">
        <v>74</v>
      </c>
      <c r="AC404" t="s">
        <v>7109</v>
      </c>
      <c r="AD404" t="s">
        <v>7109</v>
      </c>
      <c r="AE404" t="s">
        <v>7110</v>
      </c>
      <c r="AF404" t="s">
        <v>74</v>
      </c>
      <c r="AG404">
        <v>25</v>
      </c>
      <c r="AH404">
        <v>0</v>
      </c>
      <c r="AI404">
        <v>0</v>
      </c>
      <c r="AJ404">
        <v>0</v>
      </c>
      <c r="AK404">
        <v>0</v>
      </c>
      <c r="AL404" t="s">
        <v>1188</v>
      </c>
      <c r="AM404" t="s">
        <v>93</v>
      </c>
      <c r="AN404" t="s">
        <v>1189</v>
      </c>
      <c r="AO404" t="s">
        <v>5984</v>
      </c>
      <c r="AP404" t="s">
        <v>5985</v>
      </c>
      <c r="AQ404" t="s">
        <v>74</v>
      </c>
      <c r="AR404" t="s">
        <v>5986</v>
      </c>
      <c r="AS404" t="s">
        <v>5987</v>
      </c>
      <c r="AT404" t="s">
        <v>7111</v>
      </c>
      <c r="AU404">
        <v>2023</v>
      </c>
      <c r="AV404" t="s">
        <v>74</v>
      </c>
      <c r="AW404" t="s">
        <v>74</v>
      </c>
      <c r="AX404" t="s">
        <v>74</v>
      </c>
      <c r="AY404" t="s">
        <v>74</v>
      </c>
      <c r="AZ404" t="s">
        <v>74</v>
      </c>
      <c r="BA404" t="s">
        <v>74</v>
      </c>
      <c r="BB404" t="s">
        <v>74</v>
      </c>
      <c r="BC404" t="s">
        <v>74</v>
      </c>
      <c r="BD404" t="s">
        <v>74</v>
      </c>
      <c r="BE404" t="s">
        <v>7112</v>
      </c>
      <c r="BF404" t="str">
        <f>HYPERLINK("http://dx.doi.org/10.1080/09540253.2023.2256755","http://dx.doi.org/10.1080/09540253.2023.2256755")</f>
        <v>http://dx.doi.org/10.1080/09540253.2023.2256755</v>
      </c>
      <c r="BG404" t="s">
        <v>74</v>
      </c>
      <c r="BH404" t="s">
        <v>5545</v>
      </c>
      <c r="BI404">
        <v>16</v>
      </c>
      <c r="BJ404" t="s">
        <v>271</v>
      </c>
      <c r="BK404" t="s">
        <v>272</v>
      </c>
      <c r="BL404" t="s">
        <v>271</v>
      </c>
      <c r="BM404" t="s">
        <v>7113</v>
      </c>
      <c r="BN404" t="s">
        <v>74</v>
      </c>
      <c r="BO404" t="s">
        <v>887</v>
      </c>
      <c r="BP404" t="s">
        <v>74</v>
      </c>
      <c r="BQ404" t="s">
        <v>74</v>
      </c>
      <c r="BR404" t="s">
        <v>105</v>
      </c>
      <c r="BS404" t="s">
        <v>7114</v>
      </c>
      <c r="BT404" t="str">
        <f>HYPERLINK("https%3A%2F%2Fwww.webofscience.com%2Fwos%2Fwoscc%2Ffull-record%2FWOS:001066699200001","View Full Record in Web of Science")</f>
        <v>View Full Record in Web of Science</v>
      </c>
    </row>
    <row r="405" spans="1:72" x14ac:dyDescent="0.15">
      <c r="A405" t="s">
        <v>72</v>
      </c>
      <c r="B405" t="s">
        <v>7115</v>
      </c>
      <c r="C405" t="s">
        <v>74</v>
      </c>
      <c r="D405" t="s">
        <v>74</v>
      </c>
      <c r="E405" t="s">
        <v>74</v>
      </c>
      <c r="F405" t="s">
        <v>7116</v>
      </c>
      <c r="G405" t="s">
        <v>74</v>
      </c>
      <c r="H405" t="s">
        <v>74</v>
      </c>
      <c r="I405" t="s">
        <v>7117</v>
      </c>
      <c r="J405" t="s">
        <v>6011</v>
      </c>
      <c r="K405" t="s">
        <v>74</v>
      </c>
      <c r="L405" t="s">
        <v>74</v>
      </c>
      <c r="M405" t="s">
        <v>78</v>
      </c>
      <c r="N405" t="s">
        <v>5492</v>
      </c>
      <c r="O405" t="s">
        <v>74</v>
      </c>
      <c r="P405" t="s">
        <v>74</v>
      </c>
      <c r="Q405" t="s">
        <v>74</v>
      </c>
      <c r="R405" t="s">
        <v>74</v>
      </c>
      <c r="S405" t="s">
        <v>74</v>
      </c>
      <c r="T405" t="s">
        <v>7118</v>
      </c>
      <c r="U405" t="s">
        <v>7119</v>
      </c>
      <c r="V405" t="s">
        <v>7120</v>
      </c>
      <c r="W405" t="s">
        <v>7121</v>
      </c>
      <c r="X405" t="s">
        <v>7122</v>
      </c>
      <c r="Y405" t="s">
        <v>7123</v>
      </c>
      <c r="Z405" t="s">
        <v>7124</v>
      </c>
      <c r="AA405" t="s">
        <v>74</v>
      </c>
      <c r="AB405" t="s">
        <v>74</v>
      </c>
      <c r="AC405" t="s">
        <v>7125</v>
      </c>
      <c r="AD405" t="s">
        <v>7125</v>
      </c>
      <c r="AE405" t="s">
        <v>7125</v>
      </c>
      <c r="AF405" t="s">
        <v>74</v>
      </c>
      <c r="AG405">
        <v>36</v>
      </c>
      <c r="AH405">
        <v>0</v>
      </c>
      <c r="AI405">
        <v>0</v>
      </c>
      <c r="AJ405">
        <v>0</v>
      </c>
      <c r="AK405">
        <v>0</v>
      </c>
      <c r="AL405" t="s">
        <v>184</v>
      </c>
      <c r="AM405" t="s">
        <v>185</v>
      </c>
      <c r="AN405" t="s">
        <v>186</v>
      </c>
      <c r="AO405" t="s">
        <v>6018</v>
      </c>
      <c r="AP405" t="s">
        <v>6019</v>
      </c>
      <c r="AQ405" t="s">
        <v>74</v>
      </c>
      <c r="AR405" t="s">
        <v>6020</v>
      </c>
      <c r="AS405" t="s">
        <v>6021</v>
      </c>
      <c r="AT405" t="s">
        <v>7111</v>
      </c>
      <c r="AU405">
        <v>2023</v>
      </c>
      <c r="AV405" t="s">
        <v>74</v>
      </c>
      <c r="AW405" t="s">
        <v>74</v>
      </c>
      <c r="AX405" t="s">
        <v>74</v>
      </c>
      <c r="AY405" t="s">
        <v>74</v>
      </c>
      <c r="AZ405" t="s">
        <v>74</v>
      </c>
      <c r="BA405" t="s">
        <v>74</v>
      </c>
      <c r="BB405" t="s">
        <v>74</v>
      </c>
      <c r="BC405" t="s">
        <v>74</v>
      </c>
      <c r="BD405" t="s">
        <v>74</v>
      </c>
      <c r="BE405" t="s">
        <v>7126</v>
      </c>
      <c r="BF405" t="str">
        <f>HYPERLINK("http://dx.doi.org/10.1080/00927872.2023.2255283","http://dx.doi.org/10.1080/00927872.2023.2255283")</f>
        <v>http://dx.doi.org/10.1080/00927872.2023.2255283</v>
      </c>
      <c r="BG405" t="s">
        <v>74</v>
      </c>
      <c r="BH405" t="s">
        <v>5545</v>
      </c>
      <c r="BI405">
        <v>22</v>
      </c>
      <c r="BJ405" t="s">
        <v>5435</v>
      </c>
      <c r="BK405" t="s">
        <v>102</v>
      </c>
      <c r="BL405" t="s">
        <v>5435</v>
      </c>
      <c r="BM405" t="s">
        <v>7127</v>
      </c>
      <c r="BN405" t="s">
        <v>74</v>
      </c>
      <c r="BO405" t="s">
        <v>74</v>
      </c>
      <c r="BP405" t="s">
        <v>74</v>
      </c>
      <c r="BQ405" t="s">
        <v>74</v>
      </c>
      <c r="BR405" t="s">
        <v>105</v>
      </c>
      <c r="BS405" t="s">
        <v>7128</v>
      </c>
      <c r="BT405" t="str">
        <f>HYPERLINK("https%3A%2F%2Fwww.webofscience.com%2Fwos%2Fwoscc%2Ffull-record%2FWOS:001065000800001","View Full Record in Web of Science")</f>
        <v>View Full Record in Web of Science</v>
      </c>
    </row>
    <row r="406" spans="1:72" x14ac:dyDescent="0.15">
      <c r="A406" t="s">
        <v>72</v>
      </c>
      <c r="B406" t="s">
        <v>7129</v>
      </c>
      <c r="C406" t="s">
        <v>74</v>
      </c>
      <c r="D406" t="s">
        <v>74</v>
      </c>
      <c r="E406" t="s">
        <v>74</v>
      </c>
      <c r="F406" t="s">
        <v>7130</v>
      </c>
      <c r="G406" t="s">
        <v>74</v>
      </c>
      <c r="H406" t="s">
        <v>74</v>
      </c>
      <c r="I406" t="s">
        <v>7131</v>
      </c>
      <c r="J406" t="s">
        <v>7132</v>
      </c>
      <c r="K406" t="s">
        <v>74</v>
      </c>
      <c r="L406" t="s">
        <v>74</v>
      </c>
      <c r="M406" t="s">
        <v>78</v>
      </c>
      <c r="N406" t="s">
        <v>5492</v>
      </c>
      <c r="O406" t="s">
        <v>74</v>
      </c>
      <c r="P406" t="s">
        <v>74</v>
      </c>
      <c r="Q406" t="s">
        <v>74</v>
      </c>
      <c r="R406" t="s">
        <v>74</v>
      </c>
      <c r="S406" t="s">
        <v>74</v>
      </c>
      <c r="T406" t="s">
        <v>7133</v>
      </c>
      <c r="U406" t="s">
        <v>7134</v>
      </c>
      <c r="V406" t="s">
        <v>7135</v>
      </c>
      <c r="W406" t="s">
        <v>7136</v>
      </c>
      <c r="X406" t="s">
        <v>7137</v>
      </c>
      <c r="Y406" t="s">
        <v>7138</v>
      </c>
      <c r="Z406" t="s">
        <v>7139</v>
      </c>
      <c r="AA406" t="s">
        <v>7140</v>
      </c>
      <c r="AB406" t="s">
        <v>7141</v>
      </c>
      <c r="AC406" t="s">
        <v>7142</v>
      </c>
      <c r="AD406" t="s">
        <v>7142</v>
      </c>
      <c r="AE406" t="s">
        <v>7142</v>
      </c>
      <c r="AF406" t="s">
        <v>74</v>
      </c>
      <c r="AG406">
        <v>94</v>
      </c>
      <c r="AH406">
        <v>0</v>
      </c>
      <c r="AI406">
        <v>0</v>
      </c>
      <c r="AJ406">
        <v>2</v>
      </c>
      <c r="AK406">
        <v>2</v>
      </c>
      <c r="AL406" t="s">
        <v>184</v>
      </c>
      <c r="AM406" t="s">
        <v>185</v>
      </c>
      <c r="AN406" t="s">
        <v>186</v>
      </c>
      <c r="AO406" t="s">
        <v>7143</v>
      </c>
      <c r="AP406" t="s">
        <v>7144</v>
      </c>
      <c r="AQ406" t="s">
        <v>74</v>
      </c>
      <c r="AR406" t="s">
        <v>7145</v>
      </c>
      <c r="AS406" t="s">
        <v>7146</v>
      </c>
      <c r="AT406" t="s">
        <v>7111</v>
      </c>
      <c r="AU406">
        <v>2023</v>
      </c>
      <c r="AV406" t="s">
        <v>74</v>
      </c>
      <c r="AW406" t="s">
        <v>74</v>
      </c>
      <c r="AX406" t="s">
        <v>74</v>
      </c>
      <c r="AY406" t="s">
        <v>74</v>
      </c>
      <c r="AZ406" t="s">
        <v>74</v>
      </c>
      <c r="BA406" t="s">
        <v>74</v>
      </c>
      <c r="BB406" t="s">
        <v>74</v>
      </c>
      <c r="BC406" t="s">
        <v>74</v>
      </c>
      <c r="BD406" t="s">
        <v>74</v>
      </c>
      <c r="BE406" t="s">
        <v>7147</v>
      </c>
      <c r="BF406" t="str">
        <f>HYPERLINK("http://dx.doi.org/10.1080/02786826.2023.2256827","http://dx.doi.org/10.1080/02786826.2023.2256827")</f>
        <v>http://dx.doi.org/10.1080/02786826.2023.2256827</v>
      </c>
      <c r="BG406" t="s">
        <v>74</v>
      </c>
      <c r="BH406" t="s">
        <v>5545</v>
      </c>
      <c r="BI406">
        <v>16</v>
      </c>
      <c r="BJ406" t="s">
        <v>7148</v>
      </c>
      <c r="BK406" t="s">
        <v>102</v>
      </c>
      <c r="BL406" t="s">
        <v>7149</v>
      </c>
      <c r="BM406" t="s">
        <v>7150</v>
      </c>
      <c r="BN406" t="s">
        <v>74</v>
      </c>
      <c r="BO406" t="s">
        <v>887</v>
      </c>
      <c r="BP406" t="s">
        <v>74</v>
      </c>
      <c r="BQ406" t="s">
        <v>74</v>
      </c>
      <c r="BR406" t="s">
        <v>105</v>
      </c>
      <c r="BS406" t="s">
        <v>7151</v>
      </c>
      <c r="BT406" t="str">
        <f>HYPERLINK("https%3A%2F%2Fwww.webofscience.com%2Fwos%2Fwoscc%2Ffull-record%2FWOS:001070720900001","View Full Record in Web of Science")</f>
        <v>View Full Record in Web of Science</v>
      </c>
    </row>
    <row r="407" spans="1:72" x14ac:dyDescent="0.15">
      <c r="A407" t="s">
        <v>72</v>
      </c>
      <c r="B407" t="s">
        <v>7152</v>
      </c>
      <c r="C407" t="s">
        <v>74</v>
      </c>
      <c r="D407" t="s">
        <v>74</v>
      </c>
      <c r="E407" t="s">
        <v>74</v>
      </c>
      <c r="F407" t="s">
        <v>7153</v>
      </c>
      <c r="G407" t="s">
        <v>74</v>
      </c>
      <c r="H407" t="s">
        <v>74</v>
      </c>
      <c r="I407" t="s">
        <v>7154</v>
      </c>
      <c r="J407" t="s">
        <v>7155</v>
      </c>
      <c r="K407" t="s">
        <v>74</v>
      </c>
      <c r="L407" t="s">
        <v>74</v>
      </c>
      <c r="M407" t="s">
        <v>78</v>
      </c>
      <c r="N407" t="s">
        <v>5492</v>
      </c>
      <c r="O407" t="s">
        <v>74</v>
      </c>
      <c r="P407" t="s">
        <v>74</v>
      </c>
      <c r="Q407" t="s">
        <v>74</v>
      </c>
      <c r="R407" t="s">
        <v>74</v>
      </c>
      <c r="S407" t="s">
        <v>74</v>
      </c>
      <c r="T407" t="s">
        <v>7156</v>
      </c>
      <c r="U407" t="s">
        <v>74</v>
      </c>
      <c r="V407" t="s">
        <v>7157</v>
      </c>
      <c r="W407" t="s">
        <v>7158</v>
      </c>
      <c r="X407" t="s">
        <v>74</v>
      </c>
      <c r="Y407" t="s">
        <v>7159</v>
      </c>
      <c r="Z407" t="s">
        <v>7160</v>
      </c>
      <c r="AA407" t="s">
        <v>74</v>
      </c>
      <c r="AB407" t="s">
        <v>74</v>
      </c>
      <c r="AC407" t="s">
        <v>7161</v>
      </c>
      <c r="AD407" t="s">
        <v>7161</v>
      </c>
      <c r="AE407" t="s">
        <v>7162</v>
      </c>
      <c r="AF407" t="s">
        <v>74</v>
      </c>
      <c r="AG407">
        <v>27</v>
      </c>
      <c r="AH407">
        <v>0</v>
      </c>
      <c r="AI407">
        <v>0</v>
      </c>
      <c r="AJ407">
        <v>0</v>
      </c>
      <c r="AK407">
        <v>0</v>
      </c>
      <c r="AL407" t="s">
        <v>1188</v>
      </c>
      <c r="AM407" t="s">
        <v>93</v>
      </c>
      <c r="AN407" t="s">
        <v>1189</v>
      </c>
      <c r="AO407" t="s">
        <v>7163</v>
      </c>
      <c r="AP407" t="s">
        <v>7164</v>
      </c>
      <c r="AQ407" t="s">
        <v>74</v>
      </c>
      <c r="AR407" t="s">
        <v>7165</v>
      </c>
      <c r="AS407" t="s">
        <v>7166</v>
      </c>
      <c r="AT407" t="s">
        <v>7167</v>
      </c>
      <c r="AU407">
        <v>2023</v>
      </c>
      <c r="AV407" t="s">
        <v>74</v>
      </c>
      <c r="AW407" t="s">
        <v>74</v>
      </c>
      <c r="AX407" t="s">
        <v>74</v>
      </c>
      <c r="AY407" t="s">
        <v>74</v>
      </c>
      <c r="AZ407" t="s">
        <v>74</v>
      </c>
      <c r="BA407" t="s">
        <v>74</v>
      </c>
      <c r="BB407" t="s">
        <v>74</v>
      </c>
      <c r="BC407" t="s">
        <v>74</v>
      </c>
      <c r="BD407" t="s">
        <v>74</v>
      </c>
      <c r="BE407" t="s">
        <v>7168</v>
      </c>
      <c r="BF407" t="str">
        <f>HYPERLINK("http://dx.doi.org/10.1080/00856401.2023.2244331","http://dx.doi.org/10.1080/00856401.2023.2244331")</f>
        <v>http://dx.doi.org/10.1080/00856401.2023.2244331</v>
      </c>
      <c r="BG407" t="s">
        <v>74</v>
      </c>
      <c r="BH407" t="s">
        <v>5545</v>
      </c>
      <c r="BI407">
        <v>17</v>
      </c>
      <c r="BJ407" t="s">
        <v>7169</v>
      </c>
      <c r="BK407" t="s">
        <v>7170</v>
      </c>
      <c r="BL407" t="s">
        <v>7169</v>
      </c>
      <c r="BM407" t="s">
        <v>7171</v>
      </c>
      <c r="BN407" t="s">
        <v>74</v>
      </c>
      <c r="BO407" t="s">
        <v>74</v>
      </c>
      <c r="BP407" t="s">
        <v>74</v>
      </c>
      <c r="BQ407" t="s">
        <v>74</v>
      </c>
      <c r="BR407" t="s">
        <v>105</v>
      </c>
      <c r="BS407" t="s">
        <v>7172</v>
      </c>
      <c r="BT407" t="str">
        <f>HYPERLINK("https%3A%2F%2Fwww.webofscience.com%2Fwos%2Fwoscc%2Ffull-record%2FWOS:001065673000001","View Full Record in Web of Science")</f>
        <v>View Full Record in Web of Science</v>
      </c>
    </row>
    <row r="408" spans="1:72" x14ac:dyDescent="0.15">
      <c r="A408" t="s">
        <v>72</v>
      </c>
      <c r="B408" t="s">
        <v>7173</v>
      </c>
      <c r="C408" t="s">
        <v>74</v>
      </c>
      <c r="D408" t="s">
        <v>74</v>
      </c>
      <c r="E408" t="s">
        <v>74</v>
      </c>
      <c r="F408" t="s">
        <v>7174</v>
      </c>
      <c r="G408" t="s">
        <v>74</v>
      </c>
      <c r="H408" t="s">
        <v>74</v>
      </c>
      <c r="I408" t="s">
        <v>7175</v>
      </c>
      <c r="J408" t="s">
        <v>7176</v>
      </c>
      <c r="K408" t="s">
        <v>74</v>
      </c>
      <c r="L408" t="s">
        <v>74</v>
      </c>
      <c r="M408" t="s">
        <v>78</v>
      </c>
      <c r="N408" t="s">
        <v>5492</v>
      </c>
      <c r="O408" t="s">
        <v>74</v>
      </c>
      <c r="P408" t="s">
        <v>74</v>
      </c>
      <c r="Q408" t="s">
        <v>74</v>
      </c>
      <c r="R408" t="s">
        <v>74</v>
      </c>
      <c r="S408" t="s">
        <v>74</v>
      </c>
      <c r="T408" t="s">
        <v>7177</v>
      </c>
      <c r="U408" t="s">
        <v>7178</v>
      </c>
      <c r="V408" t="s">
        <v>7179</v>
      </c>
      <c r="W408" t="s">
        <v>7180</v>
      </c>
      <c r="X408" t="s">
        <v>7181</v>
      </c>
      <c r="Y408" t="s">
        <v>7182</v>
      </c>
      <c r="Z408" t="s">
        <v>7183</v>
      </c>
      <c r="AA408" t="s">
        <v>74</v>
      </c>
      <c r="AB408" t="s">
        <v>74</v>
      </c>
      <c r="AC408" t="s">
        <v>74</v>
      </c>
      <c r="AD408" t="s">
        <v>74</v>
      </c>
      <c r="AE408" t="s">
        <v>74</v>
      </c>
      <c r="AF408" t="s">
        <v>74</v>
      </c>
      <c r="AG408">
        <v>51</v>
      </c>
      <c r="AH408">
        <v>0</v>
      </c>
      <c r="AI408">
        <v>0</v>
      </c>
      <c r="AJ408">
        <v>0</v>
      </c>
      <c r="AK408">
        <v>0</v>
      </c>
      <c r="AL408" t="s">
        <v>92</v>
      </c>
      <c r="AM408" t="s">
        <v>93</v>
      </c>
      <c r="AN408" t="s">
        <v>94</v>
      </c>
      <c r="AO408" t="s">
        <v>7184</v>
      </c>
      <c r="AP408" t="s">
        <v>7185</v>
      </c>
      <c r="AQ408" t="s">
        <v>74</v>
      </c>
      <c r="AR408" t="s">
        <v>7186</v>
      </c>
      <c r="AS408" t="s">
        <v>7187</v>
      </c>
      <c r="AT408" t="s">
        <v>7167</v>
      </c>
      <c r="AU408">
        <v>2023</v>
      </c>
      <c r="AV408" t="s">
        <v>74</v>
      </c>
      <c r="AW408" t="s">
        <v>74</v>
      </c>
      <c r="AX408" t="s">
        <v>74</v>
      </c>
      <c r="AY408" t="s">
        <v>74</v>
      </c>
      <c r="AZ408" t="s">
        <v>74</v>
      </c>
      <c r="BA408" t="s">
        <v>74</v>
      </c>
      <c r="BB408" t="s">
        <v>74</v>
      </c>
      <c r="BC408" t="s">
        <v>74</v>
      </c>
      <c r="BD408" t="s">
        <v>74</v>
      </c>
      <c r="BE408" t="s">
        <v>7188</v>
      </c>
      <c r="BF408" t="str">
        <f>HYPERLINK("http://dx.doi.org/10.1080/02626667.2023.2251468","http://dx.doi.org/10.1080/02626667.2023.2251468")</f>
        <v>http://dx.doi.org/10.1080/02626667.2023.2251468</v>
      </c>
      <c r="BG408" t="s">
        <v>74</v>
      </c>
      <c r="BH408" t="s">
        <v>5545</v>
      </c>
      <c r="BI408">
        <v>12</v>
      </c>
      <c r="BJ408" t="s">
        <v>7189</v>
      </c>
      <c r="BK408" t="s">
        <v>102</v>
      </c>
      <c r="BL408" t="s">
        <v>7189</v>
      </c>
      <c r="BM408" t="s">
        <v>7190</v>
      </c>
      <c r="BN408" t="s">
        <v>74</v>
      </c>
      <c r="BO408" t="s">
        <v>74</v>
      </c>
      <c r="BP408" t="s">
        <v>74</v>
      </c>
      <c r="BQ408" t="s">
        <v>74</v>
      </c>
      <c r="BR408" t="s">
        <v>105</v>
      </c>
      <c r="BS408" t="s">
        <v>7191</v>
      </c>
      <c r="BT408" t="str">
        <f>HYPERLINK("https%3A%2F%2Fwww.webofscience.com%2Fwos%2Fwoscc%2Ffull-record%2FWOS:001065169800001","View Full Record in Web of Science")</f>
        <v>View Full Record in Web of Science</v>
      </c>
    </row>
    <row r="409" spans="1:72" x14ac:dyDescent="0.15">
      <c r="A409" t="s">
        <v>72</v>
      </c>
      <c r="B409" t="s">
        <v>7192</v>
      </c>
      <c r="C409" t="s">
        <v>74</v>
      </c>
      <c r="D409" t="s">
        <v>74</v>
      </c>
      <c r="E409" t="s">
        <v>74</v>
      </c>
      <c r="F409" t="s">
        <v>7193</v>
      </c>
      <c r="G409" t="s">
        <v>74</v>
      </c>
      <c r="H409" t="s">
        <v>74</v>
      </c>
      <c r="I409" t="s">
        <v>7194</v>
      </c>
      <c r="J409" t="s">
        <v>7195</v>
      </c>
      <c r="K409" t="s">
        <v>74</v>
      </c>
      <c r="L409" t="s">
        <v>74</v>
      </c>
      <c r="M409" t="s">
        <v>78</v>
      </c>
      <c r="N409" t="s">
        <v>171</v>
      </c>
      <c r="O409" t="s">
        <v>74</v>
      </c>
      <c r="P409" t="s">
        <v>74</v>
      </c>
      <c r="Q409" t="s">
        <v>74</v>
      </c>
      <c r="R409" t="s">
        <v>74</v>
      </c>
      <c r="S409" t="s">
        <v>74</v>
      </c>
      <c r="T409" t="s">
        <v>7196</v>
      </c>
      <c r="U409" t="s">
        <v>7197</v>
      </c>
      <c r="V409" t="s">
        <v>7198</v>
      </c>
      <c r="W409" t="s">
        <v>7199</v>
      </c>
      <c r="X409" t="s">
        <v>7200</v>
      </c>
      <c r="Y409" t="s">
        <v>7201</v>
      </c>
      <c r="Z409" t="s">
        <v>7202</v>
      </c>
      <c r="AA409" t="s">
        <v>74</v>
      </c>
      <c r="AB409" t="s">
        <v>74</v>
      </c>
      <c r="AC409" t="s">
        <v>74</v>
      </c>
      <c r="AD409" t="s">
        <v>74</v>
      </c>
      <c r="AE409" t="s">
        <v>74</v>
      </c>
      <c r="AF409" t="s">
        <v>74</v>
      </c>
      <c r="AG409">
        <v>35</v>
      </c>
      <c r="AH409">
        <v>0</v>
      </c>
      <c r="AI409">
        <v>0</v>
      </c>
      <c r="AJ409">
        <v>0</v>
      </c>
      <c r="AK409">
        <v>0</v>
      </c>
      <c r="AL409" t="s">
        <v>92</v>
      </c>
      <c r="AM409" t="s">
        <v>93</v>
      </c>
      <c r="AN409" t="s">
        <v>94</v>
      </c>
      <c r="AO409" t="s">
        <v>7203</v>
      </c>
      <c r="AP409" t="s">
        <v>7204</v>
      </c>
      <c r="AQ409" t="s">
        <v>74</v>
      </c>
      <c r="AR409" t="s">
        <v>7205</v>
      </c>
      <c r="AS409" t="s">
        <v>7206</v>
      </c>
      <c r="AT409" t="s">
        <v>7207</v>
      </c>
      <c r="AU409">
        <v>2023</v>
      </c>
      <c r="AV409">
        <v>19</v>
      </c>
      <c r="AW409">
        <v>8</v>
      </c>
      <c r="AX409" t="s">
        <v>74</v>
      </c>
      <c r="AY409" t="s">
        <v>74</v>
      </c>
      <c r="AZ409" t="s">
        <v>74</v>
      </c>
      <c r="BA409" t="s">
        <v>74</v>
      </c>
      <c r="BB409">
        <v>537</v>
      </c>
      <c r="BC409">
        <v>542</v>
      </c>
      <c r="BD409" t="s">
        <v>74</v>
      </c>
      <c r="BE409" t="s">
        <v>7208</v>
      </c>
      <c r="BF409" t="str">
        <f>HYPERLINK("http://dx.doi.org/10.1080/17425255.2023.2256227","http://dx.doi.org/10.1080/17425255.2023.2256227")</f>
        <v>http://dx.doi.org/10.1080/17425255.2023.2256227</v>
      </c>
      <c r="BG409" t="s">
        <v>74</v>
      </c>
      <c r="BH409" t="s">
        <v>5545</v>
      </c>
      <c r="BI409">
        <v>6</v>
      </c>
      <c r="BJ409" t="s">
        <v>7209</v>
      </c>
      <c r="BK409" t="s">
        <v>102</v>
      </c>
      <c r="BL409" t="s">
        <v>7209</v>
      </c>
      <c r="BM409" t="s">
        <v>7210</v>
      </c>
      <c r="BN409">
        <v>37695699</v>
      </c>
      <c r="BO409" t="s">
        <v>74</v>
      </c>
      <c r="BP409" t="s">
        <v>74</v>
      </c>
      <c r="BQ409" t="s">
        <v>74</v>
      </c>
      <c r="BR409" t="s">
        <v>105</v>
      </c>
      <c r="BS409" t="s">
        <v>7211</v>
      </c>
      <c r="BT409" t="str">
        <f>HYPERLINK("https%3A%2F%2Fwww.webofscience.com%2Fwos%2Fwoscc%2Ffull-record%2FWOS:001063322100001","View Full Record in Web of Science")</f>
        <v>View Full Record in Web of Science</v>
      </c>
    </row>
    <row r="410" spans="1:72" x14ac:dyDescent="0.15">
      <c r="A410" t="s">
        <v>72</v>
      </c>
      <c r="B410" t="s">
        <v>7212</v>
      </c>
      <c r="C410" t="s">
        <v>74</v>
      </c>
      <c r="D410" t="s">
        <v>74</v>
      </c>
      <c r="E410" t="s">
        <v>74</v>
      </c>
      <c r="F410" t="s">
        <v>7213</v>
      </c>
      <c r="G410" t="s">
        <v>74</v>
      </c>
      <c r="H410" t="s">
        <v>74</v>
      </c>
      <c r="I410" t="s">
        <v>7214</v>
      </c>
      <c r="J410" t="s">
        <v>7215</v>
      </c>
      <c r="K410" t="s">
        <v>74</v>
      </c>
      <c r="L410" t="s">
        <v>74</v>
      </c>
      <c r="M410" t="s">
        <v>78</v>
      </c>
      <c r="N410" t="s">
        <v>5492</v>
      </c>
      <c r="O410" t="s">
        <v>74</v>
      </c>
      <c r="P410" t="s">
        <v>74</v>
      </c>
      <c r="Q410" t="s">
        <v>74</v>
      </c>
      <c r="R410" t="s">
        <v>74</v>
      </c>
      <c r="S410" t="s">
        <v>74</v>
      </c>
      <c r="T410" t="s">
        <v>74</v>
      </c>
      <c r="U410" t="s">
        <v>7216</v>
      </c>
      <c r="V410" t="s">
        <v>7217</v>
      </c>
      <c r="W410" t="s">
        <v>7218</v>
      </c>
      <c r="X410" t="s">
        <v>7219</v>
      </c>
      <c r="Y410" t="s">
        <v>7220</v>
      </c>
      <c r="Z410" t="s">
        <v>7221</v>
      </c>
      <c r="AA410" t="s">
        <v>74</v>
      </c>
      <c r="AB410" t="s">
        <v>74</v>
      </c>
      <c r="AC410" t="s">
        <v>7222</v>
      </c>
      <c r="AD410" t="s">
        <v>7222</v>
      </c>
      <c r="AE410" t="s">
        <v>7222</v>
      </c>
      <c r="AF410" t="s">
        <v>74</v>
      </c>
      <c r="AG410">
        <v>66</v>
      </c>
      <c r="AH410">
        <v>0</v>
      </c>
      <c r="AI410">
        <v>0</v>
      </c>
      <c r="AJ410">
        <v>0</v>
      </c>
      <c r="AK410">
        <v>0</v>
      </c>
      <c r="AL410" t="s">
        <v>92</v>
      </c>
      <c r="AM410" t="s">
        <v>93</v>
      </c>
      <c r="AN410" t="s">
        <v>94</v>
      </c>
      <c r="AO410" t="s">
        <v>7223</v>
      </c>
      <c r="AP410" t="s">
        <v>7224</v>
      </c>
      <c r="AQ410" t="s">
        <v>74</v>
      </c>
      <c r="AR410" t="s">
        <v>7225</v>
      </c>
      <c r="AS410" t="s">
        <v>7226</v>
      </c>
      <c r="AT410" t="s">
        <v>7167</v>
      </c>
      <c r="AU410">
        <v>2023</v>
      </c>
      <c r="AV410" t="s">
        <v>74</v>
      </c>
      <c r="AW410" t="s">
        <v>74</v>
      </c>
      <c r="AX410" t="s">
        <v>74</v>
      </c>
      <c r="AY410" t="s">
        <v>74</v>
      </c>
      <c r="AZ410" t="s">
        <v>74</v>
      </c>
      <c r="BA410" t="s">
        <v>74</v>
      </c>
      <c r="BB410" t="s">
        <v>74</v>
      </c>
      <c r="BC410" t="s">
        <v>74</v>
      </c>
      <c r="BD410" t="s">
        <v>74</v>
      </c>
      <c r="BE410" t="s">
        <v>7227</v>
      </c>
      <c r="BF410" t="str">
        <f>HYPERLINK("http://dx.doi.org/10.1080/13603124.2023.2254736","http://dx.doi.org/10.1080/13603124.2023.2254736")</f>
        <v>http://dx.doi.org/10.1080/13603124.2023.2254736</v>
      </c>
      <c r="BG410" t="s">
        <v>74</v>
      </c>
      <c r="BH410" t="s">
        <v>5545</v>
      </c>
      <c r="BI410">
        <v>23</v>
      </c>
      <c r="BJ410" t="s">
        <v>271</v>
      </c>
      <c r="BK410" t="s">
        <v>211</v>
      </c>
      <c r="BL410" t="s">
        <v>271</v>
      </c>
      <c r="BM410" t="s">
        <v>7228</v>
      </c>
      <c r="BN410" t="s">
        <v>74</v>
      </c>
      <c r="BO410" t="s">
        <v>5486</v>
      </c>
      <c r="BP410" t="s">
        <v>74</v>
      </c>
      <c r="BQ410" t="s">
        <v>74</v>
      </c>
      <c r="BR410" t="s">
        <v>105</v>
      </c>
      <c r="BS410" t="s">
        <v>7229</v>
      </c>
      <c r="BT410" t="str">
        <f>HYPERLINK("https%3A%2F%2Fwww.webofscience.com%2Fwos%2Fwoscc%2Ffull-record%2FWOS:001063088200001","View Full Record in Web of Science")</f>
        <v>View Full Record in Web of Science</v>
      </c>
    </row>
    <row r="411" spans="1:72" x14ac:dyDescent="0.15">
      <c r="A411" t="s">
        <v>72</v>
      </c>
      <c r="B411" t="s">
        <v>7230</v>
      </c>
      <c r="C411" t="s">
        <v>74</v>
      </c>
      <c r="D411" t="s">
        <v>74</v>
      </c>
      <c r="E411" t="s">
        <v>74</v>
      </c>
      <c r="F411" t="s">
        <v>7231</v>
      </c>
      <c r="G411" t="s">
        <v>74</v>
      </c>
      <c r="H411" t="s">
        <v>74</v>
      </c>
      <c r="I411" t="s">
        <v>7232</v>
      </c>
      <c r="J411" t="s">
        <v>7233</v>
      </c>
      <c r="K411" t="s">
        <v>74</v>
      </c>
      <c r="L411" t="s">
        <v>74</v>
      </c>
      <c r="M411" t="s">
        <v>78</v>
      </c>
      <c r="N411" t="s">
        <v>5492</v>
      </c>
      <c r="O411" t="s">
        <v>74</v>
      </c>
      <c r="P411" t="s">
        <v>74</v>
      </c>
      <c r="Q411" t="s">
        <v>74</v>
      </c>
      <c r="R411" t="s">
        <v>74</v>
      </c>
      <c r="S411" t="s">
        <v>74</v>
      </c>
      <c r="T411" t="s">
        <v>7234</v>
      </c>
      <c r="U411" t="s">
        <v>7235</v>
      </c>
      <c r="V411" t="s">
        <v>7236</v>
      </c>
      <c r="W411" t="s">
        <v>7237</v>
      </c>
      <c r="X411" t="s">
        <v>7238</v>
      </c>
      <c r="Y411" t="s">
        <v>7239</v>
      </c>
      <c r="Z411" t="s">
        <v>7240</v>
      </c>
      <c r="AA411" t="s">
        <v>74</v>
      </c>
      <c r="AB411" t="s">
        <v>74</v>
      </c>
      <c r="AC411" t="s">
        <v>74</v>
      </c>
      <c r="AD411" t="s">
        <v>74</v>
      </c>
      <c r="AE411" t="s">
        <v>74</v>
      </c>
      <c r="AF411" t="s">
        <v>74</v>
      </c>
      <c r="AG411">
        <v>91</v>
      </c>
      <c r="AH411">
        <v>0</v>
      </c>
      <c r="AI411">
        <v>0</v>
      </c>
      <c r="AJ411">
        <v>0</v>
      </c>
      <c r="AK411">
        <v>0</v>
      </c>
      <c r="AL411" t="s">
        <v>1188</v>
      </c>
      <c r="AM411" t="s">
        <v>93</v>
      </c>
      <c r="AN411" t="s">
        <v>1189</v>
      </c>
      <c r="AO411" t="s">
        <v>7241</v>
      </c>
      <c r="AP411" t="s">
        <v>7242</v>
      </c>
      <c r="AQ411" t="s">
        <v>74</v>
      </c>
      <c r="AR411" t="s">
        <v>7243</v>
      </c>
      <c r="AS411" t="s">
        <v>7244</v>
      </c>
      <c r="AT411" t="s">
        <v>7167</v>
      </c>
      <c r="AU411">
        <v>2023</v>
      </c>
      <c r="AV411" t="s">
        <v>74</v>
      </c>
      <c r="AW411" t="s">
        <v>74</v>
      </c>
      <c r="AX411" t="s">
        <v>74</v>
      </c>
      <c r="AY411" t="s">
        <v>74</v>
      </c>
      <c r="AZ411" t="s">
        <v>74</v>
      </c>
      <c r="BA411" t="s">
        <v>74</v>
      </c>
      <c r="BB411" t="s">
        <v>74</v>
      </c>
      <c r="BC411" t="s">
        <v>74</v>
      </c>
      <c r="BD411" t="s">
        <v>74</v>
      </c>
      <c r="BE411" t="s">
        <v>7245</v>
      </c>
      <c r="BF411" t="str">
        <f>HYPERLINK("http://dx.doi.org/10.1080/09515070.2023.2255989","http://dx.doi.org/10.1080/09515070.2023.2255989")</f>
        <v>http://dx.doi.org/10.1080/09515070.2023.2255989</v>
      </c>
      <c r="BG411" t="s">
        <v>74</v>
      </c>
      <c r="BH411" t="s">
        <v>5545</v>
      </c>
      <c r="BI411">
        <v>24</v>
      </c>
      <c r="BJ411" t="s">
        <v>7246</v>
      </c>
      <c r="BK411" t="s">
        <v>211</v>
      </c>
      <c r="BL411" t="s">
        <v>1691</v>
      </c>
      <c r="BM411" t="s">
        <v>7247</v>
      </c>
      <c r="BN411" t="s">
        <v>74</v>
      </c>
      <c r="BO411" t="s">
        <v>74</v>
      </c>
      <c r="BP411" t="s">
        <v>74</v>
      </c>
      <c r="BQ411" t="s">
        <v>74</v>
      </c>
      <c r="BR411" t="s">
        <v>105</v>
      </c>
      <c r="BS411" t="s">
        <v>7248</v>
      </c>
      <c r="BT411" t="str">
        <f>HYPERLINK("https%3A%2F%2Fwww.webofscience.com%2Fwos%2Fwoscc%2Ffull-record%2FWOS:001066853700001","View Full Record in Web of Science")</f>
        <v>View Full Record in Web of Science</v>
      </c>
    </row>
    <row r="412" spans="1:72" x14ac:dyDescent="0.15">
      <c r="A412" t="s">
        <v>72</v>
      </c>
      <c r="B412" t="s">
        <v>7249</v>
      </c>
      <c r="C412" t="s">
        <v>74</v>
      </c>
      <c r="D412" t="s">
        <v>74</v>
      </c>
      <c r="E412" t="s">
        <v>74</v>
      </c>
      <c r="F412" t="s">
        <v>7250</v>
      </c>
      <c r="G412" t="s">
        <v>74</v>
      </c>
      <c r="H412" t="s">
        <v>74</v>
      </c>
      <c r="I412" t="s">
        <v>7251</v>
      </c>
      <c r="J412" t="s">
        <v>7252</v>
      </c>
      <c r="K412" t="s">
        <v>74</v>
      </c>
      <c r="L412" t="s">
        <v>74</v>
      </c>
      <c r="M412" t="s">
        <v>78</v>
      </c>
      <c r="N412" t="s">
        <v>5492</v>
      </c>
      <c r="O412" t="s">
        <v>74</v>
      </c>
      <c r="P412" t="s">
        <v>74</v>
      </c>
      <c r="Q412" t="s">
        <v>74</v>
      </c>
      <c r="R412" t="s">
        <v>74</v>
      </c>
      <c r="S412" t="s">
        <v>74</v>
      </c>
      <c r="T412" t="s">
        <v>7253</v>
      </c>
      <c r="U412" t="s">
        <v>7254</v>
      </c>
      <c r="V412" t="s">
        <v>7255</v>
      </c>
      <c r="W412" t="s">
        <v>7256</v>
      </c>
      <c r="X412" t="s">
        <v>7257</v>
      </c>
      <c r="Y412" t="s">
        <v>7258</v>
      </c>
      <c r="Z412" t="s">
        <v>7259</v>
      </c>
      <c r="AA412" t="s">
        <v>74</v>
      </c>
      <c r="AB412" t="s">
        <v>74</v>
      </c>
      <c r="AC412" t="s">
        <v>7260</v>
      </c>
      <c r="AD412" t="s">
        <v>7261</v>
      </c>
      <c r="AE412" t="s">
        <v>7262</v>
      </c>
      <c r="AF412" t="s">
        <v>74</v>
      </c>
      <c r="AG412">
        <v>61</v>
      </c>
      <c r="AH412">
        <v>0</v>
      </c>
      <c r="AI412">
        <v>0</v>
      </c>
      <c r="AJ412">
        <v>0</v>
      </c>
      <c r="AK412">
        <v>0</v>
      </c>
      <c r="AL412" t="s">
        <v>1188</v>
      </c>
      <c r="AM412" t="s">
        <v>93</v>
      </c>
      <c r="AN412" t="s">
        <v>1189</v>
      </c>
      <c r="AO412" t="s">
        <v>7263</v>
      </c>
      <c r="AP412" t="s">
        <v>7264</v>
      </c>
      <c r="AQ412" t="s">
        <v>74</v>
      </c>
      <c r="AR412" t="s">
        <v>7265</v>
      </c>
      <c r="AS412" t="s">
        <v>7266</v>
      </c>
      <c r="AT412" t="s">
        <v>7267</v>
      </c>
      <c r="AU412">
        <v>2023</v>
      </c>
      <c r="AV412" t="s">
        <v>74</v>
      </c>
      <c r="AW412" t="s">
        <v>74</v>
      </c>
      <c r="AX412" t="s">
        <v>74</v>
      </c>
      <c r="AY412" t="s">
        <v>74</v>
      </c>
      <c r="AZ412" t="s">
        <v>74</v>
      </c>
      <c r="BA412" t="s">
        <v>74</v>
      </c>
      <c r="BB412" t="s">
        <v>74</v>
      </c>
      <c r="BC412" t="s">
        <v>74</v>
      </c>
      <c r="BD412" t="s">
        <v>74</v>
      </c>
      <c r="BE412" t="s">
        <v>7268</v>
      </c>
      <c r="BF412" t="str">
        <f>HYPERLINK("http://dx.doi.org/10.1080/15575330.2023.2255997","http://dx.doi.org/10.1080/15575330.2023.2255997")</f>
        <v>http://dx.doi.org/10.1080/15575330.2023.2255997</v>
      </c>
      <c r="BG412" t="s">
        <v>74</v>
      </c>
      <c r="BH412" t="s">
        <v>5545</v>
      </c>
      <c r="BI412">
        <v>22</v>
      </c>
      <c r="BJ412" t="s">
        <v>7269</v>
      </c>
      <c r="BK412" t="s">
        <v>211</v>
      </c>
      <c r="BL412" t="s">
        <v>7269</v>
      </c>
      <c r="BM412" t="s">
        <v>7270</v>
      </c>
      <c r="BN412" t="s">
        <v>74</v>
      </c>
      <c r="BO412" t="s">
        <v>74</v>
      </c>
      <c r="BP412" t="s">
        <v>74</v>
      </c>
      <c r="BQ412" t="s">
        <v>74</v>
      </c>
      <c r="BR412" t="s">
        <v>105</v>
      </c>
      <c r="BS412" t="s">
        <v>7271</v>
      </c>
      <c r="BT412" t="str">
        <f>HYPERLINK("https%3A%2F%2Fwww.webofscience.com%2Fwos%2Fwoscc%2Ffull-record%2FWOS:001061417700001","View Full Record in Web of Science")</f>
        <v>View Full Record in Web of Science</v>
      </c>
    </row>
    <row r="413" spans="1:72" x14ac:dyDescent="0.15">
      <c r="A413" t="s">
        <v>72</v>
      </c>
      <c r="B413" t="s">
        <v>7272</v>
      </c>
      <c r="C413" t="s">
        <v>74</v>
      </c>
      <c r="D413" t="s">
        <v>74</v>
      </c>
      <c r="E413" t="s">
        <v>74</v>
      </c>
      <c r="F413" t="s">
        <v>7273</v>
      </c>
      <c r="G413" t="s">
        <v>74</v>
      </c>
      <c r="H413" t="s">
        <v>74</v>
      </c>
      <c r="I413" t="s">
        <v>7274</v>
      </c>
      <c r="J413" t="s">
        <v>7275</v>
      </c>
      <c r="K413" t="s">
        <v>74</v>
      </c>
      <c r="L413" t="s">
        <v>74</v>
      </c>
      <c r="M413" t="s">
        <v>78</v>
      </c>
      <c r="N413" t="s">
        <v>79</v>
      </c>
      <c r="O413" t="s">
        <v>74</v>
      </c>
      <c r="P413" t="s">
        <v>74</v>
      </c>
      <c r="Q413" t="s">
        <v>74</v>
      </c>
      <c r="R413" t="s">
        <v>74</v>
      </c>
      <c r="S413" t="s">
        <v>74</v>
      </c>
      <c r="T413" t="s">
        <v>7276</v>
      </c>
      <c r="U413" t="s">
        <v>7277</v>
      </c>
      <c r="V413" t="s">
        <v>7278</v>
      </c>
      <c r="W413" t="s">
        <v>7279</v>
      </c>
      <c r="X413" t="s">
        <v>7280</v>
      </c>
      <c r="Y413" t="s">
        <v>7281</v>
      </c>
      <c r="Z413" t="s">
        <v>7282</v>
      </c>
      <c r="AA413" t="s">
        <v>74</v>
      </c>
      <c r="AB413" t="s">
        <v>7283</v>
      </c>
      <c r="AC413" t="s">
        <v>7284</v>
      </c>
      <c r="AD413" t="s">
        <v>7285</v>
      </c>
      <c r="AE413" t="s">
        <v>7286</v>
      </c>
      <c r="AF413" t="s">
        <v>74</v>
      </c>
      <c r="AG413">
        <v>21</v>
      </c>
      <c r="AH413">
        <v>0</v>
      </c>
      <c r="AI413">
        <v>0</v>
      </c>
      <c r="AJ413">
        <v>1</v>
      </c>
      <c r="AK413">
        <v>1</v>
      </c>
      <c r="AL413" t="s">
        <v>92</v>
      </c>
      <c r="AM413" t="s">
        <v>93</v>
      </c>
      <c r="AN413" t="s">
        <v>94</v>
      </c>
      <c r="AO413" t="s">
        <v>7287</v>
      </c>
      <c r="AP413" t="s">
        <v>7288</v>
      </c>
      <c r="AQ413" t="s">
        <v>74</v>
      </c>
      <c r="AR413" t="s">
        <v>7275</v>
      </c>
      <c r="AS413" t="s">
        <v>7289</v>
      </c>
      <c r="AT413" t="s">
        <v>7290</v>
      </c>
      <c r="AU413">
        <v>2023</v>
      </c>
      <c r="AV413">
        <v>613</v>
      </c>
      <c r="AW413">
        <v>1</v>
      </c>
      <c r="AX413" t="s">
        <v>74</v>
      </c>
      <c r="AY413" t="s">
        <v>74</v>
      </c>
      <c r="AZ413" t="s">
        <v>74</v>
      </c>
      <c r="BA413" t="s">
        <v>74</v>
      </c>
      <c r="BB413">
        <v>41</v>
      </c>
      <c r="BC413">
        <v>51</v>
      </c>
      <c r="BD413" t="s">
        <v>74</v>
      </c>
      <c r="BE413" t="s">
        <v>7291</v>
      </c>
      <c r="BF413" t="str">
        <f>HYPERLINK("http://dx.doi.org/10.1080/00150193.2023.2215521","http://dx.doi.org/10.1080/00150193.2023.2215521")</f>
        <v>http://dx.doi.org/10.1080/00150193.2023.2215521</v>
      </c>
      <c r="BG413" t="s">
        <v>74</v>
      </c>
      <c r="BH413" t="s">
        <v>74</v>
      </c>
      <c r="BI413">
        <v>11</v>
      </c>
      <c r="BJ413" t="s">
        <v>7292</v>
      </c>
      <c r="BK413" t="s">
        <v>102</v>
      </c>
      <c r="BL413" t="s">
        <v>7293</v>
      </c>
      <c r="BM413" t="s">
        <v>7294</v>
      </c>
      <c r="BN413" t="s">
        <v>74</v>
      </c>
      <c r="BO413" t="s">
        <v>74</v>
      </c>
      <c r="BP413" t="s">
        <v>74</v>
      </c>
      <c r="BQ413" t="s">
        <v>74</v>
      </c>
      <c r="BR413" t="s">
        <v>105</v>
      </c>
      <c r="BS413" t="s">
        <v>7295</v>
      </c>
      <c r="BT413" t="str">
        <f>HYPERLINK("https%3A%2F%2Fwww.webofscience.com%2Fwos%2Fwoscc%2Ffull-record%2FWOS:001040057200006","View Full Record in Web of Science")</f>
        <v>View Full Record in Web of Science</v>
      </c>
    </row>
    <row r="414" spans="1:72" x14ac:dyDescent="0.15">
      <c r="A414" t="s">
        <v>72</v>
      </c>
      <c r="B414" t="s">
        <v>7296</v>
      </c>
      <c r="C414" t="s">
        <v>74</v>
      </c>
      <c r="D414" t="s">
        <v>74</v>
      </c>
      <c r="E414" t="s">
        <v>74</v>
      </c>
      <c r="F414" t="s">
        <v>7297</v>
      </c>
      <c r="G414" t="s">
        <v>74</v>
      </c>
      <c r="H414" t="s">
        <v>74</v>
      </c>
      <c r="I414" t="s">
        <v>7298</v>
      </c>
      <c r="J414" t="s">
        <v>7299</v>
      </c>
      <c r="K414" t="s">
        <v>74</v>
      </c>
      <c r="L414" t="s">
        <v>74</v>
      </c>
      <c r="M414" t="s">
        <v>78</v>
      </c>
      <c r="N414" t="s">
        <v>5492</v>
      </c>
      <c r="O414" t="s">
        <v>74</v>
      </c>
      <c r="P414" t="s">
        <v>74</v>
      </c>
      <c r="Q414" t="s">
        <v>74</v>
      </c>
      <c r="R414" t="s">
        <v>74</v>
      </c>
      <c r="S414" t="s">
        <v>74</v>
      </c>
      <c r="T414" t="s">
        <v>7300</v>
      </c>
      <c r="U414" t="s">
        <v>7301</v>
      </c>
      <c r="V414" t="s">
        <v>7302</v>
      </c>
      <c r="W414" t="s">
        <v>7303</v>
      </c>
      <c r="X414" t="s">
        <v>7304</v>
      </c>
      <c r="Y414" t="s">
        <v>7305</v>
      </c>
      <c r="Z414" t="s">
        <v>7306</v>
      </c>
      <c r="AA414" t="s">
        <v>74</v>
      </c>
      <c r="AB414" t="s">
        <v>74</v>
      </c>
      <c r="AC414" t="s">
        <v>74</v>
      </c>
      <c r="AD414" t="s">
        <v>74</v>
      </c>
      <c r="AE414" t="s">
        <v>74</v>
      </c>
      <c r="AF414" t="s">
        <v>74</v>
      </c>
      <c r="AG414">
        <v>51</v>
      </c>
      <c r="AH414">
        <v>0</v>
      </c>
      <c r="AI414">
        <v>0</v>
      </c>
      <c r="AJ414">
        <v>2</v>
      </c>
      <c r="AK414">
        <v>2</v>
      </c>
      <c r="AL414" t="s">
        <v>1188</v>
      </c>
      <c r="AM414" t="s">
        <v>93</v>
      </c>
      <c r="AN414" t="s">
        <v>1189</v>
      </c>
      <c r="AO414" t="s">
        <v>7307</v>
      </c>
      <c r="AP414" t="s">
        <v>7308</v>
      </c>
      <c r="AQ414" t="s">
        <v>74</v>
      </c>
      <c r="AR414" t="s">
        <v>7309</v>
      </c>
      <c r="AS414" t="s">
        <v>7310</v>
      </c>
      <c r="AT414" t="s">
        <v>7267</v>
      </c>
      <c r="AU414">
        <v>2023</v>
      </c>
      <c r="AV414" t="s">
        <v>74</v>
      </c>
      <c r="AW414" t="s">
        <v>74</v>
      </c>
      <c r="AX414" t="s">
        <v>74</v>
      </c>
      <c r="AY414" t="s">
        <v>74</v>
      </c>
      <c r="AZ414" t="s">
        <v>74</v>
      </c>
      <c r="BA414" t="s">
        <v>74</v>
      </c>
      <c r="BB414" t="s">
        <v>74</v>
      </c>
      <c r="BC414" t="s">
        <v>74</v>
      </c>
      <c r="BD414" t="s">
        <v>74</v>
      </c>
      <c r="BE414" t="s">
        <v>7311</v>
      </c>
      <c r="BF414" t="str">
        <f>HYPERLINK("http://dx.doi.org/10.1080/13613324.2023.2257138","http://dx.doi.org/10.1080/13613324.2023.2257138")</f>
        <v>http://dx.doi.org/10.1080/13613324.2023.2257138</v>
      </c>
      <c r="BG414" t="s">
        <v>74</v>
      </c>
      <c r="BH414" t="s">
        <v>5545</v>
      </c>
      <c r="BI414">
        <v>20</v>
      </c>
      <c r="BJ414" t="s">
        <v>7312</v>
      </c>
      <c r="BK414" t="s">
        <v>272</v>
      </c>
      <c r="BL414" t="s">
        <v>7312</v>
      </c>
      <c r="BM414" t="s">
        <v>7313</v>
      </c>
      <c r="BN414" t="s">
        <v>74</v>
      </c>
      <c r="BO414" t="s">
        <v>74</v>
      </c>
      <c r="BP414" t="s">
        <v>74</v>
      </c>
      <c r="BQ414" t="s">
        <v>74</v>
      </c>
      <c r="BR414" t="s">
        <v>105</v>
      </c>
      <c r="BS414" t="s">
        <v>7314</v>
      </c>
      <c r="BT414" t="str">
        <f>HYPERLINK("https%3A%2F%2Fwww.webofscience.com%2Fwos%2Fwoscc%2Ffull-record%2FWOS:001061409300001","View Full Record in Web of Science")</f>
        <v>View Full Record in Web of Science</v>
      </c>
    </row>
    <row r="415" spans="1:72" x14ac:dyDescent="0.15">
      <c r="A415" t="s">
        <v>72</v>
      </c>
      <c r="B415" t="s">
        <v>7315</v>
      </c>
      <c r="C415" t="s">
        <v>74</v>
      </c>
      <c r="D415" t="s">
        <v>74</v>
      </c>
      <c r="E415" t="s">
        <v>74</v>
      </c>
      <c r="F415" t="s">
        <v>7316</v>
      </c>
      <c r="G415" t="s">
        <v>74</v>
      </c>
      <c r="H415" t="s">
        <v>74</v>
      </c>
      <c r="I415" t="s">
        <v>7317</v>
      </c>
      <c r="J415" t="s">
        <v>7275</v>
      </c>
      <c r="K415" t="s">
        <v>74</v>
      </c>
      <c r="L415" t="s">
        <v>74</v>
      </c>
      <c r="M415" t="s">
        <v>78</v>
      </c>
      <c r="N415" t="s">
        <v>79</v>
      </c>
      <c r="O415" t="s">
        <v>74</v>
      </c>
      <c r="P415" t="s">
        <v>74</v>
      </c>
      <c r="Q415" t="s">
        <v>74</v>
      </c>
      <c r="R415" t="s">
        <v>74</v>
      </c>
      <c r="S415" t="s">
        <v>74</v>
      </c>
      <c r="T415" t="s">
        <v>7318</v>
      </c>
      <c r="U415" t="s">
        <v>7319</v>
      </c>
      <c r="V415" t="s">
        <v>7320</v>
      </c>
      <c r="W415" t="s">
        <v>7321</v>
      </c>
      <c r="X415" t="s">
        <v>7322</v>
      </c>
      <c r="Y415" t="s">
        <v>7323</v>
      </c>
      <c r="Z415" t="s">
        <v>7324</v>
      </c>
      <c r="AA415" t="s">
        <v>74</v>
      </c>
      <c r="AB415" t="s">
        <v>7325</v>
      </c>
      <c r="AC415" t="s">
        <v>74</v>
      </c>
      <c r="AD415" t="s">
        <v>74</v>
      </c>
      <c r="AE415" t="s">
        <v>74</v>
      </c>
      <c r="AF415" t="s">
        <v>74</v>
      </c>
      <c r="AG415">
        <v>27</v>
      </c>
      <c r="AH415">
        <v>0</v>
      </c>
      <c r="AI415">
        <v>0</v>
      </c>
      <c r="AJ415">
        <v>0</v>
      </c>
      <c r="AK415">
        <v>0</v>
      </c>
      <c r="AL415" t="s">
        <v>92</v>
      </c>
      <c r="AM415" t="s">
        <v>93</v>
      </c>
      <c r="AN415" t="s">
        <v>94</v>
      </c>
      <c r="AO415" t="s">
        <v>7287</v>
      </c>
      <c r="AP415" t="s">
        <v>7288</v>
      </c>
      <c r="AQ415" t="s">
        <v>74</v>
      </c>
      <c r="AR415" t="s">
        <v>7275</v>
      </c>
      <c r="AS415" t="s">
        <v>7289</v>
      </c>
      <c r="AT415" t="s">
        <v>7290</v>
      </c>
      <c r="AU415">
        <v>2023</v>
      </c>
      <c r="AV415">
        <v>613</v>
      </c>
      <c r="AW415">
        <v>1</v>
      </c>
      <c r="AX415" t="s">
        <v>74</v>
      </c>
      <c r="AY415" t="s">
        <v>74</v>
      </c>
      <c r="AZ415" t="s">
        <v>74</v>
      </c>
      <c r="BA415" t="s">
        <v>74</v>
      </c>
      <c r="BB415">
        <v>122</v>
      </c>
      <c r="BC415">
        <v>128</v>
      </c>
      <c r="BD415" t="s">
        <v>74</v>
      </c>
      <c r="BE415" t="s">
        <v>7326</v>
      </c>
      <c r="BF415" t="str">
        <f>HYPERLINK("http://dx.doi.org/10.1080/00150193.2023.2215505","http://dx.doi.org/10.1080/00150193.2023.2215505")</f>
        <v>http://dx.doi.org/10.1080/00150193.2023.2215505</v>
      </c>
      <c r="BG415" t="s">
        <v>74</v>
      </c>
      <c r="BH415" t="s">
        <v>74</v>
      </c>
      <c r="BI415">
        <v>7</v>
      </c>
      <c r="BJ415" t="s">
        <v>7292</v>
      </c>
      <c r="BK415" t="s">
        <v>102</v>
      </c>
      <c r="BL415" t="s">
        <v>7293</v>
      </c>
      <c r="BM415" t="s">
        <v>7294</v>
      </c>
      <c r="BN415" t="s">
        <v>74</v>
      </c>
      <c r="BO415" t="s">
        <v>74</v>
      </c>
      <c r="BP415" t="s">
        <v>74</v>
      </c>
      <c r="BQ415" t="s">
        <v>74</v>
      </c>
      <c r="BR415" t="s">
        <v>105</v>
      </c>
      <c r="BS415" t="s">
        <v>7327</v>
      </c>
      <c r="BT415" t="str">
        <f>HYPERLINK("https%3A%2F%2Fwww.webofscience.com%2Fwos%2Fwoscc%2Ffull-record%2FWOS:001040057200014","View Full Record in Web of Science")</f>
        <v>View Full Record in Web of Science</v>
      </c>
    </row>
    <row r="416" spans="1:72" x14ac:dyDescent="0.15">
      <c r="A416" t="s">
        <v>72</v>
      </c>
      <c r="B416" t="s">
        <v>7328</v>
      </c>
      <c r="C416" t="s">
        <v>74</v>
      </c>
      <c r="D416" t="s">
        <v>74</v>
      </c>
      <c r="E416" t="s">
        <v>74</v>
      </c>
      <c r="F416" t="s">
        <v>7329</v>
      </c>
      <c r="G416" t="s">
        <v>74</v>
      </c>
      <c r="H416" t="s">
        <v>74</v>
      </c>
      <c r="I416" t="s">
        <v>7330</v>
      </c>
      <c r="J416" t="s">
        <v>7331</v>
      </c>
      <c r="K416" t="s">
        <v>74</v>
      </c>
      <c r="L416" t="s">
        <v>74</v>
      </c>
      <c r="M416" t="s">
        <v>78</v>
      </c>
      <c r="N416" t="s">
        <v>5492</v>
      </c>
      <c r="O416" t="s">
        <v>74</v>
      </c>
      <c r="P416" t="s">
        <v>74</v>
      </c>
      <c r="Q416" t="s">
        <v>74</v>
      </c>
      <c r="R416" t="s">
        <v>74</v>
      </c>
      <c r="S416" t="s">
        <v>74</v>
      </c>
      <c r="T416" t="s">
        <v>7332</v>
      </c>
      <c r="U416" t="s">
        <v>7333</v>
      </c>
      <c r="V416" t="s">
        <v>7334</v>
      </c>
      <c r="W416" t="s">
        <v>7335</v>
      </c>
      <c r="X416" t="s">
        <v>7336</v>
      </c>
      <c r="Y416" t="s">
        <v>7337</v>
      </c>
      <c r="Z416" t="s">
        <v>7338</v>
      </c>
      <c r="AA416" t="s">
        <v>74</v>
      </c>
      <c r="AB416" t="s">
        <v>7339</v>
      </c>
      <c r="AC416" t="s">
        <v>7340</v>
      </c>
      <c r="AD416" t="s">
        <v>7340</v>
      </c>
      <c r="AE416" t="s">
        <v>7340</v>
      </c>
      <c r="AF416" t="s">
        <v>74</v>
      </c>
      <c r="AG416">
        <v>49</v>
      </c>
      <c r="AH416">
        <v>0</v>
      </c>
      <c r="AI416">
        <v>0</v>
      </c>
      <c r="AJ416">
        <v>0</v>
      </c>
      <c r="AK416">
        <v>0</v>
      </c>
      <c r="AL416" t="s">
        <v>1188</v>
      </c>
      <c r="AM416" t="s">
        <v>93</v>
      </c>
      <c r="AN416" t="s">
        <v>1189</v>
      </c>
      <c r="AO416" t="s">
        <v>7341</v>
      </c>
      <c r="AP416" t="s">
        <v>7342</v>
      </c>
      <c r="AQ416" t="s">
        <v>74</v>
      </c>
      <c r="AR416" t="s">
        <v>7343</v>
      </c>
      <c r="AS416" t="s">
        <v>7344</v>
      </c>
      <c r="AT416" t="s">
        <v>7267</v>
      </c>
      <c r="AU416">
        <v>2023</v>
      </c>
      <c r="AV416" t="s">
        <v>74</v>
      </c>
      <c r="AW416" t="s">
        <v>74</v>
      </c>
      <c r="AX416" t="s">
        <v>74</v>
      </c>
      <c r="AY416" t="s">
        <v>74</v>
      </c>
      <c r="AZ416" t="s">
        <v>74</v>
      </c>
      <c r="BA416" t="s">
        <v>74</v>
      </c>
      <c r="BB416" t="s">
        <v>74</v>
      </c>
      <c r="BC416" t="s">
        <v>74</v>
      </c>
      <c r="BD416" t="s">
        <v>74</v>
      </c>
      <c r="BE416" t="s">
        <v>7345</v>
      </c>
      <c r="BF416" t="str">
        <f>HYPERLINK("http://dx.doi.org/10.1080/14681366.2023.2254782","http://dx.doi.org/10.1080/14681366.2023.2254782")</f>
        <v>http://dx.doi.org/10.1080/14681366.2023.2254782</v>
      </c>
      <c r="BG416" t="s">
        <v>74</v>
      </c>
      <c r="BH416" t="s">
        <v>5545</v>
      </c>
      <c r="BI416">
        <v>19</v>
      </c>
      <c r="BJ416" t="s">
        <v>271</v>
      </c>
      <c r="BK416" t="s">
        <v>211</v>
      </c>
      <c r="BL416" t="s">
        <v>271</v>
      </c>
      <c r="BM416" t="s">
        <v>7346</v>
      </c>
      <c r="BN416" t="s">
        <v>74</v>
      </c>
      <c r="BO416" t="s">
        <v>74</v>
      </c>
      <c r="BP416" t="s">
        <v>74</v>
      </c>
      <c r="BQ416" t="s">
        <v>74</v>
      </c>
      <c r="BR416" t="s">
        <v>105</v>
      </c>
      <c r="BS416" t="s">
        <v>7347</v>
      </c>
      <c r="BT416" t="str">
        <f>HYPERLINK("https%3A%2F%2Fwww.webofscience.com%2Fwos%2Fwoscc%2Ffull-record%2FWOS:001063083200001","View Full Record in Web of Science")</f>
        <v>View Full Record in Web of Science</v>
      </c>
    </row>
    <row r="417" spans="1:72" x14ac:dyDescent="0.15">
      <c r="A417" t="s">
        <v>72</v>
      </c>
      <c r="B417" t="s">
        <v>7348</v>
      </c>
      <c r="C417" t="s">
        <v>74</v>
      </c>
      <c r="D417" t="s">
        <v>74</v>
      </c>
      <c r="E417" t="s">
        <v>74</v>
      </c>
      <c r="F417" t="s">
        <v>7349</v>
      </c>
      <c r="G417" t="s">
        <v>74</v>
      </c>
      <c r="H417" t="s">
        <v>74</v>
      </c>
      <c r="I417" t="s">
        <v>7350</v>
      </c>
      <c r="J417" t="s">
        <v>7351</v>
      </c>
      <c r="K417" t="s">
        <v>74</v>
      </c>
      <c r="L417" t="s">
        <v>74</v>
      </c>
      <c r="M417" t="s">
        <v>78</v>
      </c>
      <c r="N417" t="s">
        <v>5492</v>
      </c>
      <c r="O417" t="s">
        <v>74</v>
      </c>
      <c r="P417" t="s">
        <v>74</v>
      </c>
      <c r="Q417" t="s">
        <v>74</v>
      </c>
      <c r="R417" t="s">
        <v>74</v>
      </c>
      <c r="S417" t="s">
        <v>74</v>
      </c>
      <c r="T417" t="s">
        <v>7352</v>
      </c>
      <c r="U417" t="s">
        <v>7353</v>
      </c>
      <c r="V417" t="s">
        <v>7354</v>
      </c>
      <c r="W417" t="s">
        <v>7355</v>
      </c>
      <c r="X417" t="s">
        <v>7356</v>
      </c>
      <c r="Y417" t="s">
        <v>7357</v>
      </c>
      <c r="Z417" t="s">
        <v>7358</v>
      </c>
      <c r="AA417" t="s">
        <v>74</v>
      </c>
      <c r="AB417" t="s">
        <v>74</v>
      </c>
      <c r="AC417" t="s">
        <v>74</v>
      </c>
      <c r="AD417" t="s">
        <v>74</v>
      </c>
      <c r="AE417" t="s">
        <v>74</v>
      </c>
      <c r="AF417" t="s">
        <v>74</v>
      </c>
      <c r="AG417">
        <v>27</v>
      </c>
      <c r="AH417">
        <v>0</v>
      </c>
      <c r="AI417">
        <v>0</v>
      </c>
      <c r="AJ417">
        <v>1</v>
      </c>
      <c r="AK417">
        <v>1</v>
      </c>
      <c r="AL417" t="s">
        <v>92</v>
      </c>
      <c r="AM417" t="s">
        <v>93</v>
      </c>
      <c r="AN417" t="s">
        <v>94</v>
      </c>
      <c r="AO417" t="s">
        <v>7359</v>
      </c>
      <c r="AP417" t="s">
        <v>7360</v>
      </c>
      <c r="AQ417" t="s">
        <v>74</v>
      </c>
      <c r="AR417" t="s">
        <v>7361</v>
      </c>
      <c r="AS417" t="s">
        <v>7362</v>
      </c>
      <c r="AT417" t="s">
        <v>7267</v>
      </c>
      <c r="AU417">
        <v>2023</v>
      </c>
      <c r="AV417" t="s">
        <v>74</v>
      </c>
      <c r="AW417" t="s">
        <v>74</v>
      </c>
      <c r="AX417" t="s">
        <v>74</v>
      </c>
      <c r="AY417" t="s">
        <v>74</v>
      </c>
      <c r="AZ417" t="s">
        <v>74</v>
      </c>
      <c r="BA417" t="s">
        <v>74</v>
      </c>
      <c r="BB417" t="s">
        <v>74</v>
      </c>
      <c r="BC417" t="s">
        <v>74</v>
      </c>
      <c r="BD417" t="s">
        <v>74</v>
      </c>
      <c r="BE417" t="s">
        <v>7363</v>
      </c>
      <c r="BF417" t="str">
        <f>HYPERLINK("http://dx.doi.org/10.1080/00365513.2023.2255970","http://dx.doi.org/10.1080/00365513.2023.2255970")</f>
        <v>http://dx.doi.org/10.1080/00365513.2023.2255970</v>
      </c>
      <c r="BG417" t="s">
        <v>74</v>
      </c>
      <c r="BH417" t="s">
        <v>5545</v>
      </c>
      <c r="BI417">
        <v>7</v>
      </c>
      <c r="BJ417" t="s">
        <v>7364</v>
      </c>
      <c r="BK417" t="s">
        <v>102</v>
      </c>
      <c r="BL417" t="s">
        <v>7365</v>
      </c>
      <c r="BM417" t="s">
        <v>7366</v>
      </c>
      <c r="BN417">
        <v>37694716</v>
      </c>
      <c r="BO417" t="s">
        <v>74</v>
      </c>
      <c r="BP417" t="s">
        <v>74</v>
      </c>
      <c r="BQ417" t="s">
        <v>74</v>
      </c>
      <c r="BR417" t="s">
        <v>105</v>
      </c>
      <c r="BS417" t="s">
        <v>7367</v>
      </c>
      <c r="BT417" t="str">
        <f>HYPERLINK("https%3A%2F%2Fwww.webofscience.com%2Fwos%2Fwoscc%2Ffull-record%2FWOS:001063344700001","View Full Record in Web of Science")</f>
        <v>View Full Record in Web of Science</v>
      </c>
    </row>
    <row r="418" spans="1:72" x14ac:dyDescent="0.15">
      <c r="A418" t="s">
        <v>72</v>
      </c>
      <c r="B418" t="s">
        <v>7368</v>
      </c>
      <c r="C418" t="s">
        <v>74</v>
      </c>
      <c r="D418" t="s">
        <v>74</v>
      </c>
      <c r="E418" t="s">
        <v>74</v>
      </c>
      <c r="F418" t="s">
        <v>7369</v>
      </c>
      <c r="G418" t="s">
        <v>74</v>
      </c>
      <c r="H418" t="s">
        <v>74</v>
      </c>
      <c r="I418" t="s">
        <v>7370</v>
      </c>
      <c r="J418" t="s">
        <v>7371</v>
      </c>
      <c r="K418" t="s">
        <v>74</v>
      </c>
      <c r="L418" t="s">
        <v>74</v>
      </c>
      <c r="M418" t="s">
        <v>78</v>
      </c>
      <c r="N418" t="s">
        <v>5492</v>
      </c>
      <c r="O418" t="s">
        <v>74</v>
      </c>
      <c r="P418" t="s">
        <v>74</v>
      </c>
      <c r="Q418" t="s">
        <v>74</v>
      </c>
      <c r="R418" t="s">
        <v>74</v>
      </c>
      <c r="S418" t="s">
        <v>74</v>
      </c>
      <c r="T418" t="s">
        <v>7372</v>
      </c>
      <c r="U418" t="s">
        <v>7373</v>
      </c>
      <c r="V418" t="s">
        <v>7374</v>
      </c>
      <c r="W418" t="s">
        <v>7375</v>
      </c>
      <c r="X418" t="s">
        <v>7376</v>
      </c>
      <c r="Y418" t="s">
        <v>7377</v>
      </c>
      <c r="Z418" t="s">
        <v>7378</v>
      </c>
      <c r="AA418" t="s">
        <v>74</v>
      </c>
      <c r="AB418" t="s">
        <v>74</v>
      </c>
      <c r="AC418" t="s">
        <v>7379</v>
      </c>
      <c r="AD418" t="s">
        <v>7379</v>
      </c>
      <c r="AE418" t="s">
        <v>7380</v>
      </c>
      <c r="AF418" t="s">
        <v>74</v>
      </c>
      <c r="AG418">
        <v>75</v>
      </c>
      <c r="AH418">
        <v>0</v>
      </c>
      <c r="AI418">
        <v>0</v>
      </c>
      <c r="AJ418">
        <v>0</v>
      </c>
      <c r="AK418">
        <v>0</v>
      </c>
      <c r="AL418" t="s">
        <v>1188</v>
      </c>
      <c r="AM418" t="s">
        <v>93</v>
      </c>
      <c r="AN418" t="s">
        <v>1189</v>
      </c>
      <c r="AO418" t="s">
        <v>7381</v>
      </c>
      <c r="AP418" t="s">
        <v>7382</v>
      </c>
      <c r="AQ418" t="s">
        <v>74</v>
      </c>
      <c r="AR418" t="s">
        <v>7383</v>
      </c>
      <c r="AS418" t="s">
        <v>7384</v>
      </c>
      <c r="AT418" t="s">
        <v>7385</v>
      </c>
      <c r="AU418">
        <v>2023</v>
      </c>
      <c r="AV418" t="s">
        <v>74</v>
      </c>
      <c r="AW418" t="s">
        <v>74</v>
      </c>
      <c r="AX418" t="s">
        <v>74</v>
      </c>
      <c r="AY418" t="s">
        <v>74</v>
      </c>
      <c r="AZ418" t="s">
        <v>74</v>
      </c>
      <c r="BA418" t="s">
        <v>74</v>
      </c>
      <c r="BB418" t="s">
        <v>74</v>
      </c>
      <c r="BC418" t="s">
        <v>74</v>
      </c>
      <c r="BD418" t="s">
        <v>74</v>
      </c>
      <c r="BE418" t="s">
        <v>7386</v>
      </c>
      <c r="BF418" t="str">
        <f>HYPERLINK("http://dx.doi.org/10.1080/1389224X.2023.2254286","http://dx.doi.org/10.1080/1389224X.2023.2254286")</f>
        <v>http://dx.doi.org/10.1080/1389224X.2023.2254286</v>
      </c>
      <c r="BG418" t="s">
        <v>74</v>
      </c>
      <c r="BH418" t="s">
        <v>5545</v>
      </c>
      <c r="BI418">
        <v>23</v>
      </c>
      <c r="BJ418" t="s">
        <v>7387</v>
      </c>
      <c r="BK418" t="s">
        <v>272</v>
      </c>
      <c r="BL418" t="s">
        <v>7388</v>
      </c>
      <c r="BM418" t="s">
        <v>7389</v>
      </c>
      <c r="BN418" t="s">
        <v>74</v>
      </c>
      <c r="BO418" t="s">
        <v>74</v>
      </c>
      <c r="BP418" t="s">
        <v>74</v>
      </c>
      <c r="BQ418" t="s">
        <v>74</v>
      </c>
      <c r="BR418" t="s">
        <v>105</v>
      </c>
      <c r="BS418" t="s">
        <v>7390</v>
      </c>
      <c r="BT418" t="str">
        <f>HYPERLINK("https%3A%2F%2Fwww.webofscience.com%2Fwos%2Fwoscc%2Ffull-record%2FWOS:001063090600001","View Full Record in Web of Science")</f>
        <v>View Full Record in Web of Science</v>
      </c>
    </row>
    <row r="419" spans="1:72" x14ac:dyDescent="0.15">
      <c r="A419" t="s">
        <v>72</v>
      </c>
      <c r="B419" t="s">
        <v>7391</v>
      </c>
      <c r="C419" t="s">
        <v>74</v>
      </c>
      <c r="D419" t="s">
        <v>74</v>
      </c>
      <c r="E419" t="s">
        <v>74</v>
      </c>
      <c r="F419" t="s">
        <v>7392</v>
      </c>
      <c r="G419" t="s">
        <v>74</v>
      </c>
      <c r="H419" t="s">
        <v>74</v>
      </c>
      <c r="I419" t="s">
        <v>7393</v>
      </c>
      <c r="J419" t="s">
        <v>7394</v>
      </c>
      <c r="K419" t="s">
        <v>74</v>
      </c>
      <c r="L419" t="s">
        <v>74</v>
      </c>
      <c r="M419" t="s">
        <v>78</v>
      </c>
      <c r="N419" t="s">
        <v>6253</v>
      </c>
      <c r="O419" t="s">
        <v>74</v>
      </c>
      <c r="P419" t="s">
        <v>74</v>
      </c>
      <c r="Q419" t="s">
        <v>74</v>
      </c>
      <c r="R419" t="s">
        <v>74</v>
      </c>
      <c r="S419" t="s">
        <v>74</v>
      </c>
      <c r="T419" t="s">
        <v>74</v>
      </c>
      <c r="U419" t="s">
        <v>74</v>
      </c>
      <c r="V419" t="s">
        <v>74</v>
      </c>
      <c r="W419" t="s">
        <v>7395</v>
      </c>
      <c r="X419" t="s">
        <v>7396</v>
      </c>
      <c r="Y419" t="s">
        <v>7397</v>
      </c>
      <c r="Z419" t="s">
        <v>7398</v>
      </c>
      <c r="AA419" t="s">
        <v>74</v>
      </c>
      <c r="AB419" t="s">
        <v>74</v>
      </c>
      <c r="AC419" t="s">
        <v>74</v>
      </c>
      <c r="AD419" t="s">
        <v>74</v>
      </c>
      <c r="AE419" t="s">
        <v>74</v>
      </c>
      <c r="AF419" t="s">
        <v>74</v>
      </c>
      <c r="AG419">
        <v>7</v>
      </c>
      <c r="AH419">
        <v>0</v>
      </c>
      <c r="AI419">
        <v>0</v>
      </c>
      <c r="AJ419">
        <v>0</v>
      </c>
      <c r="AK419">
        <v>0</v>
      </c>
      <c r="AL419" t="s">
        <v>1188</v>
      </c>
      <c r="AM419" t="s">
        <v>93</v>
      </c>
      <c r="AN419" t="s">
        <v>1189</v>
      </c>
      <c r="AO419" t="s">
        <v>7399</v>
      </c>
      <c r="AP419" t="s">
        <v>7400</v>
      </c>
      <c r="AQ419" t="s">
        <v>74</v>
      </c>
      <c r="AR419" t="s">
        <v>7401</v>
      </c>
      <c r="AS419" t="s">
        <v>7402</v>
      </c>
      <c r="AT419" t="s">
        <v>7385</v>
      </c>
      <c r="AU419">
        <v>2023</v>
      </c>
      <c r="AV419" t="s">
        <v>74</v>
      </c>
      <c r="AW419" t="s">
        <v>74</v>
      </c>
      <c r="AX419" t="s">
        <v>74</v>
      </c>
      <c r="AY419" t="s">
        <v>74</v>
      </c>
      <c r="AZ419" t="s">
        <v>74</v>
      </c>
      <c r="BA419" t="s">
        <v>74</v>
      </c>
      <c r="BB419" t="s">
        <v>74</v>
      </c>
      <c r="BC419" t="s">
        <v>74</v>
      </c>
      <c r="BD419" t="s">
        <v>74</v>
      </c>
      <c r="BE419" t="s">
        <v>7403</v>
      </c>
      <c r="BF419" t="str">
        <f>HYPERLINK("http://dx.doi.org/10.1080/1359866X.2023.2253541","http://dx.doi.org/10.1080/1359866X.2023.2253541")</f>
        <v>http://dx.doi.org/10.1080/1359866X.2023.2253541</v>
      </c>
      <c r="BG419" t="s">
        <v>74</v>
      </c>
      <c r="BH419" t="s">
        <v>5545</v>
      </c>
      <c r="BI419">
        <v>3</v>
      </c>
      <c r="BJ419" t="s">
        <v>271</v>
      </c>
      <c r="BK419" t="s">
        <v>272</v>
      </c>
      <c r="BL419" t="s">
        <v>271</v>
      </c>
      <c r="BM419" t="s">
        <v>7404</v>
      </c>
      <c r="BN419" t="s">
        <v>74</v>
      </c>
      <c r="BO419" t="s">
        <v>74</v>
      </c>
      <c r="BP419" t="s">
        <v>74</v>
      </c>
      <c r="BQ419" t="s">
        <v>74</v>
      </c>
      <c r="BR419" t="s">
        <v>105</v>
      </c>
      <c r="BS419" t="s">
        <v>7405</v>
      </c>
      <c r="BT419" t="str">
        <f>HYPERLINK("https%3A%2F%2Fwww.webofscience.com%2Fwos%2Fwoscc%2Ffull-record%2FWOS:001066854100001","View Full Record in Web of Science")</f>
        <v>View Full Record in Web of Science</v>
      </c>
    </row>
    <row r="420" spans="1:72" x14ac:dyDescent="0.15">
      <c r="A420" t="s">
        <v>72</v>
      </c>
      <c r="B420" t="s">
        <v>7406</v>
      </c>
      <c r="C420" t="s">
        <v>74</v>
      </c>
      <c r="D420" t="s">
        <v>74</v>
      </c>
      <c r="E420" t="s">
        <v>74</v>
      </c>
      <c r="F420" t="s">
        <v>7407</v>
      </c>
      <c r="G420" t="s">
        <v>74</v>
      </c>
      <c r="H420" t="s">
        <v>74</v>
      </c>
      <c r="I420" t="s">
        <v>7408</v>
      </c>
      <c r="J420" t="s">
        <v>7409</v>
      </c>
      <c r="K420" t="s">
        <v>74</v>
      </c>
      <c r="L420" t="s">
        <v>74</v>
      </c>
      <c r="M420" t="s">
        <v>78</v>
      </c>
      <c r="N420" t="s">
        <v>5492</v>
      </c>
      <c r="O420" t="s">
        <v>74</v>
      </c>
      <c r="P420" t="s">
        <v>74</v>
      </c>
      <c r="Q420" t="s">
        <v>74</v>
      </c>
      <c r="R420" t="s">
        <v>74</v>
      </c>
      <c r="S420" t="s">
        <v>74</v>
      </c>
      <c r="T420" t="s">
        <v>7410</v>
      </c>
      <c r="U420" t="s">
        <v>7411</v>
      </c>
      <c r="V420" t="s">
        <v>7412</v>
      </c>
      <c r="W420" t="s">
        <v>7413</v>
      </c>
      <c r="X420" t="s">
        <v>7414</v>
      </c>
      <c r="Y420" t="s">
        <v>7415</v>
      </c>
      <c r="Z420" t="s">
        <v>7416</v>
      </c>
      <c r="AA420" t="s">
        <v>74</v>
      </c>
      <c r="AB420" t="s">
        <v>7417</v>
      </c>
      <c r="AC420" t="s">
        <v>7418</v>
      </c>
      <c r="AD420" t="s">
        <v>7419</v>
      </c>
      <c r="AE420" t="s">
        <v>7420</v>
      </c>
      <c r="AF420" t="s">
        <v>74</v>
      </c>
      <c r="AG420">
        <v>54</v>
      </c>
      <c r="AH420">
        <v>0</v>
      </c>
      <c r="AI420">
        <v>0</v>
      </c>
      <c r="AJ420">
        <v>0</v>
      </c>
      <c r="AK420">
        <v>0</v>
      </c>
      <c r="AL420" t="s">
        <v>92</v>
      </c>
      <c r="AM420" t="s">
        <v>93</v>
      </c>
      <c r="AN420" t="s">
        <v>94</v>
      </c>
      <c r="AO420" t="s">
        <v>7421</v>
      </c>
      <c r="AP420" t="s">
        <v>7422</v>
      </c>
      <c r="AQ420" t="s">
        <v>74</v>
      </c>
      <c r="AR420" t="s">
        <v>7423</v>
      </c>
      <c r="AS420" t="s">
        <v>7424</v>
      </c>
      <c r="AT420" t="s">
        <v>7385</v>
      </c>
      <c r="AU420">
        <v>2023</v>
      </c>
      <c r="AV420" t="s">
        <v>74</v>
      </c>
      <c r="AW420" t="s">
        <v>74</v>
      </c>
      <c r="AX420" t="s">
        <v>74</v>
      </c>
      <c r="AY420" t="s">
        <v>74</v>
      </c>
      <c r="AZ420" t="s">
        <v>74</v>
      </c>
      <c r="BA420" t="s">
        <v>74</v>
      </c>
      <c r="BB420" t="s">
        <v>74</v>
      </c>
      <c r="BC420" t="s">
        <v>74</v>
      </c>
      <c r="BD420" t="s">
        <v>74</v>
      </c>
      <c r="BE420" t="s">
        <v>7425</v>
      </c>
      <c r="BF420" t="str">
        <f>HYPERLINK("http://dx.doi.org/10.1080/03461238.2023.2251197","http://dx.doi.org/10.1080/03461238.2023.2251197")</f>
        <v>http://dx.doi.org/10.1080/03461238.2023.2251197</v>
      </c>
      <c r="BG420" t="s">
        <v>74</v>
      </c>
      <c r="BH420" t="s">
        <v>5545</v>
      </c>
      <c r="BI420">
        <v>28</v>
      </c>
      <c r="BJ420" t="s">
        <v>7426</v>
      </c>
      <c r="BK420" t="s">
        <v>123</v>
      </c>
      <c r="BL420" t="s">
        <v>7427</v>
      </c>
      <c r="BM420" t="s">
        <v>7428</v>
      </c>
      <c r="BN420" t="s">
        <v>74</v>
      </c>
      <c r="BO420" t="s">
        <v>74</v>
      </c>
      <c r="BP420" t="s">
        <v>74</v>
      </c>
      <c r="BQ420" t="s">
        <v>74</v>
      </c>
      <c r="BR420" t="s">
        <v>105</v>
      </c>
      <c r="BS420" t="s">
        <v>7429</v>
      </c>
      <c r="BT420" t="str">
        <f>HYPERLINK("https%3A%2F%2Fwww.webofscience.com%2Fwos%2Fwoscc%2Ffull-record%2FWOS:001064692100001","View Full Record in Web of Science")</f>
        <v>View Full Record in Web of Science</v>
      </c>
    </row>
    <row r="421" spans="1:72" x14ac:dyDescent="0.15">
      <c r="A421" t="s">
        <v>72</v>
      </c>
      <c r="B421" t="s">
        <v>7430</v>
      </c>
      <c r="C421" t="s">
        <v>74</v>
      </c>
      <c r="D421" t="s">
        <v>74</v>
      </c>
      <c r="E421" t="s">
        <v>74</v>
      </c>
      <c r="F421" t="s">
        <v>7431</v>
      </c>
      <c r="G421" t="s">
        <v>74</v>
      </c>
      <c r="H421" t="s">
        <v>74</v>
      </c>
      <c r="I421" t="s">
        <v>7432</v>
      </c>
      <c r="J421" t="s">
        <v>7433</v>
      </c>
      <c r="K421" t="s">
        <v>74</v>
      </c>
      <c r="L421" t="s">
        <v>74</v>
      </c>
      <c r="M421" t="s">
        <v>78</v>
      </c>
      <c r="N421" t="s">
        <v>5492</v>
      </c>
      <c r="O421" t="s">
        <v>74</v>
      </c>
      <c r="P421" t="s">
        <v>74</v>
      </c>
      <c r="Q421" t="s">
        <v>74</v>
      </c>
      <c r="R421" t="s">
        <v>74</v>
      </c>
      <c r="S421" t="s">
        <v>74</v>
      </c>
      <c r="T421" t="s">
        <v>7434</v>
      </c>
      <c r="U421" t="s">
        <v>7435</v>
      </c>
      <c r="V421" t="s">
        <v>7436</v>
      </c>
      <c r="W421" t="s">
        <v>7437</v>
      </c>
      <c r="X421" t="s">
        <v>7438</v>
      </c>
      <c r="Y421" t="s">
        <v>7439</v>
      </c>
      <c r="Z421" t="s">
        <v>7440</v>
      </c>
      <c r="AA421" t="s">
        <v>74</v>
      </c>
      <c r="AB421" t="s">
        <v>74</v>
      </c>
      <c r="AC421" t="s">
        <v>74</v>
      </c>
      <c r="AD421" t="s">
        <v>74</v>
      </c>
      <c r="AE421" t="s">
        <v>74</v>
      </c>
      <c r="AF421" t="s">
        <v>74</v>
      </c>
      <c r="AG421">
        <v>20</v>
      </c>
      <c r="AH421">
        <v>0</v>
      </c>
      <c r="AI421">
        <v>0</v>
      </c>
      <c r="AJ421">
        <v>1</v>
      </c>
      <c r="AK421">
        <v>1</v>
      </c>
      <c r="AL421" t="s">
        <v>92</v>
      </c>
      <c r="AM421" t="s">
        <v>93</v>
      </c>
      <c r="AN421" t="s">
        <v>94</v>
      </c>
      <c r="AO421" t="s">
        <v>7441</v>
      </c>
      <c r="AP421" t="s">
        <v>7442</v>
      </c>
      <c r="AQ421" t="s">
        <v>74</v>
      </c>
      <c r="AR421" t="s">
        <v>7443</v>
      </c>
      <c r="AS421" t="s">
        <v>7444</v>
      </c>
      <c r="AT421" t="s">
        <v>7385</v>
      </c>
      <c r="AU421">
        <v>2023</v>
      </c>
      <c r="AV421" t="s">
        <v>74</v>
      </c>
      <c r="AW421" t="s">
        <v>74</v>
      </c>
      <c r="AX421" t="s">
        <v>74</v>
      </c>
      <c r="AY421" t="s">
        <v>74</v>
      </c>
      <c r="AZ421" t="s">
        <v>74</v>
      </c>
      <c r="BA421" t="s">
        <v>74</v>
      </c>
      <c r="BB421" t="s">
        <v>74</v>
      </c>
      <c r="BC421" t="s">
        <v>74</v>
      </c>
      <c r="BD421" t="s">
        <v>74</v>
      </c>
      <c r="BE421" t="s">
        <v>7445</v>
      </c>
      <c r="BF421" t="str">
        <f>HYPERLINK("http://dx.doi.org/10.1080/00223131.2023.2253812","http://dx.doi.org/10.1080/00223131.2023.2253812")</f>
        <v>http://dx.doi.org/10.1080/00223131.2023.2253812</v>
      </c>
      <c r="BG421" t="s">
        <v>74</v>
      </c>
      <c r="BH421" t="s">
        <v>5545</v>
      </c>
      <c r="BI421">
        <v>14</v>
      </c>
      <c r="BJ421" t="s">
        <v>7446</v>
      </c>
      <c r="BK421" t="s">
        <v>102</v>
      </c>
      <c r="BL421" t="s">
        <v>7446</v>
      </c>
      <c r="BM421" t="s">
        <v>7447</v>
      </c>
      <c r="BN421" t="s">
        <v>74</v>
      </c>
      <c r="BO421" t="s">
        <v>74</v>
      </c>
      <c r="BP421" t="s">
        <v>74</v>
      </c>
      <c r="BQ421" t="s">
        <v>74</v>
      </c>
      <c r="BR421" t="s">
        <v>105</v>
      </c>
      <c r="BS421" t="s">
        <v>7448</v>
      </c>
      <c r="BT421" t="str">
        <f>HYPERLINK("https%3A%2F%2Fwww.webofscience.com%2Fwos%2Fwoscc%2Ffull-record%2FWOS:001061427800001","View Full Record in Web of Science")</f>
        <v>View Full Record in Web of Science</v>
      </c>
    </row>
    <row r="422" spans="1:72" x14ac:dyDescent="0.15">
      <c r="A422" t="s">
        <v>72</v>
      </c>
      <c r="B422" t="s">
        <v>7449</v>
      </c>
      <c r="C422" t="s">
        <v>74</v>
      </c>
      <c r="D422" t="s">
        <v>74</v>
      </c>
      <c r="E422" t="s">
        <v>74</v>
      </c>
      <c r="F422" t="s">
        <v>7450</v>
      </c>
      <c r="G422" t="s">
        <v>74</v>
      </c>
      <c r="H422" t="s">
        <v>74</v>
      </c>
      <c r="I422" t="s">
        <v>7451</v>
      </c>
      <c r="J422" t="s">
        <v>7452</v>
      </c>
      <c r="K422" t="s">
        <v>74</v>
      </c>
      <c r="L422" t="s">
        <v>74</v>
      </c>
      <c r="M422" t="s">
        <v>78</v>
      </c>
      <c r="N422" t="s">
        <v>6253</v>
      </c>
      <c r="O422" t="s">
        <v>74</v>
      </c>
      <c r="P422" t="s">
        <v>74</v>
      </c>
      <c r="Q422" t="s">
        <v>74</v>
      </c>
      <c r="R422" t="s">
        <v>74</v>
      </c>
      <c r="S422" t="s">
        <v>74</v>
      </c>
      <c r="T422" t="s">
        <v>74</v>
      </c>
      <c r="U422" t="s">
        <v>74</v>
      </c>
      <c r="V422" t="s">
        <v>74</v>
      </c>
      <c r="W422" t="s">
        <v>7453</v>
      </c>
      <c r="X422" t="s">
        <v>74</v>
      </c>
      <c r="Y422" t="s">
        <v>7454</v>
      </c>
      <c r="Z422" t="s">
        <v>7455</v>
      </c>
      <c r="AA422" t="s">
        <v>74</v>
      </c>
      <c r="AB422" t="s">
        <v>74</v>
      </c>
      <c r="AC422" t="s">
        <v>74</v>
      </c>
      <c r="AD422" t="s">
        <v>74</v>
      </c>
      <c r="AE422" t="s">
        <v>74</v>
      </c>
      <c r="AF422" t="s">
        <v>74</v>
      </c>
      <c r="AG422">
        <v>1</v>
      </c>
      <c r="AH422">
        <v>0</v>
      </c>
      <c r="AI422">
        <v>0</v>
      </c>
      <c r="AJ422">
        <v>0</v>
      </c>
      <c r="AK422">
        <v>0</v>
      </c>
      <c r="AL422" t="s">
        <v>1188</v>
      </c>
      <c r="AM422" t="s">
        <v>93</v>
      </c>
      <c r="AN422" t="s">
        <v>1189</v>
      </c>
      <c r="AO422" t="s">
        <v>7456</v>
      </c>
      <c r="AP422" t="s">
        <v>7457</v>
      </c>
      <c r="AQ422" t="s">
        <v>74</v>
      </c>
      <c r="AR422" t="s">
        <v>7452</v>
      </c>
      <c r="AS422" t="s">
        <v>7458</v>
      </c>
      <c r="AT422" t="s">
        <v>7385</v>
      </c>
      <c r="AU422">
        <v>2023</v>
      </c>
      <c r="AV422" t="s">
        <v>74</v>
      </c>
      <c r="AW422" t="s">
        <v>74</v>
      </c>
      <c r="AX422" t="s">
        <v>74</v>
      </c>
      <c r="AY422" t="s">
        <v>74</v>
      </c>
      <c r="AZ422" t="s">
        <v>74</v>
      </c>
      <c r="BA422" t="s">
        <v>74</v>
      </c>
      <c r="BB422" t="s">
        <v>74</v>
      </c>
      <c r="BC422" t="s">
        <v>74</v>
      </c>
      <c r="BD422" t="s">
        <v>74</v>
      </c>
      <c r="BE422" t="s">
        <v>7459</v>
      </c>
      <c r="BF422" t="str">
        <f>HYPERLINK("http://dx.doi.org/10.1080/17450918.2023.2255570","http://dx.doi.org/10.1080/17450918.2023.2255570")</f>
        <v>http://dx.doi.org/10.1080/17450918.2023.2255570</v>
      </c>
      <c r="BG422" t="s">
        <v>74</v>
      </c>
      <c r="BH422" t="s">
        <v>5545</v>
      </c>
      <c r="BI422">
        <v>7</v>
      </c>
      <c r="BJ422" t="s">
        <v>7460</v>
      </c>
      <c r="BK422" t="s">
        <v>6264</v>
      </c>
      <c r="BL422" t="s">
        <v>7461</v>
      </c>
      <c r="BM422" t="s">
        <v>7462</v>
      </c>
      <c r="BN422" t="s">
        <v>74</v>
      </c>
      <c r="BO422" t="s">
        <v>74</v>
      </c>
      <c r="BP422" t="s">
        <v>74</v>
      </c>
      <c r="BQ422" t="s">
        <v>74</v>
      </c>
      <c r="BR422" t="s">
        <v>105</v>
      </c>
      <c r="BS422" t="s">
        <v>7463</v>
      </c>
      <c r="BT422" t="str">
        <f>HYPERLINK("https%3A%2F%2Fwww.webofscience.com%2Fwos%2Fwoscc%2Ffull-record%2FWOS:001068647200001","View Full Record in Web of Science")</f>
        <v>View Full Record in Web of Science</v>
      </c>
    </row>
    <row r="423" spans="1:72" x14ac:dyDescent="0.15">
      <c r="A423" t="s">
        <v>72</v>
      </c>
      <c r="B423" t="s">
        <v>7464</v>
      </c>
      <c r="C423" t="s">
        <v>74</v>
      </c>
      <c r="D423" t="s">
        <v>74</v>
      </c>
      <c r="E423" t="s">
        <v>74</v>
      </c>
      <c r="F423" t="s">
        <v>7465</v>
      </c>
      <c r="G423" t="s">
        <v>74</v>
      </c>
      <c r="H423" t="s">
        <v>74</v>
      </c>
      <c r="I423" t="s">
        <v>7466</v>
      </c>
      <c r="J423" t="s">
        <v>7467</v>
      </c>
      <c r="K423" t="s">
        <v>74</v>
      </c>
      <c r="L423" t="s">
        <v>74</v>
      </c>
      <c r="M423" t="s">
        <v>78</v>
      </c>
      <c r="N423" t="s">
        <v>5492</v>
      </c>
      <c r="O423" t="s">
        <v>74</v>
      </c>
      <c r="P423" t="s">
        <v>74</v>
      </c>
      <c r="Q423" t="s">
        <v>74</v>
      </c>
      <c r="R423" t="s">
        <v>74</v>
      </c>
      <c r="S423" t="s">
        <v>74</v>
      </c>
      <c r="T423" t="s">
        <v>7468</v>
      </c>
      <c r="U423" t="s">
        <v>7469</v>
      </c>
      <c r="V423" t="s">
        <v>7470</v>
      </c>
      <c r="W423" t="s">
        <v>7471</v>
      </c>
      <c r="X423" t="s">
        <v>7472</v>
      </c>
      <c r="Y423" t="s">
        <v>7473</v>
      </c>
      <c r="Z423" t="s">
        <v>7474</v>
      </c>
      <c r="AA423" t="s">
        <v>7475</v>
      </c>
      <c r="AB423" t="s">
        <v>7476</v>
      </c>
      <c r="AC423" t="s">
        <v>7477</v>
      </c>
      <c r="AD423" t="s">
        <v>7477</v>
      </c>
      <c r="AE423" t="s">
        <v>7478</v>
      </c>
      <c r="AF423" t="s">
        <v>74</v>
      </c>
      <c r="AG423">
        <v>74</v>
      </c>
      <c r="AH423">
        <v>0</v>
      </c>
      <c r="AI423">
        <v>0</v>
      </c>
      <c r="AJ423">
        <v>3</v>
      </c>
      <c r="AK423">
        <v>3</v>
      </c>
      <c r="AL423" t="s">
        <v>1188</v>
      </c>
      <c r="AM423" t="s">
        <v>93</v>
      </c>
      <c r="AN423" t="s">
        <v>1189</v>
      </c>
      <c r="AO423" t="s">
        <v>7479</v>
      </c>
      <c r="AP423" t="s">
        <v>7480</v>
      </c>
      <c r="AQ423" t="s">
        <v>74</v>
      </c>
      <c r="AR423" t="s">
        <v>7481</v>
      </c>
      <c r="AS423" t="s">
        <v>7482</v>
      </c>
      <c r="AT423" t="s">
        <v>7483</v>
      </c>
      <c r="AU423">
        <v>2023</v>
      </c>
      <c r="AV423" t="s">
        <v>74</v>
      </c>
      <c r="AW423" t="s">
        <v>74</v>
      </c>
      <c r="AX423" t="s">
        <v>74</v>
      </c>
      <c r="AY423" t="s">
        <v>74</v>
      </c>
      <c r="AZ423" t="s">
        <v>74</v>
      </c>
      <c r="BA423" t="s">
        <v>74</v>
      </c>
      <c r="BB423" t="s">
        <v>74</v>
      </c>
      <c r="BC423" t="s">
        <v>74</v>
      </c>
      <c r="BD423" t="s">
        <v>74</v>
      </c>
      <c r="BE423" t="s">
        <v>7484</v>
      </c>
      <c r="BF423" t="str">
        <f>HYPERLINK("http://dx.doi.org/10.1080/13563467.2023.2254712","http://dx.doi.org/10.1080/13563467.2023.2254712")</f>
        <v>http://dx.doi.org/10.1080/13563467.2023.2254712</v>
      </c>
      <c r="BG423" t="s">
        <v>74</v>
      </c>
      <c r="BH423" t="s">
        <v>5545</v>
      </c>
      <c r="BI423">
        <v>16</v>
      </c>
      <c r="BJ423" t="s">
        <v>7485</v>
      </c>
      <c r="BK423" t="s">
        <v>272</v>
      </c>
      <c r="BL423" t="s">
        <v>7486</v>
      </c>
      <c r="BM423" t="s">
        <v>7487</v>
      </c>
      <c r="BN423" t="s">
        <v>74</v>
      </c>
      <c r="BO423" t="s">
        <v>74</v>
      </c>
      <c r="BP423" t="s">
        <v>74</v>
      </c>
      <c r="BQ423" t="s">
        <v>74</v>
      </c>
      <c r="BR423" t="s">
        <v>105</v>
      </c>
      <c r="BS423" t="s">
        <v>7488</v>
      </c>
      <c r="BT423" t="str">
        <f>HYPERLINK("https%3A%2F%2Fwww.webofscience.com%2Fwos%2Fwoscc%2Ffull-record%2FWOS:001060297100001","View Full Record in Web of Science")</f>
        <v>View Full Record in Web of Science</v>
      </c>
    </row>
    <row r="424" spans="1:72" x14ac:dyDescent="0.15">
      <c r="A424" t="s">
        <v>72</v>
      </c>
      <c r="B424" t="s">
        <v>7489</v>
      </c>
      <c r="C424" t="s">
        <v>74</v>
      </c>
      <c r="D424" t="s">
        <v>74</v>
      </c>
      <c r="E424" t="s">
        <v>74</v>
      </c>
      <c r="F424" t="s">
        <v>7490</v>
      </c>
      <c r="G424" t="s">
        <v>74</v>
      </c>
      <c r="H424" t="s">
        <v>74</v>
      </c>
      <c r="I424" t="s">
        <v>7491</v>
      </c>
      <c r="J424" t="s">
        <v>7492</v>
      </c>
      <c r="K424" t="s">
        <v>74</v>
      </c>
      <c r="L424" t="s">
        <v>74</v>
      </c>
      <c r="M424" t="s">
        <v>78</v>
      </c>
      <c r="N424" t="s">
        <v>5492</v>
      </c>
      <c r="O424" t="s">
        <v>74</v>
      </c>
      <c r="P424" t="s">
        <v>74</v>
      </c>
      <c r="Q424" t="s">
        <v>74</v>
      </c>
      <c r="R424" t="s">
        <v>74</v>
      </c>
      <c r="S424" t="s">
        <v>74</v>
      </c>
      <c r="T424" t="s">
        <v>7493</v>
      </c>
      <c r="U424" t="s">
        <v>7494</v>
      </c>
      <c r="V424" t="s">
        <v>7495</v>
      </c>
      <c r="W424" t="s">
        <v>7496</v>
      </c>
      <c r="X424" t="s">
        <v>7497</v>
      </c>
      <c r="Y424" t="s">
        <v>7498</v>
      </c>
      <c r="Z424" t="s">
        <v>7499</v>
      </c>
      <c r="AA424" t="s">
        <v>7500</v>
      </c>
      <c r="AB424" t="s">
        <v>7501</v>
      </c>
      <c r="AC424" t="s">
        <v>7502</v>
      </c>
      <c r="AD424" t="s">
        <v>7502</v>
      </c>
      <c r="AE424" t="s">
        <v>7503</v>
      </c>
      <c r="AF424" t="s">
        <v>74</v>
      </c>
      <c r="AG424">
        <v>53</v>
      </c>
      <c r="AH424">
        <v>0</v>
      </c>
      <c r="AI424">
        <v>0</v>
      </c>
      <c r="AJ424">
        <v>0</v>
      </c>
      <c r="AK424">
        <v>0</v>
      </c>
      <c r="AL424" t="s">
        <v>184</v>
      </c>
      <c r="AM424" t="s">
        <v>185</v>
      </c>
      <c r="AN424" t="s">
        <v>186</v>
      </c>
      <c r="AO424" t="s">
        <v>7504</v>
      </c>
      <c r="AP424" t="s">
        <v>7505</v>
      </c>
      <c r="AQ424" t="s">
        <v>74</v>
      </c>
      <c r="AR424" t="s">
        <v>7506</v>
      </c>
      <c r="AS424" t="s">
        <v>7507</v>
      </c>
      <c r="AT424" t="s">
        <v>7483</v>
      </c>
      <c r="AU424">
        <v>2023</v>
      </c>
      <c r="AV424" t="s">
        <v>74</v>
      </c>
      <c r="AW424" t="s">
        <v>74</v>
      </c>
      <c r="AX424" t="s">
        <v>74</v>
      </c>
      <c r="AY424" t="s">
        <v>74</v>
      </c>
      <c r="AZ424" t="s">
        <v>74</v>
      </c>
      <c r="BA424" t="s">
        <v>74</v>
      </c>
      <c r="BB424" t="s">
        <v>74</v>
      </c>
      <c r="BC424" t="s">
        <v>74</v>
      </c>
      <c r="BD424" t="s">
        <v>74</v>
      </c>
      <c r="BE424" t="s">
        <v>7508</v>
      </c>
      <c r="BF424" t="str">
        <f>HYPERLINK("http://dx.doi.org/10.1080/10826084.2023.2257309","http://dx.doi.org/10.1080/10826084.2023.2257309")</f>
        <v>http://dx.doi.org/10.1080/10826084.2023.2257309</v>
      </c>
      <c r="BG424" t="s">
        <v>74</v>
      </c>
      <c r="BH424" t="s">
        <v>5545</v>
      </c>
      <c r="BI424">
        <v>9</v>
      </c>
      <c r="BJ424" t="s">
        <v>7509</v>
      </c>
      <c r="BK424" t="s">
        <v>123</v>
      </c>
      <c r="BL424" t="s">
        <v>7509</v>
      </c>
      <c r="BM424" t="s">
        <v>7510</v>
      </c>
      <c r="BN424">
        <v>37707795</v>
      </c>
      <c r="BO424" t="s">
        <v>74</v>
      </c>
      <c r="BP424" t="s">
        <v>74</v>
      </c>
      <c r="BQ424" t="s">
        <v>74</v>
      </c>
      <c r="BR424" t="s">
        <v>105</v>
      </c>
      <c r="BS424" t="s">
        <v>7511</v>
      </c>
      <c r="BT424" t="str">
        <f>HYPERLINK("https%3A%2F%2Fwww.webofscience.com%2Fwos%2Fwoscc%2Ffull-record%2FWOS:001065515600001","View Full Record in Web of Science")</f>
        <v>View Full Record in Web of Science</v>
      </c>
    </row>
    <row r="425" spans="1:72" x14ac:dyDescent="0.15">
      <c r="A425" t="s">
        <v>72</v>
      </c>
      <c r="B425" t="s">
        <v>7512</v>
      </c>
      <c r="C425" t="s">
        <v>74</v>
      </c>
      <c r="D425" t="s">
        <v>74</v>
      </c>
      <c r="E425" t="s">
        <v>74</v>
      </c>
      <c r="F425" t="s">
        <v>7513</v>
      </c>
      <c r="G425" t="s">
        <v>74</v>
      </c>
      <c r="H425" t="s">
        <v>74</v>
      </c>
      <c r="I425" t="s">
        <v>7514</v>
      </c>
      <c r="J425" t="s">
        <v>7515</v>
      </c>
      <c r="K425" t="s">
        <v>74</v>
      </c>
      <c r="L425" t="s">
        <v>74</v>
      </c>
      <c r="M425" t="s">
        <v>78</v>
      </c>
      <c r="N425" t="s">
        <v>5492</v>
      </c>
      <c r="O425" t="s">
        <v>74</v>
      </c>
      <c r="P425" t="s">
        <v>74</v>
      </c>
      <c r="Q425" t="s">
        <v>74</v>
      </c>
      <c r="R425" t="s">
        <v>74</v>
      </c>
      <c r="S425" t="s">
        <v>74</v>
      </c>
      <c r="T425" t="s">
        <v>7516</v>
      </c>
      <c r="U425" t="s">
        <v>7517</v>
      </c>
      <c r="V425" t="s">
        <v>7518</v>
      </c>
      <c r="W425" t="s">
        <v>7519</v>
      </c>
      <c r="X425" t="s">
        <v>7520</v>
      </c>
      <c r="Y425" t="s">
        <v>7521</v>
      </c>
      <c r="Z425" t="s">
        <v>7522</v>
      </c>
      <c r="AA425" t="s">
        <v>74</v>
      </c>
      <c r="AB425" t="s">
        <v>74</v>
      </c>
      <c r="AC425" t="s">
        <v>7523</v>
      </c>
      <c r="AD425" t="s">
        <v>7524</v>
      </c>
      <c r="AE425" t="s">
        <v>7525</v>
      </c>
      <c r="AF425" t="s">
        <v>74</v>
      </c>
      <c r="AG425">
        <v>33</v>
      </c>
      <c r="AH425">
        <v>0</v>
      </c>
      <c r="AI425">
        <v>0</v>
      </c>
      <c r="AJ425">
        <v>1</v>
      </c>
      <c r="AK425">
        <v>1</v>
      </c>
      <c r="AL425" t="s">
        <v>92</v>
      </c>
      <c r="AM425" t="s">
        <v>93</v>
      </c>
      <c r="AN425" t="s">
        <v>94</v>
      </c>
      <c r="AO425" t="s">
        <v>7526</v>
      </c>
      <c r="AP425" t="s">
        <v>7527</v>
      </c>
      <c r="AQ425" t="s">
        <v>74</v>
      </c>
      <c r="AR425" t="s">
        <v>7528</v>
      </c>
      <c r="AS425" t="s">
        <v>7529</v>
      </c>
      <c r="AT425" t="s">
        <v>7483</v>
      </c>
      <c r="AU425">
        <v>2023</v>
      </c>
      <c r="AV425" t="s">
        <v>74</v>
      </c>
      <c r="AW425" t="s">
        <v>74</v>
      </c>
      <c r="AX425" t="s">
        <v>74</v>
      </c>
      <c r="AY425" t="s">
        <v>74</v>
      </c>
      <c r="AZ425" t="s">
        <v>74</v>
      </c>
      <c r="BA425" t="s">
        <v>74</v>
      </c>
      <c r="BB425" t="s">
        <v>74</v>
      </c>
      <c r="BC425" t="s">
        <v>74</v>
      </c>
      <c r="BD425" t="s">
        <v>74</v>
      </c>
      <c r="BE425" t="s">
        <v>7530</v>
      </c>
      <c r="BF425" t="str">
        <f>HYPERLINK("http://dx.doi.org/10.1080/14786435.2023.2251408","http://dx.doi.org/10.1080/14786435.2023.2251408")</f>
        <v>http://dx.doi.org/10.1080/14786435.2023.2251408</v>
      </c>
      <c r="BG425" t="s">
        <v>74</v>
      </c>
      <c r="BH425" t="s">
        <v>5545</v>
      </c>
      <c r="BI425">
        <v>16</v>
      </c>
      <c r="BJ425" t="s">
        <v>3031</v>
      </c>
      <c r="BK425" t="s">
        <v>102</v>
      </c>
      <c r="BL425" t="s">
        <v>3032</v>
      </c>
      <c r="BM425" t="s">
        <v>7531</v>
      </c>
      <c r="BN425" t="s">
        <v>74</v>
      </c>
      <c r="BO425" t="s">
        <v>74</v>
      </c>
      <c r="BP425" t="s">
        <v>74</v>
      </c>
      <c r="BQ425" t="s">
        <v>74</v>
      </c>
      <c r="BR425" t="s">
        <v>105</v>
      </c>
      <c r="BS425" t="s">
        <v>7532</v>
      </c>
      <c r="BT425" t="str">
        <f>HYPERLINK("https%3A%2F%2Fwww.webofscience.com%2Fwos%2Fwoscc%2Ffull-record%2FWOS:001060331800001","View Full Record in Web of Science")</f>
        <v>View Full Record in Web of Science</v>
      </c>
    </row>
    <row r="426" spans="1:72" x14ac:dyDescent="0.15">
      <c r="A426" t="s">
        <v>72</v>
      </c>
      <c r="B426" t="s">
        <v>7533</v>
      </c>
      <c r="C426" t="s">
        <v>74</v>
      </c>
      <c r="D426" t="s">
        <v>74</v>
      </c>
      <c r="E426" t="s">
        <v>74</v>
      </c>
      <c r="F426" t="s">
        <v>7534</v>
      </c>
      <c r="G426" t="s">
        <v>74</v>
      </c>
      <c r="H426" t="s">
        <v>74</v>
      </c>
      <c r="I426" t="s">
        <v>7535</v>
      </c>
      <c r="J426" t="s">
        <v>7010</v>
      </c>
      <c r="K426" t="s">
        <v>74</v>
      </c>
      <c r="L426" t="s">
        <v>74</v>
      </c>
      <c r="M426" t="s">
        <v>78</v>
      </c>
      <c r="N426" t="s">
        <v>5492</v>
      </c>
      <c r="O426" t="s">
        <v>74</v>
      </c>
      <c r="P426" t="s">
        <v>74</v>
      </c>
      <c r="Q426" t="s">
        <v>74</v>
      </c>
      <c r="R426" t="s">
        <v>74</v>
      </c>
      <c r="S426" t="s">
        <v>74</v>
      </c>
      <c r="T426" t="s">
        <v>7536</v>
      </c>
      <c r="U426" t="s">
        <v>74</v>
      </c>
      <c r="V426" t="s">
        <v>7537</v>
      </c>
      <c r="W426" t="s">
        <v>7538</v>
      </c>
      <c r="X426" t="s">
        <v>7539</v>
      </c>
      <c r="Y426" t="s">
        <v>7540</v>
      </c>
      <c r="Z426" t="s">
        <v>74</v>
      </c>
      <c r="AA426" t="s">
        <v>74</v>
      </c>
      <c r="AB426" t="s">
        <v>74</v>
      </c>
      <c r="AC426" t="s">
        <v>7541</v>
      </c>
      <c r="AD426" t="s">
        <v>7541</v>
      </c>
      <c r="AE426" t="s">
        <v>7542</v>
      </c>
      <c r="AF426" t="s">
        <v>74</v>
      </c>
      <c r="AG426">
        <v>20</v>
      </c>
      <c r="AH426">
        <v>0</v>
      </c>
      <c r="AI426">
        <v>0</v>
      </c>
      <c r="AJ426">
        <v>0</v>
      </c>
      <c r="AK426">
        <v>0</v>
      </c>
      <c r="AL426" t="s">
        <v>1188</v>
      </c>
      <c r="AM426" t="s">
        <v>93</v>
      </c>
      <c r="AN426" t="s">
        <v>1189</v>
      </c>
      <c r="AO426" t="s">
        <v>7014</v>
      </c>
      <c r="AP426" t="s">
        <v>7015</v>
      </c>
      <c r="AQ426" t="s">
        <v>74</v>
      </c>
      <c r="AR426" t="s">
        <v>7016</v>
      </c>
      <c r="AS426" t="s">
        <v>7017</v>
      </c>
      <c r="AT426" t="s">
        <v>7483</v>
      </c>
      <c r="AU426">
        <v>2023</v>
      </c>
      <c r="AV426" t="s">
        <v>74</v>
      </c>
      <c r="AW426" t="s">
        <v>74</v>
      </c>
      <c r="AX426" t="s">
        <v>74</v>
      </c>
      <c r="AY426" t="s">
        <v>74</v>
      </c>
      <c r="AZ426" t="s">
        <v>74</v>
      </c>
      <c r="BA426" t="s">
        <v>74</v>
      </c>
      <c r="BB426" t="s">
        <v>74</v>
      </c>
      <c r="BC426" t="s">
        <v>74</v>
      </c>
      <c r="BD426" t="s">
        <v>74</v>
      </c>
      <c r="BE426" t="s">
        <v>7543</v>
      </c>
      <c r="BF426" t="str">
        <f>HYPERLINK("http://dx.doi.org/10.1080/00048402.2023.2251035","http://dx.doi.org/10.1080/00048402.2023.2251035")</f>
        <v>http://dx.doi.org/10.1080/00048402.2023.2251035</v>
      </c>
      <c r="BG426" t="s">
        <v>74</v>
      </c>
      <c r="BH426" t="s">
        <v>5545</v>
      </c>
      <c r="BI426">
        <v>16</v>
      </c>
      <c r="BJ426" t="s">
        <v>6811</v>
      </c>
      <c r="BK426" t="s">
        <v>6264</v>
      </c>
      <c r="BL426" t="s">
        <v>6811</v>
      </c>
      <c r="BM426" t="s">
        <v>7544</v>
      </c>
      <c r="BN426" t="s">
        <v>74</v>
      </c>
      <c r="BO426" t="s">
        <v>74</v>
      </c>
      <c r="BP426" t="s">
        <v>74</v>
      </c>
      <c r="BQ426" t="s">
        <v>74</v>
      </c>
      <c r="BR426" t="s">
        <v>105</v>
      </c>
      <c r="BS426" t="s">
        <v>7545</v>
      </c>
      <c r="BT426" t="str">
        <f>HYPERLINK("https%3A%2F%2Fwww.webofscience.com%2Fwos%2Fwoscc%2Ffull-record%2FWOS:001060809100001","View Full Record in Web of Science")</f>
        <v>View Full Record in Web of Science</v>
      </c>
    </row>
    <row r="427" spans="1:72" x14ac:dyDescent="0.15">
      <c r="A427" t="s">
        <v>72</v>
      </c>
      <c r="B427" t="s">
        <v>7546</v>
      </c>
      <c r="C427" t="s">
        <v>74</v>
      </c>
      <c r="D427" t="s">
        <v>74</v>
      </c>
      <c r="E427" t="s">
        <v>74</v>
      </c>
      <c r="F427" t="s">
        <v>7547</v>
      </c>
      <c r="G427" t="s">
        <v>74</v>
      </c>
      <c r="H427" t="s">
        <v>74</v>
      </c>
      <c r="I427" t="s">
        <v>7548</v>
      </c>
      <c r="J427" t="s">
        <v>7549</v>
      </c>
      <c r="K427" t="s">
        <v>74</v>
      </c>
      <c r="L427" t="s">
        <v>74</v>
      </c>
      <c r="M427" t="s">
        <v>78</v>
      </c>
      <c r="N427" t="s">
        <v>5492</v>
      </c>
      <c r="O427" t="s">
        <v>74</v>
      </c>
      <c r="P427" t="s">
        <v>74</v>
      </c>
      <c r="Q427" t="s">
        <v>74</v>
      </c>
      <c r="R427" t="s">
        <v>74</v>
      </c>
      <c r="S427" t="s">
        <v>74</v>
      </c>
      <c r="T427" t="s">
        <v>7550</v>
      </c>
      <c r="U427" t="s">
        <v>7551</v>
      </c>
      <c r="V427" t="s">
        <v>7552</v>
      </c>
      <c r="W427" t="s">
        <v>7553</v>
      </c>
      <c r="X427" t="s">
        <v>7554</v>
      </c>
      <c r="Y427" t="s">
        <v>7555</v>
      </c>
      <c r="Z427" t="s">
        <v>7556</v>
      </c>
      <c r="AA427" t="s">
        <v>74</v>
      </c>
      <c r="AB427" t="s">
        <v>74</v>
      </c>
      <c r="AC427" t="s">
        <v>7557</v>
      </c>
      <c r="AD427" t="s">
        <v>7558</v>
      </c>
      <c r="AE427" t="s">
        <v>7559</v>
      </c>
      <c r="AF427" t="s">
        <v>74</v>
      </c>
      <c r="AG427">
        <v>118</v>
      </c>
      <c r="AH427">
        <v>0</v>
      </c>
      <c r="AI427">
        <v>0</v>
      </c>
      <c r="AJ427">
        <v>1</v>
      </c>
      <c r="AK427">
        <v>1</v>
      </c>
      <c r="AL427" t="s">
        <v>92</v>
      </c>
      <c r="AM427" t="s">
        <v>93</v>
      </c>
      <c r="AN427" t="s">
        <v>94</v>
      </c>
      <c r="AO427" t="s">
        <v>7560</v>
      </c>
      <c r="AP427" t="s">
        <v>7561</v>
      </c>
      <c r="AQ427" t="s">
        <v>74</v>
      </c>
      <c r="AR427" t="s">
        <v>7562</v>
      </c>
      <c r="AS427" t="s">
        <v>7563</v>
      </c>
      <c r="AT427" t="s">
        <v>7483</v>
      </c>
      <c r="AU427">
        <v>2023</v>
      </c>
      <c r="AV427" t="s">
        <v>74</v>
      </c>
      <c r="AW427" t="s">
        <v>74</v>
      </c>
      <c r="AX427" t="s">
        <v>74</v>
      </c>
      <c r="AY427" t="s">
        <v>74</v>
      </c>
      <c r="AZ427" t="s">
        <v>74</v>
      </c>
      <c r="BA427" t="s">
        <v>74</v>
      </c>
      <c r="BB427" t="s">
        <v>74</v>
      </c>
      <c r="BC427" t="s">
        <v>74</v>
      </c>
      <c r="BD427" t="s">
        <v>74</v>
      </c>
      <c r="BE427" t="s">
        <v>7564</v>
      </c>
      <c r="BF427" t="str">
        <f>HYPERLINK("http://dx.doi.org/10.1080/09537287.2023.2255869","http://dx.doi.org/10.1080/09537287.2023.2255869")</f>
        <v>http://dx.doi.org/10.1080/09537287.2023.2255869</v>
      </c>
      <c r="BG427" t="s">
        <v>74</v>
      </c>
      <c r="BH427" t="s">
        <v>5545</v>
      </c>
      <c r="BI427">
        <v>17</v>
      </c>
      <c r="BJ427" t="s">
        <v>7565</v>
      </c>
      <c r="BK427" t="s">
        <v>102</v>
      </c>
      <c r="BL427" t="s">
        <v>332</v>
      </c>
      <c r="BM427" t="s">
        <v>7566</v>
      </c>
      <c r="BN427" t="s">
        <v>74</v>
      </c>
      <c r="BO427" t="s">
        <v>74</v>
      </c>
      <c r="BP427" t="s">
        <v>74</v>
      </c>
      <c r="BQ427" t="s">
        <v>74</v>
      </c>
      <c r="BR427" t="s">
        <v>105</v>
      </c>
      <c r="BS427" t="s">
        <v>7567</v>
      </c>
      <c r="BT427" t="str">
        <f>HYPERLINK("https%3A%2F%2Fwww.webofscience.com%2Fwos%2Fwoscc%2Ffull-record%2FWOS:001063324900001","View Full Record in Web of Science")</f>
        <v>View Full Record in Web of Science</v>
      </c>
    </row>
    <row r="428" spans="1:72" x14ac:dyDescent="0.15">
      <c r="A428" t="s">
        <v>72</v>
      </c>
      <c r="B428" t="s">
        <v>7568</v>
      </c>
      <c r="C428" t="s">
        <v>74</v>
      </c>
      <c r="D428" t="s">
        <v>74</v>
      </c>
      <c r="E428" t="s">
        <v>74</v>
      </c>
      <c r="F428" t="s">
        <v>7569</v>
      </c>
      <c r="G428" t="s">
        <v>74</v>
      </c>
      <c r="H428" t="s">
        <v>74</v>
      </c>
      <c r="I428" t="s">
        <v>7570</v>
      </c>
      <c r="J428" t="s">
        <v>7571</v>
      </c>
      <c r="K428" t="s">
        <v>74</v>
      </c>
      <c r="L428" t="s">
        <v>74</v>
      </c>
      <c r="M428" t="s">
        <v>78</v>
      </c>
      <c r="N428" t="s">
        <v>5492</v>
      </c>
      <c r="O428" t="s">
        <v>74</v>
      </c>
      <c r="P428" t="s">
        <v>74</v>
      </c>
      <c r="Q428" t="s">
        <v>74</v>
      </c>
      <c r="R428" t="s">
        <v>74</v>
      </c>
      <c r="S428" t="s">
        <v>74</v>
      </c>
      <c r="T428" t="s">
        <v>7572</v>
      </c>
      <c r="U428" t="s">
        <v>7573</v>
      </c>
      <c r="V428" t="s">
        <v>7574</v>
      </c>
      <c r="W428" t="s">
        <v>7575</v>
      </c>
      <c r="X428" t="s">
        <v>7576</v>
      </c>
      <c r="Y428" t="s">
        <v>7577</v>
      </c>
      <c r="Z428" t="s">
        <v>7578</v>
      </c>
      <c r="AA428" t="s">
        <v>7579</v>
      </c>
      <c r="AB428" t="s">
        <v>74</v>
      </c>
      <c r="AC428" t="s">
        <v>74</v>
      </c>
      <c r="AD428" t="s">
        <v>74</v>
      </c>
      <c r="AE428" t="s">
        <v>74</v>
      </c>
      <c r="AF428" t="s">
        <v>74</v>
      </c>
      <c r="AG428">
        <v>51</v>
      </c>
      <c r="AH428">
        <v>0</v>
      </c>
      <c r="AI428">
        <v>0</v>
      </c>
      <c r="AJ428">
        <v>3</v>
      </c>
      <c r="AK428">
        <v>3</v>
      </c>
      <c r="AL428" t="s">
        <v>92</v>
      </c>
      <c r="AM428" t="s">
        <v>93</v>
      </c>
      <c r="AN428" t="s">
        <v>94</v>
      </c>
      <c r="AO428" t="s">
        <v>7580</v>
      </c>
      <c r="AP428" t="s">
        <v>7581</v>
      </c>
      <c r="AQ428" t="s">
        <v>74</v>
      </c>
      <c r="AR428" t="s">
        <v>7582</v>
      </c>
      <c r="AS428" t="s">
        <v>7583</v>
      </c>
      <c r="AT428" t="s">
        <v>7584</v>
      </c>
      <c r="AU428">
        <v>2023</v>
      </c>
      <c r="AV428" t="s">
        <v>74</v>
      </c>
      <c r="AW428" t="s">
        <v>74</v>
      </c>
      <c r="AX428" t="s">
        <v>74</v>
      </c>
      <c r="AY428" t="s">
        <v>74</v>
      </c>
      <c r="AZ428" t="s">
        <v>74</v>
      </c>
      <c r="BA428" t="s">
        <v>74</v>
      </c>
      <c r="BB428" t="s">
        <v>74</v>
      </c>
      <c r="BC428" t="s">
        <v>74</v>
      </c>
      <c r="BD428" t="s">
        <v>74</v>
      </c>
      <c r="BE428" t="s">
        <v>7585</v>
      </c>
      <c r="BF428" t="str">
        <f>HYPERLINK("http://dx.doi.org/10.1080/03067319.2023.2248582","http://dx.doi.org/10.1080/03067319.2023.2248582")</f>
        <v>http://dx.doi.org/10.1080/03067319.2023.2248582</v>
      </c>
      <c r="BG428" t="s">
        <v>74</v>
      </c>
      <c r="BH428" t="s">
        <v>5545</v>
      </c>
      <c r="BI428">
        <v>16</v>
      </c>
      <c r="BJ428" t="s">
        <v>7586</v>
      </c>
      <c r="BK428" t="s">
        <v>102</v>
      </c>
      <c r="BL428" t="s">
        <v>7587</v>
      </c>
      <c r="BM428" t="s">
        <v>7588</v>
      </c>
      <c r="BN428" t="s">
        <v>74</v>
      </c>
      <c r="BO428" t="s">
        <v>74</v>
      </c>
      <c r="BP428" t="s">
        <v>74</v>
      </c>
      <c r="BQ428" t="s">
        <v>74</v>
      </c>
      <c r="BR428" t="s">
        <v>105</v>
      </c>
      <c r="BS428" t="s">
        <v>7589</v>
      </c>
      <c r="BT428" t="str">
        <f>HYPERLINK("https%3A%2F%2Fwww.webofscience.com%2Fwos%2Fwoscc%2Ffull-record%2FWOS:001059557600001","View Full Record in Web of Science")</f>
        <v>View Full Record in Web of Science</v>
      </c>
    </row>
    <row r="429" spans="1:72" x14ac:dyDescent="0.15">
      <c r="A429" t="s">
        <v>72</v>
      </c>
      <c r="B429" t="s">
        <v>7590</v>
      </c>
      <c r="C429" t="s">
        <v>74</v>
      </c>
      <c r="D429" t="s">
        <v>74</v>
      </c>
      <c r="E429" t="s">
        <v>74</v>
      </c>
      <c r="F429" t="s">
        <v>7591</v>
      </c>
      <c r="G429" t="s">
        <v>74</v>
      </c>
      <c r="H429" t="s">
        <v>74</v>
      </c>
      <c r="I429" t="s">
        <v>7592</v>
      </c>
      <c r="J429" t="s">
        <v>7593</v>
      </c>
      <c r="K429" t="s">
        <v>74</v>
      </c>
      <c r="L429" t="s">
        <v>74</v>
      </c>
      <c r="M429" t="s">
        <v>78</v>
      </c>
      <c r="N429" t="s">
        <v>5492</v>
      </c>
      <c r="O429" t="s">
        <v>74</v>
      </c>
      <c r="P429" t="s">
        <v>74</v>
      </c>
      <c r="Q429" t="s">
        <v>74</v>
      </c>
      <c r="R429" t="s">
        <v>74</v>
      </c>
      <c r="S429" t="s">
        <v>74</v>
      </c>
      <c r="T429" t="s">
        <v>7594</v>
      </c>
      <c r="U429" t="s">
        <v>7595</v>
      </c>
      <c r="V429" t="s">
        <v>7596</v>
      </c>
      <c r="W429" t="s">
        <v>7597</v>
      </c>
      <c r="X429" t="s">
        <v>7598</v>
      </c>
      <c r="Y429" t="s">
        <v>7599</v>
      </c>
      <c r="Z429" t="s">
        <v>7600</v>
      </c>
      <c r="AA429" t="s">
        <v>74</v>
      </c>
      <c r="AB429" t="s">
        <v>74</v>
      </c>
      <c r="AC429" t="s">
        <v>7601</v>
      </c>
      <c r="AD429" t="s">
        <v>7602</v>
      </c>
      <c r="AE429" t="s">
        <v>7603</v>
      </c>
      <c r="AF429" t="s">
        <v>74</v>
      </c>
      <c r="AG429">
        <v>33</v>
      </c>
      <c r="AH429">
        <v>0</v>
      </c>
      <c r="AI429">
        <v>0</v>
      </c>
      <c r="AJ429">
        <v>0</v>
      </c>
      <c r="AK429">
        <v>0</v>
      </c>
      <c r="AL429" t="s">
        <v>1188</v>
      </c>
      <c r="AM429" t="s">
        <v>93</v>
      </c>
      <c r="AN429" t="s">
        <v>1189</v>
      </c>
      <c r="AO429" t="s">
        <v>7604</v>
      </c>
      <c r="AP429" t="s">
        <v>7605</v>
      </c>
      <c r="AQ429" t="s">
        <v>74</v>
      </c>
      <c r="AR429" t="s">
        <v>7606</v>
      </c>
      <c r="AS429" t="s">
        <v>7607</v>
      </c>
      <c r="AT429" t="s">
        <v>7584</v>
      </c>
      <c r="AU429">
        <v>2023</v>
      </c>
      <c r="AV429" t="s">
        <v>74</v>
      </c>
      <c r="AW429" t="s">
        <v>74</v>
      </c>
      <c r="AX429" t="s">
        <v>74</v>
      </c>
      <c r="AY429" t="s">
        <v>74</v>
      </c>
      <c r="AZ429" t="s">
        <v>74</v>
      </c>
      <c r="BA429" t="s">
        <v>74</v>
      </c>
      <c r="BB429" t="s">
        <v>74</v>
      </c>
      <c r="BC429" t="s">
        <v>74</v>
      </c>
      <c r="BD429" t="s">
        <v>74</v>
      </c>
      <c r="BE429" t="s">
        <v>7608</v>
      </c>
      <c r="BF429" t="str">
        <f>HYPERLINK("http://dx.doi.org/10.1080/07341512.2023.2251209","http://dx.doi.org/10.1080/07341512.2023.2251209")</f>
        <v>http://dx.doi.org/10.1080/07341512.2023.2251209</v>
      </c>
      <c r="BG429" t="s">
        <v>74</v>
      </c>
      <c r="BH429" t="s">
        <v>5545</v>
      </c>
      <c r="BI429">
        <v>15</v>
      </c>
      <c r="BJ429" t="s">
        <v>6263</v>
      </c>
      <c r="BK429" t="s">
        <v>6264</v>
      </c>
      <c r="BL429" t="s">
        <v>6263</v>
      </c>
      <c r="BM429" t="s">
        <v>7609</v>
      </c>
      <c r="BN429" t="s">
        <v>74</v>
      </c>
      <c r="BO429" t="s">
        <v>74</v>
      </c>
      <c r="BP429" t="s">
        <v>74</v>
      </c>
      <c r="BQ429" t="s">
        <v>74</v>
      </c>
      <c r="BR429" t="s">
        <v>105</v>
      </c>
      <c r="BS429" t="s">
        <v>7610</v>
      </c>
      <c r="BT429" t="str">
        <f>HYPERLINK("https%3A%2F%2Fwww.webofscience.com%2Fwos%2Fwoscc%2Ffull-record%2FWOS:001063988800001","View Full Record in Web of Science")</f>
        <v>View Full Record in Web of Science</v>
      </c>
    </row>
    <row r="430" spans="1:72" x14ac:dyDescent="0.15">
      <c r="A430" t="s">
        <v>72</v>
      </c>
      <c r="B430" t="s">
        <v>7611</v>
      </c>
      <c r="C430" t="s">
        <v>74</v>
      </c>
      <c r="D430" t="s">
        <v>74</v>
      </c>
      <c r="E430" t="s">
        <v>74</v>
      </c>
      <c r="F430" t="s">
        <v>7612</v>
      </c>
      <c r="G430" t="s">
        <v>74</v>
      </c>
      <c r="H430" t="s">
        <v>74</v>
      </c>
      <c r="I430" t="s">
        <v>7613</v>
      </c>
      <c r="J430" t="s">
        <v>7614</v>
      </c>
      <c r="K430" t="s">
        <v>74</v>
      </c>
      <c r="L430" t="s">
        <v>74</v>
      </c>
      <c r="M430" t="s">
        <v>78</v>
      </c>
      <c r="N430" t="s">
        <v>5492</v>
      </c>
      <c r="O430" t="s">
        <v>74</v>
      </c>
      <c r="P430" t="s">
        <v>74</v>
      </c>
      <c r="Q430" t="s">
        <v>74</v>
      </c>
      <c r="R430" t="s">
        <v>74</v>
      </c>
      <c r="S430" t="s">
        <v>74</v>
      </c>
      <c r="T430" t="s">
        <v>7615</v>
      </c>
      <c r="U430" t="s">
        <v>74</v>
      </c>
      <c r="V430" t="s">
        <v>7616</v>
      </c>
      <c r="W430" t="s">
        <v>7617</v>
      </c>
      <c r="X430" t="s">
        <v>7618</v>
      </c>
      <c r="Y430" t="s">
        <v>7619</v>
      </c>
      <c r="Z430" t="s">
        <v>7620</v>
      </c>
      <c r="AA430" t="s">
        <v>74</v>
      </c>
      <c r="AB430" t="s">
        <v>74</v>
      </c>
      <c r="AC430" t="s">
        <v>74</v>
      </c>
      <c r="AD430" t="s">
        <v>74</v>
      </c>
      <c r="AE430" t="s">
        <v>74</v>
      </c>
      <c r="AF430" t="s">
        <v>74</v>
      </c>
      <c r="AG430">
        <v>36</v>
      </c>
      <c r="AH430">
        <v>0</v>
      </c>
      <c r="AI430">
        <v>0</v>
      </c>
      <c r="AJ430">
        <v>0</v>
      </c>
      <c r="AK430">
        <v>0</v>
      </c>
      <c r="AL430" t="s">
        <v>1188</v>
      </c>
      <c r="AM430" t="s">
        <v>93</v>
      </c>
      <c r="AN430" t="s">
        <v>1189</v>
      </c>
      <c r="AO430" t="s">
        <v>7621</v>
      </c>
      <c r="AP430" t="s">
        <v>7622</v>
      </c>
      <c r="AQ430" t="s">
        <v>74</v>
      </c>
      <c r="AR430" t="s">
        <v>7623</v>
      </c>
      <c r="AS430" t="s">
        <v>7624</v>
      </c>
      <c r="AT430" t="s">
        <v>7584</v>
      </c>
      <c r="AU430">
        <v>2023</v>
      </c>
      <c r="AV430" t="s">
        <v>74</v>
      </c>
      <c r="AW430" t="s">
        <v>74</v>
      </c>
      <c r="AX430" t="s">
        <v>74</v>
      </c>
      <c r="AY430" t="s">
        <v>74</v>
      </c>
      <c r="AZ430" t="s">
        <v>74</v>
      </c>
      <c r="BA430" t="s">
        <v>74</v>
      </c>
      <c r="BB430" t="s">
        <v>74</v>
      </c>
      <c r="BC430" t="s">
        <v>74</v>
      </c>
      <c r="BD430" t="s">
        <v>74</v>
      </c>
      <c r="BE430" t="s">
        <v>7625</v>
      </c>
      <c r="BF430" t="str">
        <f>HYPERLINK("http://dx.doi.org/10.1080/07494467.2023.2251312","http://dx.doi.org/10.1080/07494467.2023.2251312")</f>
        <v>http://dx.doi.org/10.1080/07494467.2023.2251312</v>
      </c>
      <c r="BG430" t="s">
        <v>74</v>
      </c>
      <c r="BH430" t="s">
        <v>5545</v>
      </c>
      <c r="BI430">
        <v>17</v>
      </c>
      <c r="BJ430" t="s">
        <v>7626</v>
      </c>
      <c r="BK430" t="s">
        <v>6264</v>
      </c>
      <c r="BL430" t="s">
        <v>7626</v>
      </c>
      <c r="BM430" t="s">
        <v>7627</v>
      </c>
      <c r="BN430" t="s">
        <v>74</v>
      </c>
      <c r="BO430" t="s">
        <v>74</v>
      </c>
      <c r="BP430" t="s">
        <v>74</v>
      </c>
      <c r="BQ430" t="s">
        <v>74</v>
      </c>
      <c r="BR430" t="s">
        <v>105</v>
      </c>
      <c r="BS430" t="s">
        <v>7628</v>
      </c>
      <c r="BT430" t="str">
        <f>HYPERLINK("https%3A%2F%2Fwww.webofscience.com%2Fwos%2Fwoscc%2Ffull-record%2FWOS:001063093100001","View Full Record in Web of Science")</f>
        <v>View Full Record in Web of Science</v>
      </c>
    </row>
    <row r="431" spans="1:72" x14ac:dyDescent="0.15">
      <c r="A431" t="s">
        <v>72</v>
      </c>
      <c r="B431" t="s">
        <v>7629</v>
      </c>
      <c r="C431" t="s">
        <v>74</v>
      </c>
      <c r="D431" t="s">
        <v>74</v>
      </c>
      <c r="E431" t="s">
        <v>74</v>
      </c>
      <c r="F431" t="s">
        <v>7630</v>
      </c>
      <c r="G431" t="s">
        <v>74</v>
      </c>
      <c r="H431" t="s">
        <v>74</v>
      </c>
      <c r="I431" t="s">
        <v>7631</v>
      </c>
      <c r="J431" t="s">
        <v>7632</v>
      </c>
      <c r="K431" t="s">
        <v>74</v>
      </c>
      <c r="L431" t="s">
        <v>74</v>
      </c>
      <c r="M431" t="s">
        <v>78</v>
      </c>
      <c r="N431" t="s">
        <v>5492</v>
      </c>
      <c r="O431" t="s">
        <v>74</v>
      </c>
      <c r="P431" t="s">
        <v>74</v>
      </c>
      <c r="Q431" t="s">
        <v>74</v>
      </c>
      <c r="R431" t="s">
        <v>74</v>
      </c>
      <c r="S431" t="s">
        <v>74</v>
      </c>
      <c r="T431" t="s">
        <v>7633</v>
      </c>
      <c r="U431" t="s">
        <v>7634</v>
      </c>
      <c r="V431" t="s">
        <v>7635</v>
      </c>
      <c r="W431" t="s">
        <v>7636</v>
      </c>
      <c r="X431" t="s">
        <v>7637</v>
      </c>
      <c r="Y431" t="s">
        <v>7638</v>
      </c>
      <c r="Z431" t="s">
        <v>7639</v>
      </c>
      <c r="AA431" t="s">
        <v>74</v>
      </c>
      <c r="AB431" t="s">
        <v>74</v>
      </c>
      <c r="AC431" t="s">
        <v>7640</v>
      </c>
      <c r="AD431" t="s">
        <v>7640</v>
      </c>
      <c r="AE431" t="s">
        <v>7641</v>
      </c>
      <c r="AF431" t="s">
        <v>74</v>
      </c>
      <c r="AG431">
        <v>81</v>
      </c>
      <c r="AH431">
        <v>0</v>
      </c>
      <c r="AI431">
        <v>0</v>
      </c>
      <c r="AJ431">
        <v>0</v>
      </c>
      <c r="AK431">
        <v>0</v>
      </c>
      <c r="AL431" t="s">
        <v>184</v>
      </c>
      <c r="AM431" t="s">
        <v>185</v>
      </c>
      <c r="AN431" t="s">
        <v>186</v>
      </c>
      <c r="AO431" t="s">
        <v>7642</v>
      </c>
      <c r="AP431" t="s">
        <v>7643</v>
      </c>
      <c r="AQ431" t="s">
        <v>74</v>
      </c>
      <c r="AR431" t="s">
        <v>7644</v>
      </c>
      <c r="AS431" t="s">
        <v>7645</v>
      </c>
      <c r="AT431" t="s">
        <v>7584</v>
      </c>
      <c r="AU431">
        <v>2023</v>
      </c>
      <c r="AV431" t="s">
        <v>74</v>
      </c>
      <c r="AW431" t="s">
        <v>74</v>
      </c>
      <c r="AX431" t="s">
        <v>74</v>
      </c>
      <c r="AY431" t="s">
        <v>74</v>
      </c>
      <c r="AZ431" t="s">
        <v>74</v>
      </c>
      <c r="BA431" t="s">
        <v>74</v>
      </c>
      <c r="BB431" t="s">
        <v>74</v>
      </c>
      <c r="BC431" t="s">
        <v>74</v>
      </c>
      <c r="BD431" t="s">
        <v>74</v>
      </c>
      <c r="BE431" t="s">
        <v>7646</v>
      </c>
      <c r="BF431" t="str">
        <f>HYPERLINK("http://dx.doi.org/10.1080/07391102.2023.2256861","http://dx.doi.org/10.1080/07391102.2023.2256861")</f>
        <v>http://dx.doi.org/10.1080/07391102.2023.2256861</v>
      </c>
      <c r="BG431" t="s">
        <v>74</v>
      </c>
      <c r="BH431" t="s">
        <v>5545</v>
      </c>
      <c r="BI431">
        <v>12</v>
      </c>
      <c r="BJ431" t="s">
        <v>7647</v>
      </c>
      <c r="BK431" t="s">
        <v>102</v>
      </c>
      <c r="BL431" t="s">
        <v>7647</v>
      </c>
      <c r="BM431" t="s">
        <v>7648</v>
      </c>
      <c r="BN431">
        <v>37697717</v>
      </c>
      <c r="BO431" t="s">
        <v>74</v>
      </c>
      <c r="BP431" t="s">
        <v>74</v>
      </c>
      <c r="BQ431" t="s">
        <v>74</v>
      </c>
      <c r="BR431" t="s">
        <v>105</v>
      </c>
      <c r="BS431" t="s">
        <v>7649</v>
      </c>
      <c r="BT431" t="str">
        <f>HYPERLINK("https%3A%2F%2Fwww.webofscience.com%2Fwos%2Fwoscc%2Ffull-record%2FWOS:001066859800001","View Full Record in Web of Science")</f>
        <v>View Full Record in Web of Science</v>
      </c>
    </row>
    <row r="432" spans="1:72" x14ac:dyDescent="0.15">
      <c r="A432" t="s">
        <v>72</v>
      </c>
      <c r="B432" t="s">
        <v>7650</v>
      </c>
      <c r="C432" t="s">
        <v>74</v>
      </c>
      <c r="D432" t="s">
        <v>74</v>
      </c>
      <c r="E432" t="s">
        <v>74</v>
      </c>
      <c r="F432" t="s">
        <v>7651</v>
      </c>
      <c r="G432" t="s">
        <v>74</v>
      </c>
      <c r="H432" t="s">
        <v>74</v>
      </c>
      <c r="I432" t="s">
        <v>7652</v>
      </c>
      <c r="J432" t="s">
        <v>7653</v>
      </c>
      <c r="K432" t="s">
        <v>74</v>
      </c>
      <c r="L432" t="s">
        <v>74</v>
      </c>
      <c r="M432" t="s">
        <v>78</v>
      </c>
      <c r="N432" t="s">
        <v>5492</v>
      </c>
      <c r="O432" t="s">
        <v>74</v>
      </c>
      <c r="P432" t="s">
        <v>74</v>
      </c>
      <c r="Q432" t="s">
        <v>74</v>
      </c>
      <c r="R432" t="s">
        <v>74</v>
      </c>
      <c r="S432" t="s">
        <v>74</v>
      </c>
      <c r="T432" t="s">
        <v>7654</v>
      </c>
      <c r="U432" t="s">
        <v>7655</v>
      </c>
      <c r="V432" t="s">
        <v>7656</v>
      </c>
      <c r="W432" t="s">
        <v>7657</v>
      </c>
      <c r="X432" t="s">
        <v>7658</v>
      </c>
      <c r="Y432" t="s">
        <v>7659</v>
      </c>
      <c r="Z432" t="s">
        <v>7660</v>
      </c>
      <c r="AA432" t="s">
        <v>74</v>
      </c>
      <c r="AB432" t="s">
        <v>74</v>
      </c>
      <c r="AC432" t="s">
        <v>74</v>
      </c>
      <c r="AD432" t="s">
        <v>74</v>
      </c>
      <c r="AE432" t="s">
        <v>74</v>
      </c>
      <c r="AF432" t="s">
        <v>74</v>
      </c>
      <c r="AG432">
        <v>42</v>
      </c>
      <c r="AH432">
        <v>0</v>
      </c>
      <c r="AI432">
        <v>0</v>
      </c>
      <c r="AJ432">
        <v>0</v>
      </c>
      <c r="AK432">
        <v>0</v>
      </c>
      <c r="AL432" t="s">
        <v>184</v>
      </c>
      <c r="AM432" t="s">
        <v>185</v>
      </c>
      <c r="AN432" t="s">
        <v>186</v>
      </c>
      <c r="AO432" t="s">
        <v>7661</v>
      </c>
      <c r="AP432" t="s">
        <v>7662</v>
      </c>
      <c r="AQ432" t="s">
        <v>74</v>
      </c>
      <c r="AR432" t="s">
        <v>7663</v>
      </c>
      <c r="AS432" t="s">
        <v>7664</v>
      </c>
      <c r="AT432" t="s">
        <v>7584</v>
      </c>
      <c r="AU432">
        <v>2023</v>
      </c>
      <c r="AV432" t="s">
        <v>74</v>
      </c>
      <c r="AW432" t="s">
        <v>74</v>
      </c>
      <c r="AX432" t="s">
        <v>74</v>
      </c>
      <c r="AY432" t="s">
        <v>74</v>
      </c>
      <c r="AZ432" t="s">
        <v>74</v>
      </c>
      <c r="BA432" t="s">
        <v>74</v>
      </c>
      <c r="BB432" t="s">
        <v>74</v>
      </c>
      <c r="BC432" t="s">
        <v>74</v>
      </c>
      <c r="BD432" t="s">
        <v>74</v>
      </c>
      <c r="BE432" t="s">
        <v>7665</v>
      </c>
      <c r="BF432" t="str">
        <f>HYPERLINK("http://dx.doi.org/10.1080/15564886.2023.2249877","http://dx.doi.org/10.1080/15564886.2023.2249877")</f>
        <v>http://dx.doi.org/10.1080/15564886.2023.2249877</v>
      </c>
      <c r="BG432" t="s">
        <v>74</v>
      </c>
      <c r="BH432" t="s">
        <v>5545</v>
      </c>
      <c r="BI432">
        <v>28</v>
      </c>
      <c r="BJ432" t="s">
        <v>7666</v>
      </c>
      <c r="BK432" t="s">
        <v>272</v>
      </c>
      <c r="BL432" t="s">
        <v>7666</v>
      </c>
      <c r="BM432" t="s">
        <v>7667</v>
      </c>
      <c r="BN432" t="s">
        <v>74</v>
      </c>
      <c r="BO432" t="s">
        <v>74</v>
      </c>
      <c r="BP432" t="s">
        <v>74</v>
      </c>
      <c r="BQ432" t="s">
        <v>74</v>
      </c>
      <c r="BR432" t="s">
        <v>105</v>
      </c>
      <c r="BS432" t="s">
        <v>7668</v>
      </c>
      <c r="BT432" t="str">
        <f>HYPERLINK("https%3A%2F%2Fwww.webofscience.com%2Fwos%2Fwoscc%2Ffull-record%2FWOS:001058874200001","View Full Record in Web of Science")</f>
        <v>View Full Record in Web of Science</v>
      </c>
    </row>
    <row r="433" spans="1:72" x14ac:dyDescent="0.15">
      <c r="A433" t="s">
        <v>72</v>
      </c>
      <c r="B433" t="s">
        <v>7669</v>
      </c>
      <c r="C433" t="s">
        <v>74</v>
      </c>
      <c r="D433" t="s">
        <v>74</v>
      </c>
      <c r="E433" t="s">
        <v>74</v>
      </c>
      <c r="F433" t="s">
        <v>7670</v>
      </c>
      <c r="G433" t="s">
        <v>74</v>
      </c>
      <c r="H433" t="s">
        <v>74</v>
      </c>
      <c r="I433" t="s">
        <v>7671</v>
      </c>
      <c r="J433" t="s">
        <v>7672</v>
      </c>
      <c r="K433" t="s">
        <v>74</v>
      </c>
      <c r="L433" t="s">
        <v>74</v>
      </c>
      <c r="M433" t="s">
        <v>78</v>
      </c>
      <c r="N433" t="s">
        <v>5492</v>
      </c>
      <c r="O433" t="s">
        <v>74</v>
      </c>
      <c r="P433" t="s">
        <v>74</v>
      </c>
      <c r="Q433" t="s">
        <v>74</v>
      </c>
      <c r="R433" t="s">
        <v>74</v>
      </c>
      <c r="S433" t="s">
        <v>74</v>
      </c>
      <c r="T433" t="s">
        <v>7673</v>
      </c>
      <c r="U433" t="s">
        <v>7674</v>
      </c>
      <c r="V433" t="s">
        <v>7675</v>
      </c>
      <c r="W433" t="s">
        <v>7676</v>
      </c>
      <c r="X433" t="s">
        <v>7677</v>
      </c>
      <c r="Y433" t="s">
        <v>7678</v>
      </c>
      <c r="Z433" t="s">
        <v>7679</v>
      </c>
      <c r="AA433" t="s">
        <v>74</v>
      </c>
      <c r="AB433" t="s">
        <v>74</v>
      </c>
      <c r="AC433" t="s">
        <v>74</v>
      </c>
      <c r="AD433" t="s">
        <v>74</v>
      </c>
      <c r="AE433" t="s">
        <v>74</v>
      </c>
      <c r="AF433" t="s">
        <v>74</v>
      </c>
      <c r="AG433">
        <v>55</v>
      </c>
      <c r="AH433">
        <v>0</v>
      </c>
      <c r="AI433">
        <v>0</v>
      </c>
      <c r="AJ433">
        <v>0</v>
      </c>
      <c r="AK433">
        <v>0</v>
      </c>
      <c r="AL433" t="s">
        <v>1188</v>
      </c>
      <c r="AM433" t="s">
        <v>93</v>
      </c>
      <c r="AN433" t="s">
        <v>1189</v>
      </c>
      <c r="AO433" t="s">
        <v>7680</v>
      </c>
      <c r="AP433" t="s">
        <v>7681</v>
      </c>
      <c r="AQ433" t="s">
        <v>74</v>
      </c>
      <c r="AR433" t="s">
        <v>7682</v>
      </c>
      <c r="AS433" t="s">
        <v>7683</v>
      </c>
      <c r="AT433" t="s">
        <v>7584</v>
      </c>
      <c r="AU433">
        <v>2023</v>
      </c>
      <c r="AV433" t="s">
        <v>74</v>
      </c>
      <c r="AW433" t="s">
        <v>74</v>
      </c>
      <c r="AX433" t="s">
        <v>74</v>
      </c>
      <c r="AY433" t="s">
        <v>74</v>
      </c>
      <c r="AZ433" t="s">
        <v>74</v>
      </c>
      <c r="BA433" t="s">
        <v>74</v>
      </c>
      <c r="BB433" t="s">
        <v>74</v>
      </c>
      <c r="BC433" t="s">
        <v>74</v>
      </c>
      <c r="BD433" t="s">
        <v>74</v>
      </c>
      <c r="BE433" t="s">
        <v>7684</v>
      </c>
      <c r="BF433" t="str">
        <f>HYPERLINK("http://dx.doi.org/10.1080/18918131.2023.2250629","http://dx.doi.org/10.1080/18918131.2023.2250629")</f>
        <v>http://dx.doi.org/10.1080/18918131.2023.2250629</v>
      </c>
      <c r="BG433" t="s">
        <v>74</v>
      </c>
      <c r="BH433" t="s">
        <v>5545</v>
      </c>
      <c r="BI433">
        <v>19</v>
      </c>
      <c r="BJ433" t="s">
        <v>6893</v>
      </c>
      <c r="BK433" t="s">
        <v>211</v>
      </c>
      <c r="BL433" t="s">
        <v>6894</v>
      </c>
      <c r="BM433" t="s">
        <v>7685</v>
      </c>
      <c r="BN433" t="s">
        <v>74</v>
      </c>
      <c r="BO433" t="s">
        <v>74</v>
      </c>
      <c r="BP433" t="s">
        <v>74</v>
      </c>
      <c r="BQ433" t="s">
        <v>74</v>
      </c>
      <c r="BR433" t="s">
        <v>105</v>
      </c>
      <c r="BS433" t="s">
        <v>7686</v>
      </c>
      <c r="BT433" t="str">
        <f>HYPERLINK("https%3A%2F%2Fwww.webofscience.com%2Fwos%2Fwoscc%2Ffull-record%2FWOS:001070030500001","View Full Record in Web of Science")</f>
        <v>View Full Record in Web of Science</v>
      </c>
    </row>
    <row r="434" spans="1:72" x14ac:dyDescent="0.15">
      <c r="A434" t="s">
        <v>72</v>
      </c>
      <c r="B434" t="s">
        <v>7687</v>
      </c>
      <c r="C434" t="s">
        <v>74</v>
      </c>
      <c r="D434" t="s">
        <v>74</v>
      </c>
      <c r="E434" t="s">
        <v>74</v>
      </c>
      <c r="F434" t="s">
        <v>7688</v>
      </c>
      <c r="G434" t="s">
        <v>74</v>
      </c>
      <c r="H434" t="s">
        <v>74</v>
      </c>
      <c r="I434" t="s">
        <v>7689</v>
      </c>
      <c r="J434" t="s">
        <v>7690</v>
      </c>
      <c r="K434" t="s">
        <v>74</v>
      </c>
      <c r="L434" t="s">
        <v>74</v>
      </c>
      <c r="M434" t="s">
        <v>78</v>
      </c>
      <c r="N434" t="s">
        <v>5492</v>
      </c>
      <c r="O434" t="s">
        <v>74</v>
      </c>
      <c r="P434" t="s">
        <v>74</v>
      </c>
      <c r="Q434" t="s">
        <v>74</v>
      </c>
      <c r="R434" t="s">
        <v>74</v>
      </c>
      <c r="S434" t="s">
        <v>74</v>
      </c>
      <c r="T434" t="s">
        <v>7691</v>
      </c>
      <c r="U434" t="s">
        <v>7692</v>
      </c>
      <c r="V434" t="s">
        <v>7693</v>
      </c>
      <c r="W434" t="s">
        <v>7694</v>
      </c>
      <c r="X434" t="s">
        <v>7695</v>
      </c>
      <c r="Y434" t="s">
        <v>7696</v>
      </c>
      <c r="Z434" t="s">
        <v>7697</v>
      </c>
      <c r="AA434" t="s">
        <v>74</v>
      </c>
      <c r="AB434" t="s">
        <v>74</v>
      </c>
      <c r="AC434" t="s">
        <v>74</v>
      </c>
      <c r="AD434" t="s">
        <v>74</v>
      </c>
      <c r="AE434" t="s">
        <v>74</v>
      </c>
      <c r="AF434" t="s">
        <v>74</v>
      </c>
      <c r="AG434">
        <v>27</v>
      </c>
      <c r="AH434">
        <v>0</v>
      </c>
      <c r="AI434">
        <v>0</v>
      </c>
      <c r="AJ434">
        <v>0</v>
      </c>
      <c r="AK434">
        <v>0</v>
      </c>
      <c r="AL434" t="s">
        <v>1188</v>
      </c>
      <c r="AM434" t="s">
        <v>93</v>
      </c>
      <c r="AN434" t="s">
        <v>1189</v>
      </c>
      <c r="AO434" t="s">
        <v>7698</v>
      </c>
      <c r="AP434" t="s">
        <v>7699</v>
      </c>
      <c r="AQ434" t="s">
        <v>74</v>
      </c>
      <c r="AR434" t="s">
        <v>7700</v>
      </c>
      <c r="AS434" t="s">
        <v>7701</v>
      </c>
      <c r="AT434" t="s">
        <v>7584</v>
      </c>
      <c r="AU434">
        <v>2023</v>
      </c>
      <c r="AV434" t="s">
        <v>74</v>
      </c>
      <c r="AW434" t="s">
        <v>74</v>
      </c>
      <c r="AX434" t="s">
        <v>74</v>
      </c>
      <c r="AY434" t="s">
        <v>74</v>
      </c>
      <c r="AZ434" t="s">
        <v>74</v>
      </c>
      <c r="BA434" t="s">
        <v>74</v>
      </c>
      <c r="BB434" t="s">
        <v>74</v>
      </c>
      <c r="BC434" t="s">
        <v>74</v>
      </c>
      <c r="BD434" t="s">
        <v>74</v>
      </c>
      <c r="BE434" t="s">
        <v>7702</v>
      </c>
      <c r="BF434" t="str">
        <f>HYPERLINK("http://dx.doi.org/10.1080/2159676X.2023.2255202","http://dx.doi.org/10.1080/2159676X.2023.2255202")</f>
        <v>http://dx.doi.org/10.1080/2159676X.2023.2255202</v>
      </c>
      <c r="BG434" t="s">
        <v>74</v>
      </c>
      <c r="BH434" t="s">
        <v>5545</v>
      </c>
      <c r="BI434">
        <v>14</v>
      </c>
      <c r="BJ434" t="s">
        <v>7703</v>
      </c>
      <c r="BK434" t="s">
        <v>123</v>
      </c>
      <c r="BL434" t="s">
        <v>7704</v>
      </c>
      <c r="BM434" t="s">
        <v>7705</v>
      </c>
      <c r="BN434" t="s">
        <v>74</v>
      </c>
      <c r="BO434" t="s">
        <v>74</v>
      </c>
      <c r="BP434" t="s">
        <v>74</v>
      </c>
      <c r="BQ434" t="s">
        <v>74</v>
      </c>
      <c r="BR434" t="s">
        <v>105</v>
      </c>
      <c r="BS434" t="s">
        <v>7706</v>
      </c>
      <c r="BT434" t="str">
        <f>HYPERLINK("https%3A%2F%2Fwww.webofscience.com%2Fwos%2Fwoscc%2Ffull-record%2FWOS:001058851000001","View Full Record in Web of Science")</f>
        <v>View Full Record in Web of Science</v>
      </c>
    </row>
    <row r="435" spans="1:72" x14ac:dyDescent="0.15">
      <c r="A435" t="s">
        <v>72</v>
      </c>
      <c r="B435" t="s">
        <v>7707</v>
      </c>
      <c r="C435" t="s">
        <v>74</v>
      </c>
      <c r="D435" t="s">
        <v>74</v>
      </c>
      <c r="E435" t="s">
        <v>74</v>
      </c>
      <c r="F435" t="s">
        <v>7708</v>
      </c>
      <c r="G435" t="s">
        <v>74</v>
      </c>
      <c r="H435" t="s">
        <v>74</v>
      </c>
      <c r="I435" t="s">
        <v>7709</v>
      </c>
      <c r="J435" t="s">
        <v>7710</v>
      </c>
      <c r="K435" t="s">
        <v>74</v>
      </c>
      <c r="L435" t="s">
        <v>74</v>
      </c>
      <c r="M435" t="s">
        <v>78</v>
      </c>
      <c r="N435" t="s">
        <v>5492</v>
      </c>
      <c r="O435" t="s">
        <v>74</v>
      </c>
      <c r="P435" t="s">
        <v>74</v>
      </c>
      <c r="Q435" t="s">
        <v>74</v>
      </c>
      <c r="R435" t="s">
        <v>74</v>
      </c>
      <c r="S435" t="s">
        <v>74</v>
      </c>
      <c r="T435" t="s">
        <v>7711</v>
      </c>
      <c r="U435" t="s">
        <v>7712</v>
      </c>
      <c r="V435" t="s">
        <v>7713</v>
      </c>
      <c r="W435" t="s">
        <v>7714</v>
      </c>
      <c r="X435" t="s">
        <v>7715</v>
      </c>
      <c r="Y435" t="s">
        <v>7716</v>
      </c>
      <c r="Z435" t="s">
        <v>7717</v>
      </c>
      <c r="AA435" t="s">
        <v>74</v>
      </c>
      <c r="AB435" t="s">
        <v>74</v>
      </c>
      <c r="AC435" t="s">
        <v>7718</v>
      </c>
      <c r="AD435" t="s">
        <v>7718</v>
      </c>
      <c r="AE435" t="s">
        <v>7719</v>
      </c>
      <c r="AF435" t="s">
        <v>74</v>
      </c>
      <c r="AG435">
        <v>93</v>
      </c>
      <c r="AH435">
        <v>0</v>
      </c>
      <c r="AI435">
        <v>0</v>
      </c>
      <c r="AJ435">
        <v>0</v>
      </c>
      <c r="AK435">
        <v>0</v>
      </c>
      <c r="AL435" t="s">
        <v>1188</v>
      </c>
      <c r="AM435" t="s">
        <v>93</v>
      </c>
      <c r="AN435" t="s">
        <v>1189</v>
      </c>
      <c r="AO435" t="s">
        <v>7720</v>
      </c>
      <c r="AP435" t="s">
        <v>7721</v>
      </c>
      <c r="AQ435" t="s">
        <v>74</v>
      </c>
      <c r="AR435" t="s">
        <v>7722</v>
      </c>
      <c r="AS435" t="s">
        <v>7723</v>
      </c>
      <c r="AT435" t="s">
        <v>7584</v>
      </c>
      <c r="AU435">
        <v>2023</v>
      </c>
      <c r="AV435" t="s">
        <v>74</v>
      </c>
      <c r="AW435" t="s">
        <v>74</v>
      </c>
      <c r="AX435" t="s">
        <v>74</v>
      </c>
      <c r="AY435" t="s">
        <v>74</v>
      </c>
      <c r="AZ435" t="s">
        <v>74</v>
      </c>
      <c r="BA435" t="s">
        <v>74</v>
      </c>
      <c r="BB435" t="s">
        <v>74</v>
      </c>
      <c r="BC435" t="s">
        <v>74</v>
      </c>
      <c r="BD435" t="s">
        <v>74</v>
      </c>
      <c r="BE435" t="s">
        <v>7724</v>
      </c>
      <c r="BF435" t="str">
        <f>HYPERLINK("http://dx.doi.org/10.1080/17524032.2023.2255388","http://dx.doi.org/10.1080/17524032.2023.2255388")</f>
        <v>http://dx.doi.org/10.1080/17524032.2023.2255388</v>
      </c>
      <c r="BG435" t="s">
        <v>74</v>
      </c>
      <c r="BH435" t="s">
        <v>5545</v>
      </c>
      <c r="BI435">
        <v>17</v>
      </c>
      <c r="BJ435" t="s">
        <v>7725</v>
      </c>
      <c r="BK435" t="s">
        <v>272</v>
      </c>
      <c r="BL435" t="s">
        <v>7726</v>
      </c>
      <c r="BM435" t="s">
        <v>7727</v>
      </c>
      <c r="BN435" t="s">
        <v>74</v>
      </c>
      <c r="BO435" t="s">
        <v>887</v>
      </c>
      <c r="BP435" t="s">
        <v>74</v>
      </c>
      <c r="BQ435" t="s">
        <v>74</v>
      </c>
      <c r="BR435" t="s">
        <v>105</v>
      </c>
      <c r="BS435" t="s">
        <v>7728</v>
      </c>
      <c r="BT435" t="str">
        <f>HYPERLINK("https%3A%2F%2Fwww.webofscience.com%2Fwos%2Fwoscc%2Ffull-record%2FWOS:001067436200001","View Full Record in Web of Science")</f>
        <v>View Full Record in Web of Science</v>
      </c>
    </row>
    <row r="436" spans="1:72" x14ac:dyDescent="0.15">
      <c r="A436" t="s">
        <v>72</v>
      </c>
      <c r="B436" t="s">
        <v>7729</v>
      </c>
      <c r="C436" t="s">
        <v>74</v>
      </c>
      <c r="D436" t="s">
        <v>74</v>
      </c>
      <c r="E436" t="s">
        <v>74</v>
      </c>
      <c r="F436" t="s">
        <v>7730</v>
      </c>
      <c r="G436" t="s">
        <v>74</v>
      </c>
      <c r="H436" t="s">
        <v>74</v>
      </c>
      <c r="I436" t="s">
        <v>7731</v>
      </c>
      <c r="J436" t="s">
        <v>7632</v>
      </c>
      <c r="K436" t="s">
        <v>74</v>
      </c>
      <c r="L436" t="s">
        <v>74</v>
      </c>
      <c r="M436" t="s">
        <v>78</v>
      </c>
      <c r="N436" t="s">
        <v>5492</v>
      </c>
      <c r="O436" t="s">
        <v>74</v>
      </c>
      <c r="P436" t="s">
        <v>74</v>
      </c>
      <c r="Q436" t="s">
        <v>74</v>
      </c>
      <c r="R436" t="s">
        <v>74</v>
      </c>
      <c r="S436" t="s">
        <v>74</v>
      </c>
      <c r="T436" t="s">
        <v>7732</v>
      </c>
      <c r="U436" t="s">
        <v>7733</v>
      </c>
      <c r="V436" t="s">
        <v>7734</v>
      </c>
      <c r="W436" t="s">
        <v>7735</v>
      </c>
      <c r="X436" t="s">
        <v>7736</v>
      </c>
      <c r="Y436" t="s">
        <v>7737</v>
      </c>
      <c r="Z436" t="s">
        <v>7738</v>
      </c>
      <c r="AA436" t="s">
        <v>74</v>
      </c>
      <c r="AB436" t="s">
        <v>7739</v>
      </c>
      <c r="AC436" t="s">
        <v>7740</v>
      </c>
      <c r="AD436" t="s">
        <v>7741</v>
      </c>
      <c r="AE436" t="s">
        <v>7742</v>
      </c>
      <c r="AF436" t="s">
        <v>74</v>
      </c>
      <c r="AG436">
        <v>42</v>
      </c>
      <c r="AH436">
        <v>0</v>
      </c>
      <c r="AI436">
        <v>0</v>
      </c>
      <c r="AJ436">
        <v>0</v>
      </c>
      <c r="AK436">
        <v>0</v>
      </c>
      <c r="AL436" t="s">
        <v>184</v>
      </c>
      <c r="AM436" t="s">
        <v>185</v>
      </c>
      <c r="AN436" t="s">
        <v>186</v>
      </c>
      <c r="AO436" t="s">
        <v>7642</v>
      </c>
      <c r="AP436" t="s">
        <v>7643</v>
      </c>
      <c r="AQ436" t="s">
        <v>74</v>
      </c>
      <c r="AR436" t="s">
        <v>7644</v>
      </c>
      <c r="AS436" t="s">
        <v>7645</v>
      </c>
      <c r="AT436" t="s">
        <v>7584</v>
      </c>
      <c r="AU436">
        <v>2023</v>
      </c>
      <c r="AV436" t="s">
        <v>74</v>
      </c>
      <c r="AW436" t="s">
        <v>74</v>
      </c>
      <c r="AX436" t="s">
        <v>74</v>
      </c>
      <c r="AY436" t="s">
        <v>74</v>
      </c>
      <c r="AZ436" t="s">
        <v>74</v>
      </c>
      <c r="BA436" t="s">
        <v>74</v>
      </c>
      <c r="BB436" t="s">
        <v>74</v>
      </c>
      <c r="BC436" t="s">
        <v>74</v>
      </c>
      <c r="BD436" t="s">
        <v>74</v>
      </c>
      <c r="BE436" t="s">
        <v>7743</v>
      </c>
      <c r="BF436" t="str">
        <f>HYPERLINK("http://dx.doi.org/10.1080/07391102.2023.2256885","http://dx.doi.org/10.1080/07391102.2023.2256885")</f>
        <v>http://dx.doi.org/10.1080/07391102.2023.2256885</v>
      </c>
      <c r="BG436" t="s">
        <v>74</v>
      </c>
      <c r="BH436" t="s">
        <v>5545</v>
      </c>
      <c r="BI436">
        <v>37</v>
      </c>
      <c r="BJ436" t="s">
        <v>7647</v>
      </c>
      <c r="BK436" t="s">
        <v>102</v>
      </c>
      <c r="BL436" t="s">
        <v>7647</v>
      </c>
      <c r="BM436" t="s">
        <v>7744</v>
      </c>
      <c r="BN436">
        <v>37698364</v>
      </c>
      <c r="BO436" t="s">
        <v>74</v>
      </c>
      <c r="BP436" t="s">
        <v>74</v>
      </c>
      <c r="BQ436" t="s">
        <v>74</v>
      </c>
      <c r="BR436" t="s">
        <v>105</v>
      </c>
      <c r="BS436" t="s">
        <v>7745</v>
      </c>
      <c r="BT436" t="str">
        <f>HYPERLINK("https%3A%2F%2Fwww.webofscience.com%2Fwos%2Fwoscc%2Ffull-record%2FWOS:001064512200001","View Full Record in Web of Science")</f>
        <v>View Full Record in Web of Science</v>
      </c>
    </row>
    <row r="437" spans="1:72" x14ac:dyDescent="0.15">
      <c r="A437" t="s">
        <v>72</v>
      </c>
      <c r="B437" t="s">
        <v>7746</v>
      </c>
      <c r="C437" t="s">
        <v>74</v>
      </c>
      <c r="D437" t="s">
        <v>74</v>
      </c>
      <c r="E437" t="s">
        <v>74</v>
      </c>
      <c r="F437" t="s">
        <v>7747</v>
      </c>
      <c r="G437" t="s">
        <v>74</v>
      </c>
      <c r="H437" t="s">
        <v>74</v>
      </c>
      <c r="I437" t="s">
        <v>7748</v>
      </c>
      <c r="J437" t="s">
        <v>7749</v>
      </c>
      <c r="K437" t="s">
        <v>74</v>
      </c>
      <c r="L437" t="s">
        <v>74</v>
      </c>
      <c r="M437" t="s">
        <v>78</v>
      </c>
      <c r="N437" t="s">
        <v>5492</v>
      </c>
      <c r="O437" t="s">
        <v>74</v>
      </c>
      <c r="P437" t="s">
        <v>74</v>
      </c>
      <c r="Q437" t="s">
        <v>74</v>
      </c>
      <c r="R437" t="s">
        <v>74</v>
      </c>
      <c r="S437" t="s">
        <v>74</v>
      </c>
      <c r="T437" t="s">
        <v>7750</v>
      </c>
      <c r="U437" t="s">
        <v>7751</v>
      </c>
      <c r="V437" t="s">
        <v>7752</v>
      </c>
      <c r="W437" t="s">
        <v>7753</v>
      </c>
      <c r="X437" t="s">
        <v>7754</v>
      </c>
      <c r="Y437" t="s">
        <v>7755</v>
      </c>
      <c r="Z437" t="s">
        <v>7756</v>
      </c>
      <c r="AA437" t="s">
        <v>74</v>
      </c>
      <c r="AB437" t="s">
        <v>74</v>
      </c>
      <c r="AC437" t="s">
        <v>74</v>
      </c>
      <c r="AD437" t="s">
        <v>74</v>
      </c>
      <c r="AE437" t="s">
        <v>74</v>
      </c>
      <c r="AF437" t="s">
        <v>74</v>
      </c>
      <c r="AG437">
        <v>28</v>
      </c>
      <c r="AH437">
        <v>0</v>
      </c>
      <c r="AI437">
        <v>0</v>
      </c>
      <c r="AJ437">
        <v>0</v>
      </c>
      <c r="AK437">
        <v>0</v>
      </c>
      <c r="AL437" t="s">
        <v>92</v>
      </c>
      <c r="AM437" t="s">
        <v>93</v>
      </c>
      <c r="AN437" t="s">
        <v>94</v>
      </c>
      <c r="AO437" t="s">
        <v>7757</v>
      </c>
      <c r="AP437" t="s">
        <v>7758</v>
      </c>
      <c r="AQ437" t="s">
        <v>74</v>
      </c>
      <c r="AR437" t="s">
        <v>7759</v>
      </c>
      <c r="AS437" t="s">
        <v>7760</v>
      </c>
      <c r="AT437" t="s">
        <v>7761</v>
      </c>
      <c r="AU437">
        <v>2023</v>
      </c>
      <c r="AV437" t="s">
        <v>74</v>
      </c>
      <c r="AW437" t="s">
        <v>74</v>
      </c>
      <c r="AX437" t="s">
        <v>74</v>
      </c>
      <c r="AY437" t="s">
        <v>74</v>
      </c>
      <c r="AZ437" t="s">
        <v>74</v>
      </c>
      <c r="BA437" t="s">
        <v>74</v>
      </c>
      <c r="BB437" t="s">
        <v>74</v>
      </c>
      <c r="BC437" t="s">
        <v>74</v>
      </c>
      <c r="BD437" t="s">
        <v>74</v>
      </c>
      <c r="BE437" t="s">
        <v>7762</v>
      </c>
      <c r="BF437" t="str">
        <f>HYPERLINK("http://dx.doi.org/10.1080/03235408.2023.2256648","http://dx.doi.org/10.1080/03235408.2023.2256648")</f>
        <v>http://dx.doi.org/10.1080/03235408.2023.2256648</v>
      </c>
      <c r="BG437" t="s">
        <v>74</v>
      </c>
      <c r="BH437" t="s">
        <v>5545</v>
      </c>
      <c r="BI437">
        <v>14</v>
      </c>
      <c r="BJ437" t="s">
        <v>7763</v>
      </c>
      <c r="BK437" t="s">
        <v>211</v>
      </c>
      <c r="BL437" t="s">
        <v>7763</v>
      </c>
      <c r="BM437" t="s">
        <v>7764</v>
      </c>
      <c r="BN437" t="s">
        <v>74</v>
      </c>
      <c r="BO437" t="s">
        <v>74</v>
      </c>
      <c r="BP437" t="s">
        <v>74</v>
      </c>
      <c r="BQ437" t="s">
        <v>74</v>
      </c>
      <c r="BR437" t="s">
        <v>105</v>
      </c>
      <c r="BS437" t="s">
        <v>7765</v>
      </c>
      <c r="BT437" t="str">
        <f>HYPERLINK("https%3A%2F%2Fwww.webofscience.com%2Fwos%2Fwoscc%2Ffull-record%2FWOS:001066285400001","View Full Record in Web of Science")</f>
        <v>View Full Record in Web of Science</v>
      </c>
    </row>
    <row r="438" spans="1:72" x14ac:dyDescent="0.15">
      <c r="A438" t="s">
        <v>72</v>
      </c>
      <c r="B438" t="s">
        <v>7766</v>
      </c>
      <c r="C438" t="s">
        <v>74</v>
      </c>
      <c r="D438" t="s">
        <v>74</v>
      </c>
      <c r="E438" t="s">
        <v>74</v>
      </c>
      <c r="F438" t="s">
        <v>7767</v>
      </c>
      <c r="G438" t="s">
        <v>74</v>
      </c>
      <c r="H438" t="s">
        <v>74</v>
      </c>
      <c r="I438" t="s">
        <v>7768</v>
      </c>
      <c r="J438" t="s">
        <v>7769</v>
      </c>
      <c r="K438" t="s">
        <v>74</v>
      </c>
      <c r="L438" t="s">
        <v>74</v>
      </c>
      <c r="M438" t="s">
        <v>78</v>
      </c>
      <c r="N438" t="s">
        <v>5492</v>
      </c>
      <c r="O438" t="s">
        <v>74</v>
      </c>
      <c r="P438" t="s">
        <v>74</v>
      </c>
      <c r="Q438" t="s">
        <v>74</v>
      </c>
      <c r="R438" t="s">
        <v>74</v>
      </c>
      <c r="S438" t="s">
        <v>74</v>
      </c>
      <c r="T438" t="s">
        <v>7770</v>
      </c>
      <c r="U438" t="s">
        <v>7771</v>
      </c>
      <c r="V438" t="s">
        <v>7772</v>
      </c>
      <c r="W438" t="s">
        <v>7773</v>
      </c>
      <c r="X438" t="s">
        <v>7774</v>
      </c>
      <c r="Y438" t="s">
        <v>7775</v>
      </c>
      <c r="Z438" t="s">
        <v>7776</v>
      </c>
      <c r="AA438" t="s">
        <v>74</v>
      </c>
      <c r="AB438" t="s">
        <v>74</v>
      </c>
      <c r="AC438" t="s">
        <v>74</v>
      </c>
      <c r="AD438" t="s">
        <v>74</v>
      </c>
      <c r="AE438" t="s">
        <v>74</v>
      </c>
      <c r="AF438" t="s">
        <v>74</v>
      </c>
      <c r="AG438">
        <v>164</v>
      </c>
      <c r="AH438">
        <v>0</v>
      </c>
      <c r="AI438">
        <v>0</v>
      </c>
      <c r="AJ438">
        <v>0</v>
      </c>
      <c r="AK438">
        <v>0</v>
      </c>
      <c r="AL438" t="s">
        <v>1188</v>
      </c>
      <c r="AM438" t="s">
        <v>93</v>
      </c>
      <c r="AN438" t="s">
        <v>1189</v>
      </c>
      <c r="AO438" t="s">
        <v>7777</v>
      </c>
      <c r="AP438" t="s">
        <v>7778</v>
      </c>
      <c r="AQ438" t="s">
        <v>74</v>
      </c>
      <c r="AR438" t="s">
        <v>7779</v>
      </c>
      <c r="AS438" t="s">
        <v>7780</v>
      </c>
      <c r="AT438" t="s">
        <v>7761</v>
      </c>
      <c r="AU438">
        <v>2023</v>
      </c>
      <c r="AV438" t="s">
        <v>74</v>
      </c>
      <c r="AW438" t="s">
        <v>74</v>
      </c>
      <c r="AX438" t="s">
        <v>74</v>
      </c>
      <c r="AY438" t="s">
        <v>74</v>
      </c>
      <c r="AZ438" t="s">
        <v>74</v>
      </c>
      <c r="BA438" t="s">
        <v>74</v>
      </c>
      <c r="BB438" t="s">
        <v>74</v>
      </c>
      <c r="BC438" t="s">
        <v>74</v>
      </c>
      <c r="BD438" t="s">
        <v>74</v>
      </c>
      <c r="BE438" t="s">
        <v>7781</v>
      </c>
      <c r="BF438" t="str">
        <f>HYPERLINK("http://dx.doi.org/10.1080/02757206.2023.2237064","http://dx.doi.org/10.1080/02757206.2023.2237064")</f>
        <v>http://dx.doi.org/10.1080/02757206.2023.2237064</v>
      </c>
      <c r="BG438" t="s">
        <v>74</v>
      </c>
      <c r="BH438" t="s">
        <v>5545</v>
      </c>
      <c r="BI438">
        <v>28</v>
      </c>
      <c r="BJ438" t="s">
        <v>7782</v>
      </c>
      <c r="BK438" t="s">
        <v>7170</v>
      </c>
      <c r="BL438" t="s">
        <v>7782</v>
      </c>
      <c r="BM438" t="s">
        <v>7783</v>
      </c>
      <c r="BN438" t="s">
        <v>74</v>
      </c>
      <c r="BO438" t="s">
        <v>74</v>
      </c>
      <c r="BP438" t="s">
        <v>74</v>
      </c>
      <c r="BQ438" t="s">
        <v>74</v>
      </c>
      <c r="BR438" t="s">
        <v>105</v>
      </c>
      <c r="BS438" t="s">
        <v>7784</v>
      </c>
      <c r="BT438" t="str">
        <f>HYPERLINK("https%3A%2F%2Fwww.webofscience.com%2Fwos%2Fwoscc%2Ffull-record%2FWOS:001060320300001","View Full Record in Web of Science")</f>
        <v>View Full Record in Web of Science</v>
      </c>
    </row>
    <row r="439" spans="1:72" x14ac:dyDescent="0.15">
      <c r="A439" t="s">
        <v>72</v>
      </c>
      <c r="B439" t="s">
        <v>7785</v>
      </c>
      <c r="C439" t="s">
        <v>74</v>
      </c>
      <c r="D439" t="s">
        <v>74</v>
      </c>
      <c r="E439" t="s">
        <v>74</v>
      </c>
      <c r="F439" t="s">
        <v>7786</v>
      </c>
      <c r="G439" t="s">
        <v>74</v>
      </c>
      <c r="H439" t="s">
        <v>74</v>
      </c>
      <c r="I439" t="s">
        <v>7787</v>
      </c>
      <c r="J439" t="s">
        <v>7788</v>
      </c>
      <c r="K439" t="s">
        <v>74</v>
      </c>
      <c r="L439" t="s">
        <v>74</v>
      </c>
      <c r="M439" t="s">
        <v>78</v>
      </c>
      <c r="N439" t="s">
        <v>5492</v>
      </c>
      <c r="O439" t="s">
        <v>74</v>
      </c>
      <c r="P439" t="s">
        <v>74</v>
      </c>
      <c r="Q439" t="s">
        <v>74</v>
      </c>
      <c r="R439" t="s">
        <v>74</v>
      </c>
      <c r="S439" t="s">
        <v>74</v>
      </c>
      <c r="T439" t="s">
        <v>7789</v>
      </c>
      <c r="U439" t="s">
        <v>7790</v>
      </c>
      <c r="V439" t="s">
        <v>7791</v>
      </c>
      <c r="W439" t="s">
        <v>7792</v>
      </c>
      <c r="X439" t="s">
        <v>7793</v>
      </c>
      <c r="Y439" t="s">
        <v>7794</v>
      </c>
      <c r="Z439" t="s">
        <v>7795</v>
      </c>
      <c r="AA439" t="s">
        <v>74</v>
      </c>
      <c r="AB439" t="s">
        <v>74</v>
      </c>
      <c r="AC439" t="s">
        <v>74</v>
      </c>
      <c r="AD439" t="s">
        <v>74</v>
      </c>
      <c r="AE439" t="s">
        <v>74</v>
      </c>
      <c r="AF439" t="s">
        <v>74</v>
      </c>
      <c r="AG439">
        <v>66</v>
      </c>
      <c r="AH439">
        <v>0</v>
      </c>
      <c r="AI439">
        <v>0</v>
      </c>
      <c r="AJ439">
        <v>1</v>
      </c>
      <c r="AK439">
        <v>1</v>
      </c>
      <c r="AL439" t="s">
        <v>92</v>
      </c>
      <c r="AM439" t="s">
        <v>93</v>
      </c>
      <c r="AN439" t="s">
        <v>94</v>
      </c>
      <c r="AO439" t="s">
        <v>7796</v>
      </c>
      <c r="AP439" t="s">
        <v>7797</v>
      </c>
      <c r="AQ439" t="s">
        <v>74</v>
      </c>
      <c r="AR439" t="s">
        <v>7798</v>
      </c>
      <c r="AS439" t="s">
        <v>7799</v>
      </c>
      <c r="AT439" t="s">
        <v>7761</v>
      </c>
      <c r="AU439">
        <v>2023</v>
      </c>
      <c r="AV439" t="s">
        <v>74</v>
      </c>
      <c r="AW439" t="s">
        <v>74</v>
      </c>
      <c r="AX439" t="s">
        <v>74</v>
      </c>
      <c r="AY439" t="s">
        <v>74</v>
      </c>
      <c r="AZ439" t="s">
        <v>74</v>
      </c>
      <c r="BA439" t="s">
        <v>74</v>
      </c>
      <c r="BB439" t="s">
        <v>74</v>
      </c>
      <c r="BC439" t="s">
        <v>74</v>
      </c>
      <c r="BD439">
        <v>2254205</v>
      </c>
      <c r="BE439" t="s">
        <v>7800</v>
      </c>
      <c r="BF439" t="str">
        <f>HYPERLINK("http://dx.doi.org/10.1080/09291016.2023.2254205","http://dx.doi.org/10.1080/09291016.2023.2254205")</f>
        <v>http://dx.doi.org/10.1080/09291016.2023.2254205</v>
      </c>
      <c r="BG439" t="s">
        <v>74</v>
      </c>
      <c r="BH439" t="s">
        <v>5545</v>
      </c>
      <c r="BI439">
        <v>15</v>
      </c>
      <c r="BJ439" t="s">
        <v>7801</v>
      </c>
      <c r="BK439" t="s">
        <v>102</v>
      </c>
      <c r="BL439" t="s">
        <v>7802</v>
      </c>
      <c r="BM439" t="s">
        <v>7803</v>
      </c>
      <c r="BN439" t="s">
        <v>74</v>
      </c>
      <c r="BO439" t="s">
        <v>887</v>
      </c>
      <c r="BP439" t="s">
        <v>74</v>
      </c>
      <c r="BQ439" t="s">
        <v>74</v>
      </c>
      <c r="BR439" t="s">
        <v>105</v>
      </c>
      <c r="BS439" t="s">
        <v>7804</v>
      </c>
      <c r="BT439" t="str">
        <f>HYPERLINK("https%3A%2F%2Fwww.webofscience.com%2Fwos%2Fwoscc%2Ffull-record%2FWOS:001061823500001","View Full Record in Web of Science")</f>
        <v>View Full Record in Web of Science</v>
      </c>
    </row>
    <row r="440" spans="1:72" x14ac:dyDescent="0.15">
      <c r="A440" t="s">
        <v>72</v>
      </c>
      <c r="B440" t="s">
        <v>7805</v>
      </c>
      <c r="C440" t="s">
        <v>74</v>
      </c>
      <c r="D440" t="s">
        <v>74</v>
      </c>
      <c r="E440" t="s">
        <v>74</v>
      </c>
      <c r="F440" t="s">
        <v>7806</v>
      </c>
      <c r="G440" t="s">
        <v>74</v>
      </c>
      <c r="H440" t="s">
        <v>74</v>
      </c>
      <c r="I440" t="s">
        <v>7807</v>
      </c>
      <c r="J440" t="s">
        <v>7808</v>
      </c>
      <c r="K440" t="s">
        <v>74</v>
      </c>
      <c r="L440" t="s">
        <v>74</v>
      </c>
      <c r="M440" t="s">
        <v>78</v>
      </c>
      <c r="N440" t="s">
        <v>5492</v>
      </c>
      <c r="O440" t="s">
        <v>74</v>
      </c>
      <c r="P440" t="s">
        <v>74</v>
      </c>
      <c r="Q440" t="s">
        <v>74</v>
      </c>
      <c r="R440" t="s">
        <v>74</v>
      </c>
      <c r="S440" t="s">
        <v>74</v>
      </c>
      <c r="T440" t="s">
        <v>7809</v>
      </c>
      <c r="U440" t="s">
        <v>7810</v>
      </c>
      <c r="V440" t="s">
        <v>7811</v>
      </c>
      <c r="W440" t="s">
        <v>7812</v>
      </c>
      <c r="X440" t="s">
        <v>7813</v>
      </c>
      <c r="Y440" t="s">
        <v>7814</v>
      </c>
      <c r="Z440" t="s">
        <v>7815</v>
      </c>
      <c r="AA440" t="s">
        <v>7816</v>
      </c>
      <c r="AB440" t="s">
        <v>7817</v>
      </c>
      <c r="AC440" t="s">
        <v>7818</v>
      </c>
      <c r="AD440" t="s">
        <v>7818</v>
      </c>
      <c r="AE440" t="s">
        <v>7818</v>
      </c>
      <c r="AF440" t="s">
        <v>74</v>
      </c>
      <c r="AG440">
        <v>46</v>
      </c>
      <c r="AH440">
        <v>0</v>
      </c>
      <c r="AI440">
        <v>0</v>
      </c>
      <c r="AJ440">
        <v>0</v>
      </c>
      <c r="AK440">
        <v>0</v>
      </c>
      <c r="AL440" t="s">
        <v>92</v>
      </c>
      <c r="AM440" t="s">
        <v>93</v>
      </c>
      <c r="AN440" t="s">
        <v>94</v>
      </c>
      <c r="AO440" t="s">
        <v>7819</v>
      </c>
      <c r="AP440" t="s">
        <v>7820</v>
      </c>
      <c r="AQ440" t="s">
        <v>74</v>
      </c>
      <c r="AR440" t="s">
        <v>7821</v>
      </c>
      <c r="AS440" t="s">
        <v>7822</v>
      </c>
      <c r="AT440" t="s">
        <v>7761</v>
      </c>
      <c r="AU440">
        <v>2023</v>
      </c>
      <c r="AV440" t="s">
        <v>74</v>
      </c>
      <c r="AW440" t="s">
        <v>74</v>
      </c>
      <c r="AX440" t="s">
        <v>74</v>
      </c>
      <c r="AY440" t="s">
        <v>74</v>
      </c>
      <c r="AZ440" t="s">
        <v>74</v>
      </c>
      <c r="BA440" t="s">
        <v>74</v>
      </c>
      <c r="BB440" t="s">
        <v>74</v>
      </c>
      <c r="BC440" t="s">
        <v>74</v>
      </c>
      <c r="BD440" t="s">
        <v>74</v>
      </c>
      <c r="BE440" t="s">
        <v>7823</v>
      </c>
      <c r="BF440" t="str">
        <f>HYPERLINK("http://dx.doi.org/10.1080/11038128.2023.2249959","http://dx.doi.org/10.1080/11038128.2023.2249959")</f>
        <v>http://dx.doi.org/10.1080/11038128.2023.2249959</v>
      </c>
      <c r="BG440" t="s">
        <v>74</v>
      </c>
      <c r="BH440" t="s">
        <v>5545</v>
      </c>
      <c r="BI440">
        <v>11</v>
      </c>
      <c r="BJ440" t="s">
        <v>7824</v>
      </c>
      <c r="BK440" t="s">
        <v>123</v>
      </c>
      <c r="BL440" t="s">
        <v>7824</v>
      </c>
      <c r="BM440" t="s">
        <v>7825</v>
      </c>
      <c r="BN440">
        <v>37677079</v>
      </c>
      <c r="BO440" t="s">
        <v>74</v>
      </c>
      <c r="BP440" t="s">
        <v>74</v>
      </c>
      <c r="BQ440" t="s">
        <v>74</v>
      </c>
      <c r="BR440" t="s">
        <v>105</v>
      </c>
      <c r="BS440" t="s">
        <v>7826</v>
      </c>
      <c r="BT440" t="str">
        <f>HYPERLINK("https%3A%2F%2Fwww.webofscience.com%2Fwos%2Fwoscc%2Ffull-record%2FWOS:001060323700001","View Full Record in Web of Science")</f>
        <v>View Full Record in Web of Science</v>
      </c>
    </row>
    <row r="441" spans="1:72" x14ac:dyDescent="0.15">
      <c r="A441" t="s">
        <v>72</v>
      </c>
      <c r="B441" t="s">
        <v>7827</v>
      </c>
      <c r="C441" t="s">
        <v>74</v>
      </c>
      <c r="D441" t="s">
        <v>74</v>
      </c>
      <c r="E441" t="s">
        <v>74</v>
      </c>
      <c r="F441" t="s">
        <v>7828</v>
      </c>
      <c r="G441" t="s">
        <v>74</v>
      </c>
      <c r="H441" t="s">
        <v>74</v>
      </c>
      <c r="I441" t="s">
        <v>7829</v>
      </c>
      <c r="J441" t="s">
        <v>7830</v>
      </c>
      <c r="K441" t="s">
        <v>74</v>
      </c>
      <c r="L441" t="s">
        <v>74</v>
      </c>
      <c r="M441" t="s">
        <v>78</v>
      </c>
      <c r="N441" t="s">
        <v>79</v>
      </c>
      <c r="O441" t="s">
        <v>74</v>
      </c>
      <c r="P441" t="s">
        <v>74</v>
      </c>
      <c r="Q441" t="s">
        <v>74</v>
      </c>
      <c r="R441" t="s">
        <v>74</v>
      </c>
      <c r="S441" t="s">
        <v>74</v>
      </c>
      <c r="T441" t="s">
        <v>7831</v>
      </c>
      <c r="U441" t="s">
        <v>7832</v>
      </c>
      <c r="V441" t="s">
        <v>7833</v>
      </c>
      <c r="W441" t="s">
        <v>7834</v>
      </c>
      <c r="X441" t="s">
        <v>7835</v>
      </c>
      <c r="Y441" t="s">
        <v>7836</v>
      </c>
      <c r="Z441" t="s">
        <v>7837</v>
      </c>
      <c r="AA441" t="s">
        <v>74</v>
      </c>
      <c r="AB441" t="s">
        <v>74</v>
      </c>
      <c r="AC441" t="s">
        <v>7838</v>
      </c>
      <c r="AD441" t="s">
        <v>7839</v>
      </c>
      <c r="AE441" t="s">
        <v>7840</v>
      </c>
      <c r="AF441" t="s">
        <v>74</v>
      </c>
      <c r="AG441">
        <v>58</v>
      </c>
      <c r="AH441">
        <v>0</v>
      </c>
      <c r="AI441">
        <v>0</v>
      </c>
      <c r="AJ441">
        <v>5</v>
      </c>
      <c r="AK441">
        <v>5</v>
      </c>
      <c r="AL441" t="s">
        <v>184</v>
      </c>
      <c r="AM441" t="s">
        <v>185</v>
      </c>
      <c r="AN441" t="s">
        <v>186</v>
      </c>
      <c r="AO441" t="s">
        <v>7841</v>
      </c>
      <c r="AP441" t="s">
        <v>7842</v>
      </c>
      <c r="AQ441" t="s">
        <v>74</v>
      </c>
      <c r="AR441" t="s">
        <v>7843</v>
      </c>
      <c r="AS441" t="s">
        <v>7844</v>
      </c>
      <c r="AT441" t="s">
        <v>7845</v>
      </c>
      <c r="AU441">
        <v>2023</v>
      </c>
      <c r="AV441">
        <v>34</v>
      </c>
      <c r="AW441" t="s">
        <v>7846</v>
      </c>
      <c r="AX441" t="s">
        <v>74</v>
      </c>
      <c r="AY441" t="s">
        <v>74</v>
      </c>
      <c r="AZ441" t="s">
        <v>5344</v>
      </c>
      <c r="BA441" t="s">
        <v>74</v>
      </c>
      <c r="BB441">
        <v>154</v>
      </c>
      <c r="BC441">
        <v>168</v>
      </c>
      <c r="BD441" t="s">
        <v>74</v>
      </c>
      <c r="BE441" t="s">
        <v>7847</v>
      </c>
      <c r="BF441" t="str">
        <f>HYPERLINK("http://dx.doi.org/10.1080/09349847.2023.2250281","http://dx.doi.org/10.1080/09349847.2023.2250281")</f>
        <v>http://dx.doi.org/10.1080/09349847.2023.2250281</v>
      </c>
      <c r="BG441" t="s">
        <v>74</v>
      </c>
      <c r="BH441" t="s">
        <v>5545</v>
      </c>
      <c r="BI441">
        <v>15</v>
      </c>
      <c r="BJ441" t="s">
        <v>6852</v>
      </c>
      <c r="BK441" t="s">
        <v>102</v>
      </c>
      <c r="BL441" t="s">
        <v>1594</v>
      </c>
      <c r="BM441" t="s">
        <v>7848</v>
      </c>
      <c r="BN441" t="s">
        <v>74</v>
      </c>
      <c r="BO441" t="s">
        <v>74</v>
      </c>
      <c r="BP441" t="s">
        <v>74</v>
      </c>
      <c r="BQ441" t="s">
        <v>74</v>
      </c>
      <c r="BR441" t="s">
        <v>105</v>
      </c>
      <c r="BS441" t="s">
        <v>7849</v>
      </c>
      <c r="BT441" t="str">
        <f>HYPERLINK("https%3A%2F%2Fwww.webofscience.com%2Fwos%2Fwoscc%2Ffull-record%2FWOS:001058857800001","View Full Record in Web of Science")</f>
        <v>View Full Record in Web of Science</v>
      </c>
    </row>
    <row r="442" spans="1:72" x14ac:dyDescent="0.15">
      <c r="A442" t="s">
        <v>72</v>
      </c>
      <c r="B442" t="s">
        <v>7850</v>
      </c>
      <c r="C442" t="s">
        <v>74</v>
      </c>
      <c r="D442" t="s">
        <v>74</v>
      </c>
      <c r="E442" t="s">
        <v>74</v>
      </c>
      <c r="F442" t="s">
        <v>7851</v>
      </c>
      <c r="G442" t="s">
        <v>74</v>
      </c>
      <c r="H442" t="s">
        <v>74</v>
      </c>
      <c r="I442" t="s">
        <v>7852</v>
      </c>
      <c r="J442" t="s">
        <v>7853</v>
      </c>
      <c r="K442" t="s">
        <v>74</v>
      </c>
      <c r="L442" t="s">
        <v>74</v>
      </c>
      <c r="M442" t="s">
        <v>78</v>
      </c>
      <c r="N442" t="s">
        <v>5492</v>
      </c>
      <c r="O442" t="s">
        <v>74</v>
      </c>
      <c r="P442" t="s">
        <v>74</v>
      </c>
      <c r="Q442" t="s">
        <v>74</v>
      </c>
      <c r="R442" t="s">
        <v>74</v>
      </c>
      <c r="S442" t="s">
        <v>74</v>
      </c>
      <c r="T442" t="s">
        <v>7854</v>
      </c>
      <c r="U442" t="s">
        <v>7855</v>
      </c>
      <c r="V442" t="s">
        <v>7856</v>
      </c>
      <c r="W442" t="s">
        <v>7857</v>
      </c>
      <c r="X442" t="s">
        <v>7858</v>
      </c>
      <c r="Y442" t="s">
        <v>7859</v>
      </c>
      <c r="Z442" t="s">
        <v>7860</v>
      </c>
      <c r="AA442" t="s">
        <v>7861</v>
      </c>
      <c r="AB442" t="s">
        <v>74</v>
      </c>
      <c r="AC442" t="s">
        <v>7862</v>
      </c>
      <c r="AD442" t="s">
        <v>7863</v>
      </c>
      <c r="AE442" t="s">
        <v>7864</v>
      </c>
      <c r="AF442" t="s">
        <v>74</v>
      </c>
      <c r="AG442">
        <v>39</v>
      </c>
      <c r="AH442">
        <v>0</v>
      </c>
      <c r="AI442">
        <v>0</v>
      </c>
      <c r="AJ442">
        <v>7</v>
      </c>
      <c r="AK442">
        <v>7</v>
      </c>
      <c r="AL442" t="s">
        <v>1188</v>
      </c>
      <c r="AM442" t="s">
        <v>93</v>
      </c>
      <c r="AN442" t="s">
        <v>1189</v>
      </c>
      <c r="AO442" t="s">
        <v>7865</v>
      </c>
      <c r="AP442" t="s">
        <v>7866</v>
      </c>
      <c r="AQ442" t="s">
        <v>74</v>
      </c>
      <c r="AR442" t="s">
        <v>7867</v>
      </c>
      <c r="AS442" t="s">
        <v>7868</v>
      </c>
      <c r="AT442" t="s">
        <v>7761</v>
      </c>
      <c r="AU442">
        <v>2023</v>
      </c>
      <c r="AV442" t="s">
        <v>74</v>
      </c>
      <c r="AW442" t="s">
        <v>74</v>
      </c>
      <c r="AX442" t="s">
        <v>74</v>
      </c>
      <c r="AY442" t="s">
        <v>74</v>
      </c>
      <c r="AZ442" t="s">
        <v>74</v>
      </c>
      <c r="BA442" t="s">
        <v>74</v>
      </c>
      <c r="BB442" t="s">
        <v>74</v>
      </c>
      <c r="BC442" t="s">
        <v>74</v>
      </c>
      <c r="BD442" t="s">
        <v>74</v>
      </c>
      <c r="BE442" t="s">
        <v>7869</v>
      </c>
      <c r="BF442" t="str">
        <f>HYPERLINK("http://dx.doi.org/10.1080/14703297.2023.2254275","http://dx.doi.org/10.1080/14703297.2023.2254275")</f>
        <v>http://dx.doi.org/10.1080/14703297.2023.2254275</v>
      </c>
      <c r="BG442" t="s">
        <v>74</v>
      </c>
      <c r="BH442" t="s">
        <v>5545</v>
      </c>
      <c r="BI442">
        <v>17</v>
      </c>
      <c r="BJ442" t="s">
        <v>271</v>
      </c>
      <c r="BK442" t="s">
        <v>272</v>
      </c>
      <c r="BL442" t="s">
        <v>271</v>
      </c>
      <c r="BM442" t="s">
        <v>7870</v>
      </c>
      <c r="BN442" t="s">
        <v>74</v>
      </c>
      <c r="BO442" t="s">
        <v>74</v>
      </c>
      <c r="BP442" t="s">
        <v>74</v>
      </c>
      <c r="BQ442" t="s">
        <v>74</v>
      </c>
      <c r="BR442" t="s">
        <v>105</v>
      </c>
      <c r="BS442" t="s">
        <v>7871</v>
      </c>
      <c r="BT442" t="str">
        <f>HYPERLINK("https%3A%2F%2Fwww.webofscience.com%2Fwos%2Fwoscc%2Ffull-record%2FWOS:001058212800001","View Full Record in Web of Science")</f>
        <v>View Full Record in Web of Science</v>
      </c>
    </row>
    <row r="443" spans="1:72" x14ac:dyDescent="0.15">
      <c r="A443" t="s">
        <v>72</v>
      </c>
      <c r="B443" t="s">
        <v>7872</v>
      </c>
      <c r="C443" t="s">
        <v>74</v>
      </c>
      <c r="D443" t="s">
        <v>74</v>
      </c>
      <c r="E443" t="s">
        <v>74</v>
      </c>
      <c r="F443" t="s">
        <v>7873</v>
      </c>
      <c r="G443" t="s">
        <v>74</v>
      </c>
      <c r="H443" t="s">
        <v>74</v>
      </c>
      <c r="I443" t="s">
        <v>7874</v>
      </c>
      <c r="J443" t="s">
        <v>7875</v>
      </c>
      <c r="K443" t="s">
        <v>74</v>
      </c>
      <c r="L443" t="s">
        <v>74</v>
      </c>
      <c r="M443" t="s">
        <v>78</v>
      </c>
      <c r="N443" t="s">
        <v>5492</v>
      </c>
      <c r="O443" t="s">
        <v>74</v>
      </c>
      <c r="P443" t="s">
        <v>74</v>
      </c>
      <c r="Q443" t="s">
        <v>74</v>
      </c>
      <c r="R443" t="s">
        <v>74</v>
      </c>
      <c r="S443" t="s">
        <v>74</v>
      </c>
      <c r="T443" t="s">
        <v>7876</v>
      </c>
      <c r="U443" t="s">
        <v>7877</v>
      </c>
      <c r="V443" t="s">
        <v>7878</v>
      </c>
      <c r="W443" t="s">
        <v>7879</v>
      </c>
      <c r="X443" t="s">
        <v>7880</v>
      </c>
      <c r="Y443" t="s">
        <v>7881</v>
      </c>
      <c r="Z443" t="s">
        <v>7882</v>
      </c>
      <c r="AA443" t="s">
        <v>7883</v>
      </c>
      <c r="AB443" t="s">
        <v>7884</v>
      </c>
      <c r="AC443" t="s">
        <v>74</v>
      </c>
      <c r="AD443" t="s">
        <v>74</v>
      </c>
      <c r="AE443" t="s">
        <v>74</v>
      </c>
      <c r="AF443" t="s">
        <v>74</v>
      </c>
      <c r="AG443">
        <v>74</v>
      </c>
      <c r="AH443">
        <v>0</v>
      </c>
      <c r="AI443">
        <v>0</v>
      </c>
      <c r="AJ443">
        <v>1</v>
      </c>
      <c r="AK443">
        <v>1</v>
      </c>
      <c r="AL443" t="s">
        <v>184</v>
      </c>
      <c r="AM443" t="s">
        <v>185</v>
      </c>
      <c r="AN443" t="s">
        <v>186</v>
      </c>
      <c r="AO443" t="s">
        <v>7885</v>
      </c>
      <c r="AP443" t="s">
        <v>7886</v>
      </c>
      <c r="AQ443" t="s">
        <v>74</v>
      </c>
      <c r="AR443" t="s">
        <v>7887</v>
      </c>
      <c r="AS443" t="s">
        <v>7888</v>
      </c>
      <c r="AT443" t="s">
        <v>7761</v>
      </c>
      <c r="AU443">
        <v>2023</v>
      </c>
      <c r="AV443" t="s">
        <v>74</v>
      </c>
      <c r="AW443" t="s">
        <v>74</v>
      </c>
      <c r="AX443" t="s">
        <v>74</v>
      </c>
      <c r="AY443" t="s">
        <v>74</v>
      </c>
      <c r="AZ443" t="s">
        <v>74</v>
      </c>
      <c r="BA443" t="s">
        <v>74</v>
      </c>
      <c r="BB443" t="s">
        <v>74</v>
      </c>
      <c r="BC443" t="s">
        <v>74</v>
      </c>
      <c r="BD443" t="s">
        <v>74</v>
      </c>
      <c r="BE443" t="s">
        <v>7889</v>
      </c>
      <c r="BF443" t="str">
        <f>HYPERLINK("http://dx.doi.org/10.1080/00103624.2023.2254835","http://dx.doi.org/10.1080/00103624.2023.2254835")</f>
        <v>http://dx.doi.org/10.1080/00103624.2023.2254835</v>
      </c>
      <c r="BG443" t="s">
        <v>74</v>
      </c>
      <c r="BH443" t="s">
        <v>5545</v>
      </c>
      <c r="BI443">
        <v>10</v>
      </c>
      <c r="BJ443" t="s">
        <v>7890</v>
      </c>
      <c r="BK443" t="s">
        <v>102</v>
      </c>
      <c r="BL443" t="s">
        <v>7891</v>
      </c>
      <c r="BM443" t="s">
        <v>7892</v>
      </c>
      <c r="BN443" t="s">
        <v>74</v>
      </c>
      <c r="BO443" t="s">
        <v>74</v>
      </c>
      <c r="BP443" t="s">
        <v>74</v>
      </c>
      <c r="BQ443" t="s">
        <v>74</v>
      </c>
      <c r="BR443" t="s">
        <v>105</v>
      </c>
      <c r="BS443" t="s">
        <v>7893</v>
      </c>
      <c r="BT443" t="str">
        <f>HYPERLINK("https%3A%2F%2Fwww.webofscience.com%2Fwos%2Fwoscc%2Ffull-record%2FWOS:001062575900001","View Full Record in Web of Science")</f>
        <v>View Full Record in Web of Science</v>
      </c>
    </row>
    <row r="444" spans="1:72" x14ac:dyDescent="0.15">
      <c r="A444" t="s">
        <v>72</v>
      </c>
      <c r="B444" t="s">
        <v>7894</v>
      </c>
      <c r="C444" t="s">
        <v>74</v>
      </c>
      <c r="D444" t="s">
        <v>74</v>
      </c>
      <c r="E444" t="s">
        <v>74</v>
      </c>
      <c r="F444" t="s">
        <v>7895</v>
      </c>
      <c r="G444" t="s">
        <v>74</v>
      </c>
      <c r="H444" t="s">
        <v>74</v>
      </c>
      <c r="I444" t="s">
        <v>7896</v>
      </c>
      <c r="J444" t="s">
        <v>7897</v>
      </c>
      <c r="K444" t="s">
        <v>74</v>
      </c>
      <c r="L444" t="s">
        <v>74</v>
      </c>
      <c r="M444" t="s">
        <v>78</v>
      </c>
      <c r="N444" t="s">
        <v>5492</v>
      </c>
      <c r="O444" t="s">
        <v>74</v>
      </c>
      <c r="P444" t="s">
        <v>74</v>
      </c>
      <c r="Q444" t="s">
        <v>74</v>
      </c>
      <c r="R444" t="s">
        <v>74</v>
      </c>
      <c r="S444" t="s">
        <v>74</v>
      </c>
      <c r="T444" t="s">
        <v>7898</v>
      </c>
      <c r="U444" t="s">
        <v>7899</v>
      </c>
      <c r="V444" t="s">
        <v>7900</v>
      </c>
      <c r="W444" t="s">
        <v>7901</v>
      </c>
      <c r="X444" t="s">
        <v>7902</v>
      </c>
      <c r="Y444" t="s">
        <v>7903</v>
      </c>
      <c r="Z444" t="s">
        <v>7904</v>
      </c>
      <c r="AA444" t="s">
        <v>74</v>
      </c>
      <c r="AB444" t="s">
        <v>74</v>
      </c>
      <c r="AC444" t="s">
        <v>7905</v>
      </c>
      <c r="AD444" t="s">
        <v>7905</v>
      </c>
      <c r="AE444" t="s">
        <v>7905</v>
      </c>
      <c r="AF444" t="s">
        <v>74</v>
      </c>
      <c r="AG444">
        <v>65</v>
      </c>
      <c r="AH444">
        <v>0</v>
      </c>
      <c r="AI444">
        <v>0</v>
      </c>
      <c r="AJ444">
        <v>3</v>
      </c>
      <c r="AK444">
        <v>3</v>
      </c>
      <c r="AL444" t="s">
        <v>1188</v>
      </c>
      <c r="AM444" t="s">
        <v>93</v>
      </c>
      <c r="AN444" t="s">
        <v>1189</v>
      </c>
      <c r="AO444" t="s">
        <v>7906</v>
      </c>
      <c r="AP444" t="s">
        <v>7907</v>
      </c>
      <c r="AQ444" t="s">
        <v>74</v>
      </c>
      <c r="AR444" t="s">
        <v>7908</v>
      </c>
      <c r="AS444" t="s">
        <v>7909</v>
      </c>
      <c r="AT444" t="s">
        <v>7761</v>
      </c>
      <c r="AU444">
        <v>2023</v>
      </c>
      <c r="AV444" t="s">
        <v>74</v>
      </c>
      <c r="AW444" t="s">
        <v>74</v>
      </c>
      <c r="AX444" t="s">
        <v>74</v>
      </c>
      <c r="AY444" t="s">
        <v>74</v>
      </c>
      <c r="AZ444" t="s">
        <v>74</v>
      </c>
      <c r="BA444" t="s">
        <v>74</v>
      </c>
      <c r="BB444" t="s">
        <v>74</v>
      </c>
      <c r="BC444" t="s">
        <v>74</v>
      </c>
      <c r="BD444" t="s">
        <v>74</v>
      </c>
      <c r="BE444" t="s">
        <v>7910</v>
      </c>
      <c r="BF444" t="str">
        <f>HYPERLINK("http://dx.doi.org/10.1080/10714421.2023.2254173","http://dx.doi.org/10.1080/10714421.2023.2254173")</f>
        <v>http://dx.doi.org/10.1080/10714421.2023.2254173</v>
      </c>
      <c r="BG444" t="s">
        <v>74</v>
      </c>
      <c r="BH444" t="s">
        <v>5545</v>
      </c>
      <c r="BI444">
        <v>24</v>
      </c>
      <c r="BJ444" t="s">
        <v>7911</v>
      </c>
      <c r="BK444" t="s">
        <v>211</v>
      </c>
      <c r="BL444" t="s">
        <v>7911</v>
      </c>
      <c r="BM444" t="s">
        <v>7912</v>
      </c>
      <c r="BN444" t="s">
        <v>74</v>
      </c>
      <c r="BO444" t="s">
        <v>887</v>
      </c>
      <c r="BP444" t="s">
        <v>74</v>
      </c>
      <c r="BQ444" t="s">
        <v>74</v>
      </c>
      <c r="BR444" t="s">
        <v>105</v>
      </c>
      <c r="BS444" t="s">
        <v>7913</v>
      </c>
      <c r="BT444" t="str">
        <f>HYPERLINK("https%3A%2F%2Fwww.webofscience.com%2Fwos%2Fwoscc%2Ffull-record%2FWOS:001058163000001","View Full Record in Web of Science")</f>
        <v>View Full Record in Web of Science</v>
      </c>
    </row>
    <row r="445" spans="1:72" x14ac:dyDescent="0.15">
      <c r="A445" t="s">
        <v>72</v>
      </c>
      <c r="B445" t="s">
        <v>7914</v>
      </c>
      <c r="C445" t="s">
        <v>74</v>
      </c>
      <c r="D445" t="s">
        <v>74</v>
      </c>
      <c r="E445" t="s">
        <v>74</v>
      </c>
      <c r="F445" t="s">
        <v>7915</v>
      </c>
      <c r="G445" t="s">
        <v>74</v>
      </c>
      <c r="H445" t="s">
        <v>74</v>
      </c>
      <c r="I445" t="s">
        <v>7916</v>
      </c>
      <c r="J445" t="s">
        <v>7917</v>
      </c>
      <c r="K445" t="s">
        <v>74</v>
      </c>
      <c r="L445" t="s">
        <v>74</v>
      </c>
      <c r="M445" t="s">
        <v>78</v>
      </c>
      <c r="N445" t="s">
        <v>6253</v>
      </c>
      <c r="O445" t="s">
        <v>74</v>
      </c>
      <c r="P445" t="s">
        <v>74</v>
      </c>
      <c r="Q445" t="s">
        <v>74</v>
      </c>
      <c r="R445" t="s">
        <v>74</v>
      </c>
      <c r="S445" t="s">
        <v>74</v>
      </c>
      <c r="T445" t="s">
        <v>74</v>
      </c>
      <c r="U445" t="s">
        <v>74</v>
      </c>
      <c r="V445" t="s">
        <v>74</v>
      </c>
      <c r="W445" t="s">
        <v>7918</v>
      </c>
      <c r="X445" t="s">
        <v>7919</v>
      </c>
      <c r="Y445" t="s">
        <v>7920</v>
      </c>
      <c r="Z445" t="s">
        <v>74</v>
      </c>
      <c r="AA445" t="s">
        <v>74</v>
      </c>
      <c r="AB445" t="s">
        <v>74</v>
      </c>
      <c r="AC445" t="s">
        <v>74</v>
      </c>
      <c r="AD445" t="s">
        <v>74</v>
      </c>
      <c r="AE445" t="s">
        <v>74</v>
      </c>
      <c r="AF445" t="s">
        <v>74</v>
      </c>
      <c r="AG445">
        <v>1</v>
      </c>
      <c r="AH445">
        <v>0</v>
      </c>
      <c r="AI445">
        <v>0</v>
      </c>
      <c r="AJ445">
        <v>0</v>
      </c>
      <c r="AK445">
        <v>0</v>
      </c>
      <c r="AL445" t="s">
        <v>1188</v>
      </c>
      <c r="AM445" t="s">
        <v>93</v>
      </c>
      <c r="AN445" t="s">
        <v>1189</v>
      </c>
      <c r="AO445" t="s">
        <v>7921</v>
      </c>
      <c r="AP445" t="s">
        <v>7922</v>
      </c>
      <c r="AQ445" t="s">
        <v>74</v>
      </c>
      <c r="AR445" t="s">
        <v>7923</v>
      </c>
      <c r="AS445" t="s">
        <v>7924</v>
      </c>
      <c r="AT445" t="s">
        <v>7761</v>
      </c>
      <c r="AU445">
        <v>2023</v>
      </c>
      <c r="AV445" t="s">
        <v>74</v>
      </c>
      <c r="AW445" t="s">
        <v>74</v>
      </c>
      <c r="AX445" t="s">
        <v>74</v>
      </c>
      <c r="AY445" t="s">
        <v>74</v>
      </c>
      <c r="AZ445" t="s">
        <v>74</v>
      </c>
      <c r="BA445" t="s">
        <v>74</v>
      </c>
      <c r="BB445" t="s">
        <v>74</v>
      </c>
      <c r="BC445" t="s">
        <v>74</v>
      </c>
      <c r="BD445" t="s">
        <v>74</v>
      </c>
      <c r="BE445" t="s">
        <v>7925</v>
      </c>
      <c r="BF445" t="str">
        <f>HYPERLINK("http://dx.doi.org/10.1080/03068374.2023.2244273","http://dx.doi.org/10.1080/03068374.2023.2244273")</f>
        <v>http://dx.doi.org/10.1080/03068374.2023.2244273</v>
      </c>
      <c r="BG445" t="s">
        <v>74</v>
      </c>
      <c r="BH445" t="s">
        <v>5545</v>
      </c>
      <c r="BI445">
        <v>3</v>
      </c>
      <c r="BJ445" t="s">
        <v>5750</v>
      </c>
      <c r="BK445" t="s">
        <v>211</v>
      </c>
      <c r="BL445" t="s">
        <v>5750</v>
      </c>
      <c r="BM445" t="s">
        <v>7926</v>
      </c>
      <c r="BN445" t="s">
        <v>74</v>
      </c>
      <c r="BO445" t="s">
        <v>74</v>
      </c>
      <c r="BP445" t="s">
        <v>74</v>
      </c>
      <c r="BQ445" t="s">
        <v>74</v>
      </c>
      <c r="BR445" t="s">
        <v>105</v>
      </c>
      <c r="BS445" t="s">
        <v>7927</v>
      </c>
      <c r="BT445" t="str">
        <f>HYPERLINK("https%3A%2F%2Fwww.webofscience.com%2Fwos%2Fwoscc%2Ffull-record%2FWOS:001061812200001","View Full Record in Web of Science")</f>
        <v>View Full Record in Web of Science</v>
      </c>
    </row>
    <row r="446" spans="1:72" x14ac:dyDescent="0.15">
      <c r="A446" t="s">
        <v>72</v>
      </c>
      <c r="B446" t="s">
        <v>7928</v>
      </c>
      <c r="C446" t="s">
        <v>74</v>
      </c>
      <c r="D446" t="s">
        <v>74</v>
      </c>
      <c r="E446" t="s">
        <v>74</v>
      </c>
      <c r="F446" t="s">
        <v>7929</v>
      </c>
      <c r="G446" t="s">
        <v>74</v>
      </c>
      <c r="H446" t="s">
        <v>74</v>
      </c>
      <c r="I446" t="s">
        <v>7930</v>
      </c>
      <c r="J446" t="s">
        <v>7252</v>
      </c>
      <c r="K446" t="s">
        <v>74</v>
      </c>
      <c r="L446" t="s">
        <v>74</v>
      </c>
      <c r="M446" t="s">
        <v>78</v>
      </c>
      <c r="N446" t="s">
        <v>6922</v>
      </c>
      <c r="O446" t="s">
        <v>74</v>
      </c>
      <c r="P446" t="s">
        <v>74</v>
      </c>
      <c r="Q446" t="s">
        <v>74</v>
      </c>
      <c r="R446" t="s">
        <v>74</v>
      </c>
      <c r="S446" t="s">
        <v>74</v>
      </c>
      <c r="T446" t="s">
        <v>74</v>
      </c>
      <c r="U446" t="s">
        <v>74</v>
      </c>
      <c r="V446" t="s">
        <v>74</v>
      </c>
      <c r="W446" t="s">
        <v>74</v>
      </c>
      <c r="X446" t="s">
        <v>74</v>
      </c>
      <c r="Y446" t="s">
        <v>74</v>
      </c>
      <c r="Z446" t="s">
        <v>7931</v>
      </c>
      <c r="AA446" t="s">
        <v>74</v>
      </c>
      <c r="AB446" t="s">
        <v>74</v>
      </c>
      <c r="AC446" t="s">
        <v>74</v>
      </c>
      <c r="AD446" t="s">
        <v>74</v>
      </c>
      <c r="AE446" t="s">
        <v>74</v>
      </c>
      <c r="AF446" t="s">
        <v>74</v>
      </c>
      <c r="AG446">
        <v>0</v>
      </c>
      <c r="AH446">
        <v>0</v>
      </c>
      <c r="AI446">
        <v>0</v>
      </c>
      <c r="AJ446">
        <v>0</v>
      </c>
      <c r="AK446">
        <v>0</v>
      </c>
      <c r="AL446" t="s">
        <v>1188</v>
      </c>
      <c r="AM446" t="s">
        <v>93</v>
      </c>
      <c r="AN446" t="s">
        <v>1189</v>
      </c>
      <c r="AO446" t="s">
        <v>7263</v>
      </c>
      <c r="AP446" t="s">
        <v>7264</v>
      </c>
      <c r="AQ446" t="s">
        <v>74</v>
      </c>
      <c r="AR446" t="s">
        <v>7265</v>
      </c>
      <c r="AS446" t="s">
        <v>7266</v>
      </c>
      <c r="AT446" t="s">
        <v>7761</v>
      </c>
      <c r="AU446">
        <v>2023</v>
      </c>
      <c r="AV446" t="s">
        <v>74</v>
      </c>
      <c r="AW446" t="s">
        <v>74</v>
      </c>
      <c r="AX446" t="s">
        <v>74</v>
      </c>
      <c r="AY446" t="s">
        <v>74</v>
      </c>
      <c r="AZ446" t="s">
        <v>74</v>
      </c>
      <c r="BA446" t="s">
        <v>74</v>
      </c>
      <c r="BB446" t="s">
        <v>74</v>
      </c>
      <c r="BC446" t="s">
        <v>74</v>
      </c>
      <c r="BD446" t="s">
        <v>74</v>
      </c>
      <c r="BE446" t="s">
        <v>7932</v>
      </c>
      <c r="BF446" t="str">
        <f>HYPERLINK("http://dx.doi.org/10.1080/15575330.2023.2252636","http://dx.doi.org/10.1080/15575330.2023.2252636")</f>
        <v>http://dx.doi.org/10.1080/15575330.2023.2252636</v>
      </c>
      <c r="BG446" t="s">
        <v>74</v>
      </c>
      <c r="BH446" t="s">
        <v>5545</v>
      </c>
      <c r="BI446">
        <v>2</v>
      </c>
      <c r="BJ446" t="s">
        <v>7269</v>
      </c>
      <c r="BK446" t="s">
        <v>211</v>
      </c>
      <c r="BL446" t="s">
        <v>7269</v>
      </c>
      <c r="BM446" t="s">
        <v>7933</v>
      </c>
      <c r="BN446" t="s">
        <v>74</v>
      </c>
      <c r="BO446" t="s">
        <v>74</v>
      </c>
      <c r="BP446" t="s">
        <v>74</v>
      </c>
      <c r="BQ446" t="s">
        <v>74</v>
      </c>
      <c r="BR446" t="s">
        <v>105</v>
      </c>
      <c r="BS446" t="s">
        <v>7934</v>
      </c>
      <c r="BT446" t="str">
        <f>HYPERLINK("https%3A%2F%2Fwww.webofscience.com%2Fwos%2Fwoscc%2Ffull-record%2FWOS:001063185300001","View Full Record in Web of Science")</f>
        <v>View Full Record in Web of Science</v>
      </c>
    </row>
    <row r="447" spans="1:72" x14ac:dyDescent="0.15">
      <c r="A447" t="s">
        <v>72</v>
      </c>
      <c r="B447" t="s">
        <v>7935</v>
      </c>
      <c r="C447" t="s">
        <v>74</v>
      </c>
      <c r="D447" t="s">
        <v>74</v>
      </c>
      <c r="E447" t="s">
        <v>74</v>
      </c>
      <c r="F447" t="s">
        <v>7936</v>
      </c>
      <c r="G447" t="s">
        <v>74</v>
      </c>
      <c r="H447" t="s">
        <v>74</v>
      </c>
      <c r="I447" t="s">
        <v>7937</v>
      </c>
      <c r="J447" t="s">
        <v>6351</v>
      </c>
      <c r="K447" t="s">
        <v>74</v>
      </c>
      <c r="L447" t="s">
        <v>74</v>
      </c>
      <c r="M447" t="s">
        <v>78</v>
      </c>
      <c r="N447" t="s">
        <v>171</v>
      </c>
      <c r="O447" t="s">
        <v>74</v>
      </c>
      <c r="P447" t="s">
        <v>74</v>
      </c>
      <c r="Q447" t="s">
        <v>74</v>
      </c>
      <c r="R447" t="s">
        <v>74</v>
      </c>
      <c r="S447" t="s">
        <v>74</v>
      </c>
      <c r="T447" t="s">
        <v>7938</v>
      </c>
      <c r="U447" t="s">
        <v>7939</v>
      </c>
      <c r="V447" t="s">
        <v>7940</v>
      </c>
      <c r="W447" t="s">
        <v>7941</v>
      </c>
      <c r="X447" t="s">
        <v>7942</v>
      </c>
      <c r="Y447" t="s">
        <v>7943</v>
      </c>
      <c r="Z447" t="s">
        <v>7944</v>
      </c>
      <c r="AA447" t="s">
        <v>74</v>
      </c>
      <c r="AB447" t="s">
        <v>74</v>
      </c>
      <c r="AC447" t="s">
        <v>7945</v>
      </c>
      <c r="AD447" t="s">
        <v>7945</v>
      </c>
      <c r="AE447" t="s">
        <v>7945</v>
      </c>
      <c r="AF447" t="s">
        <v>74</v>
      </c>
      <c r="AG447">
        <v>90</v>
      </c>
      <c r="AH447">
        <v>0</v>
      </c>
      <c r="AI447">
        <v>0</v>
      </c>
      <c r="AJ447">
        <v>2</v>
      </c>
      <c r="AK447">
        <v>2</v>
      </c>
      <c r="AL447" t="s">
        <v>92</v>
      </c>
      <c r="AM447" t="s">
        <v>93</v>
      </c>
      <c r="AN447" t="s">
        <v>94</v>
      </c>
      <c r="AO447" t="s">
        <v>6359</v>
      </c>
      <c r="AP447" t="s">
        <v>6360</v>
      </c>
      <c r="AQ447" t="s">
        <v>74</v>
      </c>
      <c r="AR447" t="s">
        <v>6361</v>
      </c>
      <c r="AS447" t="s">
        <v>6362</v>
      </c>
      <c r="AT447" t="s">
        <v>7946</v>
      </c>
      <c r="AU447">
        <v>2023</v>
      </c>
      <c r="AV447">
        <v>21</v>
      </c>
      <c r="AW447">
        <v>9</v>
      </c>
      <c r="AX447" t="s">
        <v>74</v>
      </c>
      <c r="AY447" t="s">
        <v>74</v>
      </c>
      <c r="AZ447" t="s">
        <v>74</v>
      </c>
      <c r="BA447" t="s">
        <v>74</v>
      </c>
      <c r="BB447">
        <v>993</v>
      </c>
      <c r="BC447">
        <v>1009</v>
      </c>
      <c r="BD447" t="s">
        <v>74</v>
      </c>
      <c r="BE447" t="s">
        <v>7947</v>
      </c>
      <c r="BF447" t="str">
        <f>HYPERLINK("http://dx.doi.org/10.1080/14787210.2023.2254491","http://dx.doi.org/10.1080/14787210.2023.2254491")</f>
        <v>http://dx.doi.org/10.1080/14787210.2023.2254491</v>
      </c>
      <c r="BG447" t="s">
        <v>74</v>
      </c>
      <c r="BH447" t="s">
        <v>5545</v>
      </c>
      <c r="BI447">
        <v>17</v>
      </c>
      <c r="BJ447" t="s">
        <v>6364</v>
      </c>
      <c r="BK447" t="s">
        <v>102</v>
      </c>
      <c r="BL447" t="s">
        <v>6364</v>
      </c>
      <c r="BM447" t="s">
        <v>7948</v>
      </c>
      <c r="BN447">
        <v>37667876</v>
      </c>
      <c r="BO447" t="s">
        <v>74</v>
      </c>
      <c r="BP447" t="s">
        <v>74</v>
      </c>
      <c r="BQ447" t="s">
        <v>74</v>
      </c>
      <c r="BR447" t="s">
        <v>105</v>
      </c>
      <c r="BS447" t="s">
        <v>7949</v>
      </c>
      <c r="BT447" t="str">
        <f>HYPERLINK("https%3A%2F%2Fwww.webofscience.com%2Fwos%2Fwoscc%2Ffull-record%2FWOS:001058849400001","View Full Record in Web of Science")</f>
        <v>View Full Record in Web of Science</v>
      </c>
    </row>
    <row r="448" spans="1:72" x14ac:dyDescent="0.15">
      <c r="A448" t="s">
        <v>72</v>
      </c>
      <c r="B448" t="s">
        <v>7950</v>
      </c>
      <c r="C448" t="s">
        <v>74</v>
      </c>
      <c r="D448" t="s">
        <v>74</v>
      </c>
      <c r="E448" t="s">
        <v>74</v>
      </c>
      <c r="F448" t="s">
        <v>7951</v>
      </c>
      <c r="G448" t="s">
        <v>74</v>
      </c>
      <c r="H448" t="s">
        <v>74</v>
      </c>
      <c r="I448" t="s">
        <v>7952</v>
      </c>
      <c r="J448" t="s">
        <v>7953</v>
      </c>
      <c r="K448" t="s">
        <v>74</v>
      </c>
      <c r="L448" t="s">
        <v>74</v>
      </c>
      <c r="M448" t="s">
        <v>78</v>
      </c>
      <c r="N448" t="s">
        <v>5492</v>
      </c>
      <c r="O448" t="s">
        <v>74</v>
      </c>
      <c r="P448" t="s">
        <v>74</v>
      </c>
      <c r="Q448" t="s">
        <v>74</v>
      </c>
      <c r="R448" t="s">
        <v>74</v>
      </c>
      <c r="S448" t="s">
        <v>74</v>
      </c>
      <c r="T448" t="s">
        <v>74</v>
      </c>
      <c r="U448" t="s">
        <v>7954</v>
      </c>
      <c r="V448" t="s">
        <v>7955</v>
      </c>
      <c r="W448" t="s">
        <v>7956</v>
      </c>
      <c r="X448" t="s">
        <v>7957</v>
      </c>
      <c r="Y448" t="s">
        <v>7958</v>
      </c>
      <c r="Z448" t="s">
        <v>7959</v>
      </c>
      <c r="AA448" t="s">
        <v>74</v>
      </c>
      <c r="AB448" t="s">
        <v>74</v>
      </c>
      <c r="AC448" t="s">
        <v>74</v>
      </c>
      <c r="AD448" t="s">
        <v>74</v>
      </c>
      <c r="AE448" t="s">
        <v>74</v>
      </c>
      <c r="AF448" t="s">
        <v>74</v>
      </c>
      <c r="AG448">
        <v>53</v>
      </c>
      <c r="AH448">
        <v>0</v>
      </c>
      <c r="AI448">
        <v>0</v>
      </c>
      <c r="AJ448">
        <v>0</v>
      </c>
      <c r="AK448">
        <v>0</v>
      </c>
      <c r="AL448" t="s">
        <v>1188</v>
      </c>
      <c r="AM448" t="s">
        <v>93</v>
      </c>
      <c r="AN448" t="s">
        <v>1189</v>
      </c>
      <c r="AO448" t="s">
        <v>7960</v>
      </c>
      <c r="AP448" t="s">
        <v>7961</v>
      </c>
      <c r="AQ448" t="s">
        <v>74</v>
      </c>
      <c r="AR448" t="s">
        <v>7962</v>
      </c>
      <c r="AS448" t="s">
        <v>7963</v>
      </c>
      <c r="AT448" t="s">
        <v>7964</v>
      </c>
      <c r="AU448">
        <v>2023</v>
      </c>
      <c r="AV448" t="s">
        <v>74</v>
      </c>
      <c r="AW448" t="s">
        <v>74</v>
      </c>
      <c r="AX448" t="s">
        <v>74</v>
      </c>
      <c r="AY448" t="s">
        <v>74</v>
      </c>
      <c r="AZ448" t="s">
        <v>74</v>
      </c>
      <c r="BA448" t="s">
        <v>74</v>
      </c>
      <c r="BB448" t="s">
        <v>74</v>
      </c>
      <c r="BC448" t="s">
        <v>74</v>
      </c>
      <c r="BD448" t="s">
        <v>74</v>
      </c>
      <c r="BE448" t="s">
        <v>7965</v>
      </c>
      <c r="BF448" t="str">
        <f>HYPERLINK("http://dx.doi.org/10.1080/17430437.2023.2256269","http://dx.doi.org/10.1080/17430437.2023.2256269")</f>
        <v>http://dx.doi.org/10.1080/17430437.2023.2256269</v>
      </c>
      <c r="BG448" t="s">
        <v>74</v>
      </c>
      <c r="BH448" t="s">
        <v>5545</v>
      </c>
      <c r="BI448">
        <v>15</v>
      </c>
      <c r="BJ448" t="s">
        <v>7966</v>
      </c>
      <c r="BK448" t="s">
        <v>272</v>
      </c>
      <c r="BL448" t="s">
        <v>7967</v>
      </c>
      <c r="BM448" t="s">
        <v>7968</v>
      </c>
      <c r="BN448" t="s">
        <v>74</v>
      </c>
      <c r="BO448" t="s">
        <v>74</v>
      </c>
      <c r="BP448" t="s">
        <v>74</v>
      </c>
      <c r="BQ448" t="s">
        <v>74</v>
      </c>
      <c r="BR448" t="s">
        <v>105</v>
      </c>
      <c r="BS448" t="s">
        <v>7969</v>
      </c>
      <c r="BT448" t="str">
        <f>HYPERLINK("https%3A%2F%2Fwww.webofscience.com%2Fwos%2Fwoscc%2Ffull-record%2FWOS:001068504600001","View Full Record in Web of Science")</f>
        <v>View Full Record in Web of Science</v>
      </c>
    </row>
    <row r="449" spans="1:72" x14ac:dyDescent="0.15">
      <c r="A449" t="s">
        <v>72</v>
      </c>
      <c r="B449" t="s">
        <v>7970</v>
      </c>
      <c r="C449" t="s">
        <v>74</v>
      </c>
      <c r="D449" t="s">
        <v>74</v>
      </c>
      <c r="E449" t="s">
        <v>74</v>
      </c>
      <c r="F449" t="s">
        <v>7971</v>
      </c>
      <c r="G449" t="s">
        <v>74</v>
      </c>
      <c r="H449" t="s">
        <v>74</v>
      </c>
      <c r="I449" t="s">
        <v>7972</v>
      </c>
      <c r="J449" t="s">
        <v>6312</v>
      </c>
      <c r="K449" t="s">
        <v>74</v>
      </c>
      <c r="L449" t="s">
        <v>74</v>
      </c>
      <c r="M449" t="s">
        <v>78</v>
      </c>
      <c r="N449" t="s">
        <v>5492</v>
      </c>
      <c r="O449" t="s">
        <v>74</v>
      </c>
      <c r="P449" t="s">
        <v>74</v>
      </c>
      <c r="Q449" t="s">
        <v>74</v>
      </c>
      <c r="R449" t="s">
        <v>74</v>
      </c>
      <c r="S449" t="s">
        <v>74</v>
      </c>
      <c r="T449" t="s">
        <v>7973</v>
      </c>
      <c r="U449" t="s">
        <v>7974</v>
      </c>
      <c r="V449" t="s">
        <v>7975</v>
      </c>
      <c r="W449" t="s">
        <v>7976</v>
      </c>
      <c r="X449" t="s">
        <v>7977</v>
      </c>
      <c r="Y449" t="s">
        <v>7978</v>
      </c>
      <c r="Z449" t="s">
        <v>7979</v>
      </c>
      <c r="AA449" t="s">
        <v>74</v>
      </c>
      <c r="AB449" t="s">
        <v>74</v>
      </c>
      <c r="AC449" t="s">
        <v>7980</v>
      </c>
      <c r="AD449" t="s">
        <v>7980</v>
      </c>
      <c r="AE449" t="s">
        <v>7981</v>
      </c>
      <c r="AF449" t="s">
        <v>74</v>
      </c>
      <c r="AG449">
        <v>65</v>
      </c>
      <c r="AH449">
        <v>0</v>
      </c>
      <c r="AI449">
        <v>0</v>
      </c>
      <c r="AJ449">
        <v>0</v>
      </c>
      <c r="AK449">
        <v>0</v>
      </c>
      <c r="AL449" t="s">
        <v>1188</v>
      </c>
      <c r="AM449" t="s">
        <v>93</v>
      </c>
      <c r="AN449" t="s">
        <v>1189</v>
      </c>
      <c r="AO449" t="s">
        <v>6320</v>
      </c>
      <c r="AP449" t="s">
        <v>6321</v>
      </c>
      <c r="AQ449" t="s">
        <v>74</v>
      </c>
      <c r="AR449" t="s">
        <v>6322</v>
      </c>
      <c r="AS449" t="s">
        <v>6323</v>
      </c>
      <c r="AT449" t="s">
        <v>7964</v>
      </c>
      <c r="AU449">
        <v>2023</v>
      </c>
      <c r="AV449" t="s">
        <v>74</v>
      </c>
      <c r="AW449" t="s">
        <v>74</v>
      </c>
      <c r="AX449" t="s">
        <v>74</v>
      </c>
      <c r="AY449" t="s">
        <v>74</v>
      </c>
      <c r="AZ449" t="s">
        <v>74</v>
      </c>
      <c r="BA449" t="s">
        <v>74</v>
      </c>
      <c r="BB449" t="s">
        <v>74</v>
      </c>
      <c r="BC449" t="s">
        <v>74</v>
      </c>
      <c r="BD449">
        <v>2253553</v>
      </c>
      <c r="BE449" t="s">
        <v>7982</v>
      </c>
      <c r="BF449" t="str">
        <f>HYPERLINK("http://dx.doi.org/10.1080/23279095.2023.2253553","http://dx.doi.org/10.1080/23279095.2023.2253553")</f>
        <v>http://dx.doi.org/10.1080/23279095.2023.2253553</v>
      </c>
      <c r="BG449" t="s">
        <v>74</v>
      </c>
      <c r="BH449" t="s">
        <v>5545</v>
      </c>
      <c r="BI449">
        <v>13</v>
      </c>
      <c r="BJ449" t="s">
        <v>6325</v>
      </c>
      <c r="BK449" t="s">
        <v>102</v>
      </c>
      <c r="BL449" t="s">
        <v>6326</v>
      </c>
      <c r="BM449" t="s">
        <v>7983</v>
      </c>
      <c r="BN449">
        <v>37672478</v>
      </c>
      <c r="BO449" t="s">
        <v>887</v>
      </c>
      <c r="BP449" t="s">
        <v>74</v>
      </c>
      <c r="BQ449" t="s">
        <v>74</v>
      </c>
      <c r="BR449" t="s">
        <v>105</v>
      </c>
      <c r="BS449" t="s">
        <v>7984</v>
      </c>
      <c r="BT449" t="str">
        <f>HYPERLINK("https%3A%2F%2Fwww.webofscience.com%2Fwos%2Fwoscc%2Ffull-record%2FWOS:001059551200001","View Full Record in Web of Science")</f>
        <v>View Full Record in Web of Science</v>
      </c>
    </row>
    <row r="450" spans="1:72" x14ac:dyDescent="0.15">
      <c r="A450" t="s">
        <v>72</v>
      </c>
      <c r="B450" t="s">
        <v>7985</v>
      </c>
      <c r="C450" t="s">
        <v>74</v>
      </c>
      <c r="D450" t="s">
        <v>74</v>
      </c>
      <c r="E450" t="s">
        <v>74</v>
      </c>
      <c r="F450" t="s">
        <v>7986</v>
      </c>
      <c r="G450" t="s">
        <v>74</v>
      </c>
      <c r="H450" t="s">
        <v>74</v>
      </c>
      <c r="I450" t="s">
        <v>7987</v>
      </c>
      <c r="J450" t="s">
        <v>7988</v>
      </c>
      <c r="K450" t="s">
        <v>74</v>
      </c>
      <c r="L450" t="s">
        <v>74</v>
      </c>
      <c r="M450" t="s">
        <v>78</v>
      </c>
      <c r="N450" t="s">
        <v>5492</v>
      </c>
      <c r="O450" t="s">
        <v>74</v>
      </c>
      <c r="P450" t="s">
        <v>74</v>
      </c>
      <c r="Q450" t="s">
        <v>74</v>
      </c>
      <c r="R450" t="s">
        <v>74</v>
      </c>
      <c r="S450" t="s">
        <v>74</v>
      </c>
      <c r="T450" t="s">
        <v>7989</v>
      </c>
      <c r="U450" t="s">
        <v>7990</v>
      </c>
      <c r="V450" t="s">
        <v>7991</v>
      </c>
      <c r="W450" t="s">
        <v>7992</v>
      </c>
      <c r="X450" t="s">
        <v>7993</v>
      </c>
      <c r="Y450" t="s">
        <v>7994</v>
      </c>
      <c r="Z450" t="s">
        <v>7995</v>
      </c>
      <c r="AA450" t="s">
        <v>74</v>
      </c>
      <c r="AB450" t="s">
        <v>74</v>
      </c>
      <c r="AC450" t="s">
        <v>74</v>
      </c>
      <c r="AD450" t="s">
        <v>74</v>
      </c>
      <c r="AE450" t="s">
        <v>74</v>
      </c>
      <c r="AF450" t="s">
        <v>74</v>
      </c>
      <c r="AG450">
        <v>89</v>
      </c>
      <c r="AH450">
        <v>0</v>
      </c>
      <c r="AI450">
        <v>0</v>
      </c>
      <c r="AJ450">
        <v>0</v>
      </c>
      <c r="AK450">
        <v>0</v>
      </c>
      <c r="AL450" t="s">
        <v>184</v>
      </c>
      <c r="AM450" t="s">
        <v>185</v>
      </c>
      <c r="AN450" t="s">
        <v>186</v>
      </c>
      <c r="AO450" t="s">
        <v>7996</v>
      </c>
      <c r="AP450" t="s">
        <v>7997</v>
      </c>
      <c r="AQ450" t="s">
        <v>74</v>
      </c>
      <c r="AR450" t="s">
        <v>7998</v>
      </c>
      <c r="AS450" t="s">
        <v>7999</v>
      </c>
      <c r="AT450" t="s">
        <v>7964</v>
      </c>
      <c r="AU450">
        <v>2023</v>
      </c>
      <c r="AV450" t="s">
        <v>74</v>
      </c>
      <c r="AW450" t="s">
        <v>74</v>
      </c>
      <c r="AX450" t="s">
        <v>74</v>
      </c>
      <c r="AY450" t="s">
        <v>74</v>
      </c>
      <c r="AZ450" t="s">
        <v>74</v>
      </c>
      <c r="BA450" t="s">
        <v>74</v>
      </c>
      <c r="BB450" t="s">
        <v>74</v>
      </c>
      <c r="BC450" t="s">
        <v>74</v>
      </c>
      <c r="BD450" t="s">
        <v>74</v>
      </c>
      <c r="BE450" t="s">
        <v>8000</v>
      </c>
      <c r="BF450" t="str">
        <f>HYPERLINK("http://dx.doi.org/10.1080/1057610X.2023.2256535","http://dx.doi.org/10.1080/1057610X.2023.2256535")</f>
        <v>http://dx.doi.org/10.1080/1057610X.2023.2256535</v>
      </c>
      <c r="BG450" t="s">
        <v>74</v>
      </c>
      <c r="BH450" t="s">
        <v>5545</v>
      </c>
      <c r="BI450">
        <v>21</v>
      </c>
      <c r="BJ450" t="s">
        <v>8001</v>
      </c>
      <c r="BK450" t="s">
        <v>272</v>
      </c>
      <c r="BL450" t="s">
        <v>8002</v>
      </c>
      <c r="BM450" t="s">
        <v>8003</v>
      </c>
      <c r="BN450" t="s">
        <v>74</v>
      </c>
      <c r="BO450" t="s">
        <v>74</v>
      </c>
      <c r="BP450" t="s">
        <v>74</v>
      </c>
      <c r="BQ450" t="s">
        <v>74</v>
      </c>
      <c r="BR450" t="s">
        <v>105</v>
      </c>
      <c r="BS450" t="s">
        <v>8004</v>
      </c>
      <c r="BT450" t="str">
        <f>HYPERLINK("https%3A%2F%2Fwww.webofscience.com%2Fwos%2Fwoscc%2Ffull-record%2FWOS:001066849700001","View Full Record in Web of Science")</f>
        <v>View Full Record in Web of Science</v>
      </c>
    </row>
    <row r="451" spans="1:72" x14ac:dyDescent="0.15">
      <c r="A451" t="s">
        <v>72</v>
      </c>
      <c r="B451" t="s">
        <v>8005</v>
      </c>
      <c r="C451" t="s">
        <v>74</v>
      </c>
      <c r="D451" t="s">
        <v>74</v>
      </c>
      <c r="E451" t="s">
        <v>74</v>
      </c>
      <c r="F451" t="s">
        <v>8006</v>
      </c>
      <c r="G451" t="s">
        <v>74</v>
      </c>
      <c r="H451" t="s">
        <v>74</v>
      </c>
      <c r="I451" t="s">
        <v>8007</v>
      </c>
      <c r="J451" t="s">
        <v>8008</v>
      </c>
      <c r="K451" t="s">
        <v>74</v>
      </c>
      <c r="L451" t="s">
        <v>74</v>
      </c>
      <c r="M451" t="s">
        <v>78</v>
      </c>
      <c r="N451" t="s">
        <v>6754</v>
      </c>
      <c r="O451" t="s">
        <v>74</v>
      </c>
      <c r="P451" t="s">
        <v>74</v>
      </c>
      <c r="Q451" t="s">
        <v>74</v>
      </c>
      <c r="R451" t="s">
        <v>74</v>
      </c>
      <c r="S451" t="s">
        <v>74</v>
      </c>
      <c r="T451" t="s">
        <v>8009</v>
      </c>
      <c r="U451" t="s">
        <v>8010</v>
      </c>
      <c r="V451" t="s">
        <v>8011</v>
      </c>
      <c r="W451" t="s">
        <v>8012</v>
      </c>
      <c r="X451" t="s">
        <v>8013</v>
      </c>
      <c r="Y451" t="s">
        <v>8014</v>
      </c>
      <c r="Z451" t="s">
        <v>8015</v>
      </c>
      <c r="AA451" t="s">
        <v>74</v>
      </c>
      <c r="AB451" t="s">
        <v>8016</v>
      </c>
      <c r="AC451" t="s">
        <v>74</v>
      </c>
      <c r="AD451" t="s">
        <v>74</v>
      </c>
      <c r="AE451" t="s">
        <v>74</v>
      </c>
      <c r="AF451" t="s">
        <v>74</v>
      </c>
      <c r="AG451">
        <v>183</v>
      </c>
      <c r="AH451">
        <v>1</v>
      </c>
      <c r="AI451">
        <v>1</v>
      </c>
      <c r="AJ451">
        <v>1</v>
      </c>
      <c r="AK451">
        <v>1</v>
      </c>
      <c r="AL451" t="s">
        <v>92</v>
      </c>
      <c r="AM451" t="s">
        <v>93</v>
      </c>
      <c r="AN451" t="s">
        <v>94</v>
      </c>
      <c r="AO451" t="s">
        <v>8017</v>
      </c>
      <c r="AP451" t="s">
        <v>8018</v>
      </c>
      <c r="AQ451" t="s">
        <v>74</v>
      </c>
      <c r="AR451" t="s">
        <v>8019</v>
      </c>
      <c r="AS451" t="s">
        <v>8020</v>
      </c>
      <c r="AT451" t="s">
        <v>7964</v>
      </c>
      <c r="AU451">
        <v>2023</v>
      </c>
      <c r="AV451" t="s">
        <v>74</v>
      </c>
      <c r="AW451" t="s">
        <v>74</v>
      </c>
      <c r="AX451" t="s">
        <v>74</v>
      </c>
      <c r="AY451" t="s">
        <v>74</v>
      </c>
      <c r="AZ451" t="s">
        <v>74</v>
      </c>
      <c r="BA451" t="s">
        <v>74</v>
      </c>
      <c r="BB451" t="s">
        <v>74</v>
      </c>
      <c r="BC451" t="s">
        <v>74</v>
      </c>
      <c r="BD451" t="s">
        <v>74</v>
      </c>
      <c r="BE451" t="s">
        <v>8021</v>
      </c>
      <c r="BF451" t="str">
        <f>HYPERLINK("http://dx.doi.org/10.1080/10408363.2023.2242481","http://dx.doi.org/10.1080/10408363.2023.2242481")</f>
        <v>http://dx.doi.org/10.1080/10408363.2023.2242481</v>
      </c>
      <c r="BG451" t="s">
        <v>74</v>
      </c>
      <c r="BH451" t="s">
        <v>5545</v>
      </c>
      <c r="BI451">
        <v>22</v>
      </c>
      <c r="BJ451" t="s">
        <v>8022</v>
      </c>
      <c r="BK451" t="s">
        <v>102</v>
      </c>
      <c r="BL451" t="s">
        <v>8022</v>
      </c>
      <c r="BM451" t="s">
        <v>8023</v>
      </c>
      <c r="BN451">
        <v>37668397</v>
      </c>
      <c r="BO451" t="s">
        <v>74</v>
      </c>
      <c r="BP451" t="s">
        <v>74</v>
      </c>
      <c r="BQ451" t="s">
        <v>74</v>
      </c>
      <c r="BR451" t="s">
        <v>105</v>
      </c>
      <c r="BS451" t="s">
        <v>8024</v>
      </c>
      <c r="BT451" t="str">
        <f>HYPERLINK("https%3A%2F%2Fwww.webofscience.com%2Fwos%2Fwoscc%2Ffull-record%2FWOS:001058837900001","View Full Record in Web of Science")</f>
        <v>View Full Record in Web of Science</v>
      </c>
    </row>
    <row r="452" spans="1:72" x14ac:dyDescent="0.15">
      <c r="A452" t="s">
        <v>72</v>
      </c>
      <c r="B452" t="s">
        <v>8025</v>
      </c>
      <c r="C452" t="s">
        <v>74</v>
      </c>
      <c r="D452" t="s">
        <v>74</v>
      </c>
      <c r="E452" t="s">
        <v>74</v>
      </c>
      <c r="F452" t="s">
        <v>8026</v>
      </c>
      <c r="G452" t="s">
        <v>74</v>
      </c>
      <c r="H452" t="s">
        <v>74</v>
      </c>
      <c r="I452" t="s">
        <v>8027</v>
      </c>
      <c r="J452" t="s">
        <v>8028</v>
      </c>
      <c r="K452" t="s">
        <v>74</v>
      </c>
      <c r="L452" t="s">
        <v>74</v>
      </c>
      <c r="M452" t="s">
        <v>78</v>
      </c>
      <c r="N452" t="s">
        <v>5492</v>
      </c>
      <c r="O452" t="s">
        <v>74</v>
      </c>
      <c r="P452" t="s">
        <v>74</v>
      </c>
      <c r="Q452" t="s">
        <v>74</v>
      </c>
      <c r="R452" t="s">
        <v>74</v>
      </c>
      <c r="S452" t="s">
        <v>74</v>
      </c>
      <c r="T452" t="s">
        <v>8029</v>
      </c>
      <c r="U452" t="s">
        <v>8030</v>
      </c>
      <c r="V452" t="s">
        <v>8031</v>
      </c>
      <c r="W452" t="s">
        <v>8032</v>
      </c>
      <c r="X452" t="s">
        <v>8033</v>
      </c>
      <c r="Y452" t="s">
        <v>8034</v>
      </c>
      <c r="Z452" t="s">
        <v>8035</v>
      </c>
      <c r="AA452" t="s">
        <v>74</v>
      </c>
      <c r="AB452" t="s">
        <v>74</v>
      </c>
      <c r="AC452" t="s">
        <v>74</v>
      </c>
      <c r="AD452" t="s">
        <v>74</v>
      </c>
      <c r="AE452" t="s">
        <v>74</v>
      </c>
      <c r="AF452" t="s">
        <v>74</v>
      </c>
      <c r="AG452">
        <v>79</v>
      </c>
      <c r="AH452">
        <v>0</v>
      </c>
      <c r="AI452">
        <v>0</v>
      </c>
      <c r="AJ452">
        <v>0</v>
      </c>
      <c r="AK452">
        <v>0</v>
      </c>
      <c r="AL452" t="s">
        <v>1188</v>
      </c>
      <c r="AM452" t="s">
        <v>93</v>
      </c>
      <c r="AN452" t="s">
        <v>1189</v>
      </c>
      <c r="AO452" t="s">
        <v>8036</v>
      </c>
      <c r="AP452" t="s">
        <v>8037</v>
      </c>
      <c r="AQ452" t="s">
        <v>74</v>
      </c>
      <c r="AR452" t="s">
        <v>8038</v>
      </c>
      <c r="AS452" t="s">
        <v>8039</v>
      </c>
      <c r="AT452" t="s">
        <v>7964</v>
      </c>
      <c r="AU452">
        <v>2023</v>
      </c>
      <c r="AV452" t="s">
        <v>74</v>
      </c>
      <c r="AW452" t="s">
        <v>74</v>
      </c>
      <c r="AX452" t="s">
        <v>74</v>
      </c>
      <c r="AY452" t="s">
        <v>74</v>
      </c>
      <c r="AZ452" t="s">
        <v>74</v>
      </c>
      <c r="BA452" t="s">
        <v>74</v>
      </c>
      <c r="BB452" t="s">
        <v>74</v>
      </c>
      <c r="BC452" t="s">
        <v>74</v>
      </c>
      <c r="BD452">
        <v>2251947</v>
      </c>
      <c r="BE452" t="s">
        <v>8040</v>
      </c>
      <c r="BF452" t="str">
        <f>HYPERLINK("http://dx.doi.org/10.1080/10511482.2023.2251947","http://dx.doi.org/10.1080/10511482.2023.2251947")</f>
        <v>http://dx.doi.org/10.1080/10511482.2023.2251947</v>
      </c>
      <c r="BG452" t="s">
        <v>74</v>
      </c>
      <c r="BH452" t="s">
        <v>5545</v>
      </c>
      <c r="BI452">
        <v>21</v>
      </c>
      <c r="BJ452" t="s">
        <v>8041</v>
      </c>
      <c r="BK452" t="s">
        <v>272</v>
      </c>
      <c r="BL452" t="s">
        <v>8041</v>
      </c>
      <c r="BM452" t="s">
        <v>8042</v>
      </c>
      <c r="BN452" t="s">
        <v>74</v>
      </c>
      <c r="BO452" t="s">
        <v>887</v>
      </c>
      <c r="BP452" t="s">
        <v>74</v>
      </c>
      <c r="BQ452" t="s">
        <v>74</v>
      </c>
      <c r="BR452" t="s">
        <v>105</v>
      </c>
      <c r="BS452" t="s">
        <v>8043</v>
      </c>
      <c r="BT452" t="str">
        <f>HYPERLINK("https%3A%2F%2Fwww.webofscience.com%2Fwos%2Fwoscc%2Ffull-record%2FWOS:001063095800001","View Full Record in Web of Science")</f>
        <v>View Full Record in Web of Science</v>
      </c>
    </row>
    <row r="453" spans="1:72" x14ac:dyDescent="0.15">
      <c r="A453" t="s">
        <v>72</v>
      </c>
      <c r="B453" t="s">
        <v>8044</v>
      </c>
      <c r="C453" t="s">
        <v>74</v>
      </c>
      <c r="D453" t="s">
        <v>74</v>
      </c>
      <c r="E453" t="s">
        <v>74</v>
      </c>
      <c r="F453" t="s">
        <v>8045</v>
      </c>
      <c r="G453" t="s">
        <v>74</v>
      </c>
      <c r="H453" t="s">
        <v>74</v>
      </c>
      <c r="I453" t="s">
        <v>8046</v>
      </c>
      <c r="J453" t="s">
        <v>8047</v>
      </c>
      <c r="K453" t="s">
        <v>74</v>
      </c>
      <c r="L453" t="s">
        <v>74</v>
      </c>
      <c r="M453" t="s">
        <v>78</v>
      </c>
      <c r="N453" t="s">
        <v>5492</v>
      </c>
      <c r="O453" t="s">
        <v>74</v>
      </c>
      <c r="P453" t="s">
        <v>74</v>
      </c>
      <c r="Q453" t="s">
        <v>74</v>
      </c>
      <c r="R453" t="s">
        <v>74</v>
      </c>
      <c r="S453" t="s">
        <v>74</v>
      </c>
      <c r="T453" t="s">
        <v>8048</v>
      </c>
      <c r="U453" t="s">
        <v>8049</v>
      </c>
      <c r="V453" t="s">
        <v>8050</v>
      </c>
      <c r="W453" t="s">
        <v>8051</v>
      </c>
      <c r="X453" t="s">
        <v>8052</v>
      </c>
      <c r="Y453" t="s">
        <v>8053</v>
      </c>
      <c r="Z453" t="s">
        <v>8054</v>
      </c>
      <c r="AA453" t="s">
        <v>8055</v>
      </c>
      <c r="AB453" t="s">
        <v>8056</v>
      </c>
      <c r="AC453" t="s">
        <v>74</v>
      </c>
      <c r="AD453" t="s">
        <v>74</v>
      </c>
      <c r="AE453" t="s">
        <v>74</v>
      </c>
      <c r="AF453" t="s">
        <v>74</v>
      </c>
      <c r="AG453">
        <v>143</v>
      </c>
      <c r="AH453">
        <v>0</v>
      </c>
      <c r="AI453">
        <v>0</v>
      </c>
      <c r="AJ453">
        <v>1</v>
      </c>
      <c r="AK453">
        <v>1</v>
      </c>
      <c r="AL453" t="s">
        <v>1188</v>
      </c>
      <c r="AM453" t="s">
        <v>93</v>
      </c>
      <c r="AN453" t="s">
        <v>1189</v>
      </c>
      <c r="AO453" t="s">
        <v>8057</v>
      </c>
      <c r="AP453" t="s">
        <v>8058</v>
      </c>
      <c r="AQ453" t="s">
        <v>74</v>
      </c>
      <c r="AR453" t="s">
        <v>8059</v>
      </c>
      <c r="AS453" t="s">
        <v>8060</v>
      </c>
      <c r="AT453" t="s">
        <v>8061</v>
      </c>
      <c r="AU453">
        <v>2023</v>
      </c>
      <c r="AV453" t="s">
        <v>74</v>
      </c>
      <c r="AW453" t="s">
        <v>74</v>
      </c>
      <c r="AX453" t="s">
        <v>74</v>
      </c>
      <c r="AY453" t="s">
        <v>74</v>
      </c>
      <c r="AZ453" t="s">
        <v>74</v>
      </c>
      <c r="BA453" t="s">
        <v>74</v>
      </c>
      <c r="BB453" t="s">
        <v>74</v>
      </c>
      <c r="BC453" t="s">
        <v>74</v>
      </c>
      <c r="BD453" t="s">
        <v>74</v>
      </c>
      <c r="BE453" t="s">
        <v>8062</v>
      </c>
      <c r="BF453" t="str">
        <f>HYPERLINK("http://dx.doi.org/10.1080/13678868.2023.2253703","http://dx.doi.org/10.1080/13678868.2023.2253703")</f>
        <v>http://dx.doi.org/10.1080/13678868.2023.2253703</v>
      </c>
      <c r="BG453" t="s">
        <v>74</v>
      </c>
      <c r="BH453" t="s">
        <v>5545</v>
      </c>
      <c r="BI453">
        <v>28</v>
      </c>
      <c r="BJ453" t="s">
        <v>6702</v>
      </c>
      <c r="BK453" t="s">
        <v>211</v>
      </c>
      <c r="BL453" t="s">
        <v>295</v>
      </c>
      <c r="BM453" t="s">
        <v>8063</v>
      </c>
      <c r="BN453" t="s">
        <v>74</v>
      </c>
      <c r="BO453" t="s">
        <v>74</v>
      </c>
      <c r="BP453" t="s">
        <v>74</v>
      </c>
      <c r="BQ453" t="s">
        <v>74</v>
      </c>
      <c r="BR453" t="s">
        <v>105</v>
      </c>
      <c r="BS453" t="s">
        <v>8064</v>
      </c>
      <c r="BT453" t="str">
        <f>HYPERLINK("https%3A%2F%2Fwww.webofscience.com%2Fwos%2Fwoscc%2Ffull-record%2FWOS:001058201300001","View Full Record in Web of Science")</f>
        <v>View Full Record in Web of Science</v>
      </c>
    </row>
    <row r="454" spans="1:72" x14ac:dyDescent="0.15">
      <c r="A454" t="s">
        <v>72</v>
      </c>
      <c r="B454" t="s">
        <v>8065</v>
      </c>
      <c r="C454" t="s">
        <v>74</v>
      </c>
      <c r="D454" t="s">
        <v>74</v>
      </c>
      <c r="E454" t="s">
        <v>74</v>
      </c>
      <c r="F454" t="s">
        <v>8066</v>
      </c>
      <c r="G454" t="s">
        <v>74</v>
      </c>
      <c r="H454" t="s">
        <v>74</v>
      </c>
      <c r="I454" t="s">
        <v>8067</v>
      </c>
      <c r="J454" t="s">
        <v>8068</v>
      </c>
      <c r="K454" t="s">
        <v>74</v>
      </c>
      <c r="L454" t="s">
        <v>74</v>
      </c>
      <c r="M454" t="s">
        <v>78</v>
      </c>
      <c r="N454" t="s">
        <v>5492</v>
      </c>
      <c r="O454" t="s">
        <v>74</v>
      </c>
      <c r="P454" t="s">
        <v>74</v>
      </c>
      <c r="Q454" t="s">
        <v>74</v>
      </c>
      <c r="R454" t="s">
        <v>74</v>
      </c>
      <c r="S454" t="s">
        <v>74</v>
      </c>
      <c r="T454" t="s">
        <v>8069</v>
      </c>
      <c r="U454" t="s">
        <v>8070</v>
      </c>
      <c r="V454" t="s">
        <v>8071</v>
      </c>
      <c r="W454" t="s">
        <v>8072</v>
      </c>
      <c r="X454" t="s">
        <v>8073</v>
      </c>
      <c r="Y454" t="s">
        <v>8074</v>
      </c>
      <c r="Z454" t="s">
        <v>8075</v>
      </c>
      <c r="AA454" t="s">
        <v>74</v>
      </c>
      <c r="AB454" t="s">
        <v>74</v>
      </c>
      <c r="AC454" t="s">
        <v>74</v>
      </c>
      <c r="AD454" t="s">
        <v>74</v>
      </c>
      <c r="AE454" t="s">
        <v>74</v>
      </c>
      <c r="AF454" t="s">
        <v>74</v>
      </c>
      <c r="AG454">
        <v>167</v>
      </c>
      <c r="AH454">
        <v>0</v>
      </c>
      <c r="AI454">
        <v>0</v>
      </c>
      <c r="AJ454">
        <v>0</v>
      </c>
      <c r="AK454">
        <v>0</v>
      </c>
      <c r="AL454" t="s">
        <v>184</v>
      </c>
      <c r="AM454" t="s">
        <v>185</v>
      </c>
      <c r="AN454" t="s">
        <v>186</v>
      </c>
      <c r="AO454" t="s">
        <v>8076</v>
      </c>
      <c r="AP454" t="s">
        <v>8077</v>
      </c>
      <c r="AQ454" t="s">
        <v>74</v>
      </c>
      <c r="AR454" t="s">
        <v>8078</v>
      </c>
      <c r="AS454" t="s">
        <v>8079</v>
      </c>
      <c r="AT454" t="s">
        <v>8080</v>
      </c>
      <c r="AU454">
        <v>2023</v>
      </c>
      <c r="AV454" t="s">
        <v>74</v>
      </c>
      <c r="AW454" t="s">
        <v>74</v>
      </c>
      <c r="AX454" t="s">
        <v>74</v>
      </c>
      <c r="AY454" t="s">
        <v>74</v>
      </c>
      <c r="AZ454" t="s">
        <v>74</v>
      </c>
      <c r="BA454" t="s">
        <v>74</v>
      </c>
      <c r="BB454" t="s">
        <v>74</v>
      </c>
      <c r="BC454" t="s">
        <v>74</v>
      </c>
      <c r="BD454" t="s">
        <v>74</v>
      </c>
      <c r="BE454" t="s">
        <v>8081</v>
      </c>
      <c r="BF454" t="str">
        <f>HYPERLINK("http://dx.doi.org/10.1080/08874417.2023.2251449","http://dx.doi.org/10.1080/08874417.2023.2251449")</f>
        <v>http://dx.doi.org/10.1080/08874417.2023.2251449</v>
      </c>
      <c r="BG454" t="s">
        <v>74</v>
      </c>
      <c r="BH454" t="s">
        <v>5545</v>
      </c>
      <c r="BI454">
        <v>23</v>
      </c>
      <c r="BJ454" t="s">
        <v>8082</v>
      </c>
      <c r="BK454" t="s">
        <v>102</v>
      </c>
      <c r="BL454" t="s">
        <v>2621</v>
      </c>
      <c r="BM454" t="s">
        <v>8083</v>
      </c>
      <c r="BN454" t="s">
        <v>74</v>
      </c>
      <c r="BO454" t="s">
        <v>887</v>
      </c>
      <c r="BP454" t="s">
        <v>74</v>
      </c>
      <c r="BQ454" t="s">
        <v>74</v>
      </c>
      <c r="BR454" t="s">
        <v>105</v>
      </c>
      <c r="BS454" t="s">
        <v>8084</v>
      </c>
      <c r="BT454" t="str">
        <f>HYPERLINK("https%3A%2F%2Fwww.webofscience.com%2Fwos%2Fwoscc%2Ffull-record%2FWOS:001063336400001","View Full Record in Web of Science")</f>
        <v>View Full Record in Web of Science</v>
      </c>
    </row>
    <row r="455" spans="1:72" x14ac:dyDescent="0.15">
      <c r="A455" t="s">
        <v>72</v>
      </c>
      <c r="B455" t="s">
        <v>8085</v>
      </c>
      <c r="C455" t="s">
        <v>74</v>
      </c>
      <c r="D455" t="s">
        <v>74</v>
      </c>
      <c r="E455" t="s">
        <v>74</v>
      </c>
      <c r="F455" t="s">
        <v>8086</v>
      </c>
      <c r="G455" t="s">
        <v>74</v>
      </c>
      <c r="H455" t="s">
        <v>74</v>
      </c>
      <c r="I455" t="s">
        <v>8087</v>
      </c>
      <c r="J455" t="s">
        <v>8088</v>
      </c>
      <c r="K455" t="s">
        <v>74</v>
      </c>
      <c r="L455" t="s">
        <v>74</v>
      </c>
      <c r="M455" t="s">
        <v>78</v>
      </c>
      <c r="N455" t="s">
        <v>2650</v>
      </c>
      <c r="O455" t="s">
        <v>74</v>
      </c>
      <c r="P455" t="s">
        <v>74</v>
      </c>
      <c r="Q455" t="s">
        <v>74</v>
      </c>
      <c r="R455" t="s">
        <v>74</v>
      </c>
      <c r="S455" t="s">
        <v>74</v>
      </c>
      <c r="T455" t="s">
        <v>74</v>
      </c>
      <c r="U455" t="s">
        <v>8089</v>
      </c>
      <c r="V455" t="s">
        <v>74</v>
      </c>
      <c r="W455" t="s">
        <v>8090</v>
      </c>
      <c r="X455" t="s">
        <v>8091</v>
      </c>
      <c r="Y455" t="s">
        <v>8092</v>
      </c>
      <c r="Z455" t="s">
        <v>74</v>
      </c>
      <c r="AA455" t="s">
        <v>74</v>
      </c>
      <c r="AB455" t="s">
        <v>8093</v>
      </c>
      <c r="AC455" t="s">
        <v>74</v>
      </c>
      <c r="AD455" t="s">
        <v>74</v>
      </c>
      <c r="AE455" t="s">
        <v>74</v>
      </c>
      <c r="AF455" t="s">
        <v>74</v>
      </c>
      <c r="AG455">
        <v>41</v>
      </c>
      <c r="AH455">
        <v>0</v>
      </c>
      <c r="AI455">
        <v>0</v>
      </c>
      <c r="AJ455">
        <v>0</v>
      </c>
      <c r="AK455">
        <v>0</v>
      </c>
      <c r="AL455" t="s">
        <v>1188</v>
      </c>
      <c r="AM455" t="s">
        <v>93</v>
      </c>
      <c r="AN455" t="s">
        <v>1189</v>
      </c>
      <c r="AO455" t="s">
        <v>8094</v>
      </c>
      <c r="AP455" t="s">
        <v>8095</v>
      </c>
      <c r="AQ455" t="s">
        <v>74</v>
      </c>
      <c r="AR455" t="s">
        <v>8096</v>
      </c>
      <c r="AS455" t="s">
        <v>8097</v>
      </c>
      <c r="AT455" t="s">
        <v>8098</v>
      </c>
      <c r="AU455">
        <v>2023</v>
      </c>
      <c r="AV455">
        <v>35</v>
      </c>
      <c r="AW455">
        <v>5</v>
      </c>
      <c r="AX455" t="s">
        <v>74</v>
      </c>
      <c r="AY455" t="s">
        <v>74</v>
      </c>
      <c r="AZ455" t="s">
        <v>5344</v>
      </c>
      <c r="BA455" t="s">
        <v>74</v>
      </c>
      <c r="BB455">
        <v>377</v>
      </c>
      <c r="BC455">
        <v>382</v>
      </c>
      <c r="BD455" t="s">
        <v>74</v>
      </c>
      <c r="BE455" t="s">
        <v>8099</v>
      </c>
      <c r="BF455" t="str">
        <f>HYPERLINK("http://dx.doi.org/10.1080/08995605.2023.2237392","http://dx.doi.org/10.1080/08995605.2023.2237392")</f>
        <v>http://dx.doi.org/10.1080/08995605.2023.2237392</v>
      </c>
      <c r="BG455" t="s">
        <v>74</v>
      </c>
      <c r="BH455" t="s">
        <v>74</v>
      </c>
      <c r="BI455">
        <v>6</v>
      </c>
      <c r="BJ455" t="s">
        <v>1690</v>
      </c>
      <c r="BK455" t="s">
        <v>272</v>
      </c>
      <c r="BL455" t="s">
        <v>1691</v>
      </c>
      <c r="BM455" t="s">
        <v>8100</v>
      </c>
      <c r="BN455">
        <v>37615556</v>
      </c>
      <c r="BO455" t="s">
        <v>5391</v>
      </c>
      <c r="BP455" t="s">
        <v>74</v>
      </c>
      <c r="BQ455" t="s">
        <v>74</v>
      </c>
      <c r="BR455" t="s">
        <v>105</v>
      </c>
      <c r="BS455" t="s">
        <v>8101</v>
      </c>
      <c r="BT455" t="str">
        <f>HYPERLINK("https%3A%2F%2Fwww.webofscience.com%2Fwos%2Fwoscc%2Ffull-record%2FWOS:001055251500001","View Full Record in Web of Science")</f>
        <v>View Full Record in Web of Science</v>
      </c>
    </row>
    <row r="456" spans="1:72" x14ac:dyDescent="0.15">
      <c r="A456" t="s">
        <v>72</v>
      </c>
      <c r="B456" t="s">
        <v>8102</v>
      </c>
      <c r="C456" t="s">
        <v>74</v>
      </c>
      <c r="D456" t="s">
        <v>74</v>
      </c>
      <c r="E456" t="s">
        <v>74</v>
      </c>
      <c r="F456" t="s">
        <v>8103</v>
      </c>
      <c r="G456" t="s">
        <v>74</v>
      </c>
      <c r="H456" t="s">
        <v>74</v>
      </c>
      <c r="I456" t="s">
        <v>8104</v>
      </c>
      <c r="J456" t="s">
        <v>7853</v>
      </c>
      <c r="K456" t="s">
        <v>74</v>
      </c>
      <c r="L456" t="s">
        <v>74</v>
      </c>
      <c r="M456" t="s">
        <v>78</v>
      </c>
      <c r="N456" t="s">
        <v>79</v>
      </c>
      <c r="O456" t="s">
        <v>74</v>
      </c>
      <c r="P456" t="s">
        <v>74</v>
      </c>
      <c r="Q456" t="s">
        <v>74</v>
      </c>
      <c r="R456" t="s">
        <v>74</v>
      </c>
      <c r="S456" t="s">
        <v>74</v>
      </c>
      <c r="T456" t="s">
        <v>8105</v>
      </c>
      <c r="U456" t="s">
        <v>74</v>
      </c>
      <c r="V456" t="s">
        <v>8106</v>
      </c>
      <c r="W456" t="s">
        <v>8107</v>
      </c>
      <c r="X456" t="s">
        <v>8108</v>
      </c>
      <c r="Y456" t="s">
        <v>8109</v>
      </c>
      <c r="Z456" t="s">
        <v>8110</v>
      </c>
      <c r="AA456" t="s">
        <v>74</v>
      </c>
      <c r="AB456" t="s">
        <v>74</v>
      </c>
      <c r="AC456" t="s">
        <v>74</v>
      </c>
      <c r="AD456" t="s">
        <v>74</v>
      </c>
      <c r="AE456" t="s">
        <v>74</v>
      </c>
      <c r="AF456" t="s">
        <v>74</v>
      </c>
      <c r="AG456">
        <v>6</v>
      </c>
      <c r="AH456">
        <v>0</v>
      </c>
      <c r="AI456">
        <v>0</v>
      </c>
      <c r="AJ456">
        <v>0</v>
      </c>
      <c r="AK456">
        <v>0</v>
      </c>
      <c r="AL456" t="s">
        <v>1188</v>
      </c>
      <c r="AM456" t="s">
        <v>93</v>
      </c>
      <c r="AN456" t="s">
        <v>1189</v>
      </c>
      <c r="AO456" t="s">
        <v>7865</v>
      </c>
      <c r="AP456" t="s">
        <v>7866</v>
      </c>
      <c r="AQ456" t="s">
        <v>74</v>
      </c>
      <c r="AR456" t="s">
        <v>7867</v>
      </c>
      <c r="AS456" t="s">
        <v>7868</v>
      </c>
      <c r="AT456" t="s">
        <v>8098</v>
      </c>
      <c r="AU456">
        <v>2023</v>
      </c>
      <c r="AV456">
        <v>60</v>
      </c>
      <c r="AW456">
        <v>5</v>
      </c>
      <c r="AX456" t="s">
        <v>74</v>
      </c>
      <c r="AY456" t="s">
        <v>74</v>
      </c>
      <c r="AZ456" t="s">
        <v>5344</v>
      </c>
      <c r="BA456" t="s">
        <v>74</v>
      </c>
      <c r="BB456">
        <v>784</v>
      </c>
      <c r="BC456">
        <v>792</v>
      </c>
      <c r="BD456" t="s">
        <v>74</v>
      </c>
      <c r="BE456" t="s">
        <v>8111</v>
      </c>
      <c r="BF456" t="str">
        <f>HYPERLINK("http://dx.doi.org/10.1080/14703297.2023.2237934","http://dx.doi.org/10.1080/14703297.2023.2237934")</f>
        <v>http://dx.doi.org/10.1080/14703297.2023.2237934</v>
      </c>
      <c r="BG456" t="s">
        <v>74</v>
      </c>
      <c r="BH456" t="s">
        <v>74</v>
      </c>
      <c r="BI456">
        <v>9</v>
      </c>
      <c r="BJ456" t="s">
        <v>271</v>
      </c>
      <c r="BK456" t="s">
        <v>272</v>
      </c>
      <c r="BL456" t="s">
        <v>271</v>
      </c>
      <c r="BM456" t="s">
        <v>8112</v>
      </c>
      <c r="BN456" t="s">
        <v>74</v>
      </c>
      <c r="BO456" t="s">
        <v>74</v>
      </c>
      <c r="BP456" t="s">
        <v>74</v>
      </c>
      <c r="BQ456" t="s">
        <v>74</v>
      </c>
      <c r="BR456" t="s">
        <v>105</v>
      </c>
      <c r="BS456" t="s">
        <v>8113</v>
      </c>
      <c r="BT456" t="str">
        <f>HYPERLINK("https%3A%2F%2Fwww.webofscience.com%2Fwos%2Fwoscc%2Ffull-record%2FWOS:001053778000016","View Full Record in Web of Science")</f>
        <v>View Full Record in Web of Science</v>
      </c>
    </row>
    <row r="457" spans="1:72" x14ac:dyDescent="0.15">
      <c r="A457" t="s">
        <v>72</v>
      </c>
      <c r="B457" t="s">
        <v>8114</v>
      </c>
      <c r="C457" t="s">
        <v>74</v>
      </c>
      <c r="D457" t="s">
        <v>74</v>
      </c>
      <c r="E457" t="s">
        <v>74</v>
      </c>
      <c r="F457" t="s">
        <v>8115</v>
      </c>
      <c r="G457" t="s">
        <v>74</v>
      </c>
      <c r="H457" t="s">
        <v>74</v>
      </c>
      <c r="I457" t="s">
        <v>8116</v>
      </c>
      <c r="J457" t="s">
        <v>8117</v>
      </c>
      <c r="K457" t="s">
        <v>74</v>
      </c>
      <c r="L457" t="s">
        <v>74</v>
      </c>
      <c r="M457" t="s">
        <v>78</v>
      </c>
      <c r="N457" t="s">
        <v>2650</v>
      </c>
      <c r="O457" t="s">
        <v>74</v>
      </c>
      <c r="P457" t="s">
        <v>74</v>
      </c>
      <c r="Q457" t="s">
        <v>74</v>
      </c>
      <c r="R457" t="s">
        <v>74</v>
      </c>
      <c r="S457" t="s">
        <v>74</v>
      </c>
      <c r="T457" t="s">
        <v>74</v>
      </c>
      <c r="U457" t="s">
        <v>74</v>
      </c>
      <c r="V457" t="s">
        <v>74</v>
      </c>
      <c r="W457" t="s">
        <v>74</v>
      </c>
      <c r="X457" t="s">
        <v>74</v>
      </c>
      <c r="Y457" t="s">
        <v>74</v>
      </c>
      <c r="Z457" t="s">
        <v>8118</v>
      </c>
      <c r="AA457" t="s">
        <v>74</v>
      </c>
      <c r="AB457" t="s">
        <v>74</v>
      </c>
      <c r="AC457" t="s">
        <v>74</v>
      </c>
      <c r="AD457" t="s">
        <v>74</v>
      </c>
      <c r="AE457" t="s">
        <v>74</v>
      </c>
      <c r="AF457" t="s">
        <v>74</v>
      </c>
      <c r="AG457">
        <v>0</v>
      </c>
      <c r="AH457">
        <v>0</v>
      </c>
      <c r="AI457">
        <v>0</v>
      </c>
      <c r="AJ457">
        <v>0</v>
      </c>
      <c r="AK457">
        <v>0</v>
      </c>
      <c r="AL457" t="s">
        <v>1188</v>
      </c>
      <c r="AM457" t="s">
        <v>93</v>
      </c>
      <c r="AN457" t="s">
        <v>1189</v>
      </c>
      <c r="AO457" t="s">
        <v>8119</v>
      </c>
      <c r="AP457" t="s">
        <v>8120</v>
      </c>
      <c r="AQ457" t="s">
        <v>74</v>
      </c>
      <c r="AR457" t="s">
        <v>8121</v>
      </c>
      <c r="AS457" t="s">
        <v>8122</v>
      </c>
      <c r="AT457" t="s">
        <v>8098</v>
      </c>
      <c r="AU457">
        <v>2023</v>
      </c>
      <c r="AV457">
        <v>79</v>
      </c>
      <c r="AW457">
        <v>5</v>
      </c>
      <c r="AX457" t="s">
        <v>74</v>
      </c>
      <c r="AY457" t="s">
        <v>74</v>
      </c>
      <c r="AZ457" t="s">
        <v>5344</v>
      </c>
      <c r="BA457" t="s">
        <v>74</v>
      </c>
      <c r="BB457">
        <v>283</v>
      </c>
      <c r="BC457">
        <v>283</v>
      </c>
      <c r="BD457" t="s">
        <v>74</v>
      </c>
      <c r="BE457" t="s">
        <v>8123</v>
      </c>
      <c r="BF457" t="str">
        <f>HYPERLINK("http://dx.doi.org/10.1080/00963402.2023.2246264","http://dx.doi.org/10.1080/00963402.2023.2246264")</f>
        <v>http://dx.doi.org/10.1080/00963402.2023.2246264</v>
      </c>
      <c r="BG457" t="s">
        <v>74</v>
      </c>
      <c r="BH457" t="s">
        <v>74</v>
      </c>
      <c r="BI457">
        <v>1</v>
      </c>
      <c r="BJ457" t="s">
        <v>8124</v>
      </c>
      <c r="BK457" t="s">
        <v>272</v>
      </c>
      <c r="BL457" t="s">
        <v>8124</v>
      </c>
      <c r="BM457" t="s">
        <v>8125</v>
      </c>
      <c r="BN457" t="s">
        <v>74</v>
      </c>
      <c r="BO457" t="s">
        <v>74</v>
      </c>
      <c r="BP457" t="s">
        <v>74</v>
      </c>
      <c r="BQ457" t="s">
        <v>74</v>
      </c>
      <c r="BR457" t="s">
        <v>105</v>
      </c>
      <c r="BS457" t="s">
        <v>8126</v>
      </c>
      <c r="BT457" t="str">
        <f>HYPERLINK("https%3A%2F%2Fwww.webofscience.com%2Fwos%2Fwoscc%2Ffull-record%2FWOS:001064985500001","View Full Record in Web of Science")</f>
        <v>View Full Record in Web of Science</v>
      </c>
    </row>
    <row r="458" spans="1:72" x14ac:dyDescent="0.15">
      <c r="A458" t="s">
        <v>72</v>
      </c>
      <c r="B458" t="s">
        <v>8127</v>
      </c>
      <c r="C458" t="s">
        <v>74</v>
      </c>
      <c r="D458" t="s">
        <v>74</v>
      </c>
      <c r="E458" t="s">
        <v>74</v>
      </c>
      <c r="F458" t="s">
        <v>8128</v>
      </c>
      <c r="G458" t="s">
        <v>74</v>
      </c>
      <c r="H458" t="s">
        <v>74</v>
      </c>
      <c r="I458" t="s">
        <v>8129</v>
      </c>
      <c r="J458" t="s">
        <v>8130</v>
      </c>
      <c r="K458" t="s">
        <v>74</v>
      </c>
      <c r="L458" t="s">
        <v>74</v>
      </c>
      <c r="M458" t="s">
        <v>78</v>
      </c>
      <c r="N458" t="s">
        <v>2650</v>
      </c>
      <c r="O458" t="s">
        <v>74</v>
      </c>
      <c r="P458" t="s">
        <v>74</v>
      </c>
      <c r="Q458" t="s">
        <v>74</v>
      </c>
      <c r="R458" t="s">
        <v>74</v>
      </c>
      <c r="S458" t="s">
        <v>74</v>
      </c>
      <c r="T458" t="s">
        <v>8131</v>
      </c>
      <c r="U458" t="s">
        <v>8132</v>
      </c>
      <c r="V458" t="s">
        <v>8133</v>
      </c>
      <c r="W458" t="s">
        <v>8134</v>
      </c>
      <c r="X458" t="s">
        <v>74</v>
      </c>
      <c r="Y458" t="s">
        <v>8135</v>
      </c>
      <c r="Z458" t="s">
        <v>8136</v>
      </c>
      <c r="AA458" t="s">
        <v>74</v>
      </c>
      <c r="AB458" t="s">
        <v>74</v>
      </c>
      <c r="AC458" t="s">
        <v>74</v>
      </c>
      <c r="AD458" t="s">
        <v>74</v>
      </c>
      <c r="AE458" t="s">
        <v>74</v>
      </c>
      <c r="AF458" t="s">
        <v>74</v>
      </c>
      <c r="AG458">
        <v>22</v>
      </c>
      <c r="AH458">
        <v>0</v>
      </c>
      <c r="AI458">
        <v>0</v>
      </c>
      <c r="AJ458">
        <v>1</v>
      </c>
      <c r="AK458">
        <v>1</v>
      </c>
      <c r="AL458" t="s">
        <v>1188</v>
      </c>
      <c r="AM458" t="s">
        <v>93</v>
      </c>
      <c r="AN458" t="s">
        <v>1189</v>
      </c>
      <c r="AO458" t="s">
        <v>8137</v>
      </c>
      <c r="AP458" t="s">
        <v>8138</v>
      </c>
      <c r="AQ458" t="s">
        <v>74</v>
      </c>
      <c r="AR458" t="s">
        <v>8139</v>
      </c>
      <c r="AS458" t="s">
        <v>8140</v>
      </c>
      <c r="AT458" t="s">
        <v>8098</v>
      </c>
      <c r="AU458">
        <v>2023</v>
      </c>
      <c r="AV458">
        <v>37</v>
      </c>
      <c r="AW458">
        <v>5</v>
      </c>
      <c r="AX458" t="s">
        <v>74</v>
      </c>
      <c r="AY458" t="s">
        <v>74</v>
      </c>
      <c r="AZ458" t="s">
        <v>5344</v>
      </c>
      <c r="BA458" t="s">
        <v>74</v>
      </c>
      <c r="BB458">
        <v>551</v>
      </c>
      <c r="BC458">
        <v>556</v>
      </c>
      <c r="BD458" t="s">
        <v>74</v>
      </c>
      <c r="BE458" t="s">
        <v>8141</v>
      </c>
      <c r="BF458" t="str">
        <f>HYPERLINK("http://dx.doi.org/10.1080/09500782.2023.2240299","http://dx.doi.org/10.1080/09500782.2023.2240299")</f>
        <v>http://dx.doi.org/10.1080/09500782.2023.2240299</v>
      </c>
      <c r="BG458" t="s">
        <v>74</v>
      </c>
      <c r="BH458" t="s">
        <v>74</v>
      </c>
      <c r="BI458">
        <v>6</v>
      </c>
      <c r="BJ458" t="s">
        <v>8142</v>
      </c>
      <c r="BK458" t="s">
        <v>7170</v>
      </c>
      <c r="BL458" t="s">
        <v>8143</v>
      </c>
      <c r="BM458" t="s">
        <v>8144</v>
      </c>
      <c r="BN458" t="s">
        <v>74</v>
      </c>
      <c r="BO458" t="s">
        <v>5391</v>
      </c>
      <c r="BP458" t="s">
        <v>74</v>
      </c>
      <c r="BQ458" t="s">
        <v>74</v>
      </c>
      <c r="BR458" t="s">
        <v>105</v>
      </c>
      <c r="BS458" t="s">
        <v>8145</v>
      </c>
      <c r="BT458" t="str">
        <f>HYPERLINK("https%3A%2F%2Fwww.webofscience.com%2Fwos%2Fwoscc%2Ffull-record%2FWOS:001053940800001","View Full Record in Web of Science")</f>
        <v>View Full Record in Web of Science</v>
      </c>
    </row>
    <row r="459" spans="1:72" x14ac:dyDescent="0.15">
      <c r="A459" t="s">
        <v>72</v>
      </c>
      <c r="B459" t="s">
        <v>8146</v>
      </c>
      <c r="C459" t="s">
        <v>74</v>
      </c>
      <c r="D459" t="s">
        <v>74</v>
      </c>
      <c r="E459" t="s">
        <v>74</v>
      </c>
      <c r="F459" t="s">
        <v>8147</v>
      </c>
      <c r="G459" t="s">
        <v>74</v>
      </c>
      <c r="H459" t="s">
        <v>74</v>
      </c>
      <c r="I459" t="s">
        <v>8148</v>
      </c>
      <c r="J459" t="s">
        <v>5396</v>
      </c>
      <c r="K459" t="s">
        <v>74</v>
      </c>
      <c r="L459" t="s">
        <v>74</v>
      </c>
      <c r="M459" t="s">
        <v>78</v>
      </c>
      <c r="N459" t="s">
        <v>79</v>
      </c>
      <c r="O459" t="s">
        <v>74</v>
      </c>
      <c r="P459" t="s">
        <v>74</v>
      </c>
      <c r="Q459" t="s">
        <v>74</v>
      </c>
      <c r="R459" t="s">
        <v>74</v>
      </c>
      <c r="S459" t="s">
        <v>74</v>
      </c>
      <c r="T459" t="s">
        <v>8149</v>
      </c>
      <c r="U459" t="s">
        <v>8150</v>
      </c>
      <c r="V459" t="s">
        <v>8151</v>
      </c>
      <c r="W459" t="s">
        <v>8152</v>
      </c>
      <c r="X459" t="s">
        <v>8153</v>
      </c>
      <c r="Y459" t="s">
        <v>8154</v>
      </c>
      <c r="Z459" t="s">
        <v>8155</v>
      </c>
      <c r="AA459" t="s">
        <v>8156</v>
      </c>
      <c r="AB459" t="s">
        <v>8157</v>
      </c>
      <c r="AC459" t="s">
        <v>8158</v>
      </c>
      <c r="AD459" t="s">
        <v>8159</v>
      </c>
      <c r="AE459" t="s">
        <v>8160</v>
      </c>
      <c r="AF459" t="s">
        <v>74</v>
      </c>
      <c r="AG459">
        <v>31</v>
      </c>
      <c r="AH459">
        <v>0</v>
      </c>
      <c r="AI459">
        <v>0</v>
      </c>
      <c r="AJ459">
        <v>2</v>
      </c>
      <c r="AK459">
        <v>2</v>
      </c>
      <c r="AL459" t="s">
        <v>184</v>
      </c>
      <c r="AM459" t="s">
        <v>185</v>
      </c>
      <c r="AN459" t="s">
        <v>186</v>
      </c>
      <c r="AO459" t="s">
        <v>5408</v>
      </c>
      <c r="AP459" t="s">
        <v>74</v>
      </c>
      <c r="AQ459" t="s">
        <v>74</v>
      </c>
      <c r="AR459" t="s">
        <v>5409</v>
      </c>
      <c r="AS459" t="s">
        <v>5410</v>
      </c>
      <c r="AT459" t="s">
        <v>7946</v>
      </c>
      <c r="AU459">
        <v>2023</v>
      </c>
      <c r="AV459">
        <v>11</v>
      </c>
      <c r="AW459">
        <v>9</v>
      </c>
      <c r="AX459" t="s">
        <v>74</v>
      </c>
      <c r="AY459" t="s">
        <v>74</v>
      </c>
      <c r="AZ459" t="s">
        <v>74</v>
      </c>
      <c r="BA459" t="s">
        <v>74</v>
      </c>
      <c r="BB459">
        <v>789</v>
      </c>
      <c r="BC459">
        <v>795</v>
      </c>
      <c r="BD459" t="s">
        <v>74</v>
      </c>
      <c r="BE459" t="s">
        <v>8161</v>
      </c>
      <c r="BF459" t="str">
        <f>HYPERLINK("http://dx.doi.org/10.1080/21663831.2023.2238010","http://dx.doi.org/10.1080/21663831.2023.2238010")</f>
        <v>http://dx.doi.org/10.1080/21663831.2023.2238010</v>
      </c>
      <c r="BG459" t="s">
        <v>74</v>
      </c>
      <c r="BH459" t="s">
        <v>74</v>
      </c>
      <c r="BI459">
        <v>7</v>
      </c>
      <c r="BJ459" t="s">
        <v>1593</v>
      </c>
      <c r="BK459" t="s">
        <v>102</v>
      </c>
      <c r="BL459" t="s">
        <v>1594</v>
      </c>
      <c r="BM459" t="s">
        <v>8162</v>
      </c>
      <c r="BN459" t="s">
        <v>74</v>
      </c>
      <c r="BO459" t="s">
        <v>126</v>
      </c>
      <c r="BP459" t="s">
        <v>74</v>
      </c>
      <c r="BQ459" t="s">
        <v>74</v>
      </c>
      <c r="BR459" t="s">
        <v>105</v>
      </c>
      <c r="BS459" t="s">
        <v>8163</v>
      </c>
      <c r="BT459" t="str">
        <f>HYPERLINK("https%3A%2F%2Fwww.webofscience.com%2Fwos%2Fwoscc%2Ffull-record%2FWOS:001035480100001","View Full Record in Web of Science")</f>
        <v>View Full Record in Web of Science</v>
      </c>
    </row>
    <row r="460" spans="1:72" x14ac:dyDescent="0.15">
      <c r="A460" t="s">
        <v>72</v>
      </c>
      <c r="B460" t="s">
        <v>8164</v>
      </c>
      <c r="C460" t="s">
        <v>74</v>
      </c>
      <c r="D460" t="s">
        <v>74</v>
      </c>
      <c r="E460" t="s">
        <v>74</v>
      </c>
      <c r="F460" t="s">
        <v>8165</v>
      </c>
      <c r="G460" t="s">
        <v>74</v>
      </c>
      <c r="H460" t="s">
        <v>74</v>
      </c>
      <c r="I460" t="s">
        <v>8166</v>
      </c>
      <c r="J460" t="s">
        <v>8167</v>
      </c>
      <c r="K460" t="s">
        <v>74</v>
      </c>
      <c r="L460" t="s">
        <v>74</v>
      </c>
      <c r="M460" t="s">
        <v>78</v>
      </c>
      <c r="N460" t="s">
        <v>5492</v>
      </c>
      <c r="O460" t="s">
        <v>74</v>
      </c>
      <c r="P460" t="s">
        <v>74</v>
      </c>
      <c r="Q460" t="s">
        <v>74</v>
      </c>
      <c r="R460" t="s">
        <v>74</v>
      </c>
      <c r="S460" t="s">
        <v>74</v>
      </c>
      <c r="T460" t="s">
        <v>8168</v>
      </c>
      <c r="U460" t="s">
        <v>74</v>
      </c>
      <c r="V460" t="s">
        <v>8169</v>
      </c>
      <c r="W460" t="s">
        <v>8170</v>
      </c>
      <c r="X460" t="s">
        <v>8171</v>
      </c>
      <c r="Y460" t="s">
        <v>8172</v>
      </c>
      <c r="Z460" t="s">
        <v>8173</v>
      </c>
      <c r="AA460" t="s">
        <v>74</v>
      </c>
      <c r="AB460" t="s">
        <v>74</v>
      </c>
      <c r="AC460" t="s">
        <v>8174</v>
      </c>
      <c r="AD460" t="s">
        <v>8175</v>
      </c>
      <c r="AE460" t="s">
        <v>8176</v>
      </c>
      <c r="AF460" t="s">
        <v>74</v>
      </c>
      <c r="AG460">
        <v>42</v>
      </c>
      <c r="AH460">
        <v>0</v>
      </c>
      <c r="AI460">
        <v>0</v>
      </c>
      <c r="AJ460">
        <v>4</v>
      </c>
      <c r="AK460">
        <v>4</v>
      </c>
      <c r="AL460" t="s">
        <v>1188</v>
      </c>
      <c r="AM460" t="s">
        <v>93</v>
      </c>
      <c r="AN460" t="s">
        <v>1189</v>
      </c>
      <c r="AO460" t="s">
        <v>8177</v>
      </c>
      <c r="AP460" t="s">
        <v>8178</v>
      </c>
      <c r="AQ460" t="s">
        <v>74</v>
      </c>
      <c r="AR460" t="s">
        <v>8179</v>
      </c>
      <c r="AS460" t="s">
        <v>8180</v>
      </c>
      <c r="AT460" t="s">
        <v>8181</v>
      </c>
      <c r="AU460">
        <v>2023</v>
      </c>
      <c r="AV460" t="s">
        <v>74</v>
      </c>
      <c r="AW460" t="s">
        <v>74</v>
      </c>
      <c r="AX460" t="s">
        <v>74</v>
      </c>
      <c r="AY460" t="s">
        <v>74</v>
      </c>
      <c r="AZ460" t="s">
        <v>74</v>
      </c>
      <c r="BA460" t="s">
        <v>74</v>
      </c>
      <c r="BB460" t="s">
        <v>74</v>
      </c>
      <c r="BC460" t="s">
        <v>74</v>
      </c>
      <c r="BD460" t="s">
        <v>74</v>
      </c>
      <c r="BE460" t="s">
        <v>8182</v>
      </c>
      <c r="BF460" t="str">
        <f>HYPERLINK("http://dx.doi.org/10.1080/14781700.2023.2231959","http://dx.doi.org/10.1080/14781700.2023.2231959")</f>
        <v>http://dx.doi.org/10.1080/14781700.2023.2231959</v>
      </c>
      <c r="BG460" t="s">
        <v>74</v>
      </c>
      <c r="BH460" t="s">
        <v>5545</v>
      </c>
      <c r="BI460">
        <v>15</v>
      </c>
      <c r="BJ460" t="s">
        <v>8183</v>
      </c>
      <c r="BK460" t="s">
        <v>7170</v>
      </c>
      <c r="BL460" t="s">
        <v>8184</v>
      </c>
      <c r="BM460" t="s">
        <v>8185</v>
      </c>
      <c r="BN460" t="s">
        <v>74</v>
      </c>
      <c r="BO460" t="s">
        <v>74</v>
      </c>
      <c r="BP460" t="s">
        <v>74</v>
      </c>
      <c r="BQ460" t="s">
        <v>74</v>
      </c>
      <c r="BR460" t="s">
        <v>105</v>
      </c>
      <c r="BS460" t="s">
        <v>8186</v>
      </c>
      <c r="BT460" t="str">
        <f>HYPERLINK("https%3A%2F%2Fwww.webofscience.com%2Fwos%2Fwoscc%2Ffull-record%2FWOS:001061816000001","View Full Record in Web of Science")</f>
        <v>View Full Record in Web of Science</v>
      </c>
    </row>
    <row r="461" spans="1:72" x14ac:dyDescent="0.15">
      <c r="A461" t="s">
        <v>72</v>
      </c>
      <c r="B461" t="s">
        <v>8187</v>
      </c>
      <c r="C461" t="s">
        <v>74</v>
      </c>
      <c r="D461" t="s">
        <v>74</v>
      </c>
      <c r="E461" t="s">
        <v>74</v>
      </c>
      <c r="F461" t="s">
        <v>8188</v>
      </c>
      <c r="G461" t="s">
        <v>74</v>
      </c>
      <c r="H461" t="s">
        <v>74</v>
      </c>
      <c r="I461" t="s">
        <v>8189</v>
      </c>
      <c r="J461" t="s">
        <v>8190</v>
      </c>
      <c r="K461" t="s">
        <v>74</v>
      </c>
      <c r="L461" t="s">
        <v>74</v>
      </c>
      <c r="M461" t="s">
        <v>78</v>
      </c>
      <c r="N461" t="s">
        <v>5492</v>
      </c>
      <c r="O461" t="s">
        <v>74</v>
      </c>
      <c r="P461" t="s">
        <v>74</v>
      </c>
      <c r="Q461" t="s">
        <v>74</v>
      </c>
      <c r="R461" t="s">
        <v>74</v>
      </c>
      <c r="S461" t="s">
        <v>74</v>
      </c>
      <c r="T461" t="s">
        <v>8191</v>
      </c>
      <c r="U461" t="s">
        <v>8192</v>
      </c>
      <c r="V461" t="s">
        <v>8193</v>
      </c>
      <c r="W461" t="s">
        <v>8194</v>
      </c>
      <c r="X461" t="s">
        <v>8195</v>
      </c>
      <c r="Y461" t="s">
        <v>8196</v>
      </c>
      <c r="Z461" t="s">
        <v>8197</v>
      </c>
      <c r="AA461" t="s">
        <v>8198</v>
      </c>
      <c r="AB461" t="s">
        <v>8199</v>
      </c>
      <c r="AC461" t="s">
        <v>8200</v>
      </c>
      <c r="AD461" t="s">
        <v>8201</v>
      </c>
      <c r="AE461" t="s">
        <v>8202</v>
      </c>
      <c r="AF461" t="s">
        <v>74</v>
      </c>
      <c r="AG461">
        <v>56</v>
      </c>
      <c r="AH461">
        <v>0</v>
      </c>
      <c r="AI461">
        <v>0</v>
      </c>
      <c r="AJ461">
        <v>69</v>
      </c>
      <c r="AK461">
        <v>69</v>
      </c>
      <c r="AL461" t="s">
        <v>1188</v>
      </c>
      <c r="AM461" t="s">
        <v>93</v>
      </c>
      <c r="AN461" t="s">
        <v>1189</v>
      </c>
      <c r="AO461" t="s">
        <v>8203</v>
      </c>
      <c r="AP461" t="s">
        <v>8204</v>
      </c>
      <c r="AQ461" t="s">
        <v>74</v>
      </c>
      <c r="AR461" t="s">
        <v>8205</v>
      </c>
      <c r="AS461" t="s">
        <v>8206</v>
      </c>
      <c r="AT461" t="s">
        <v>8181</v>
      </c>
      <c r="AU461">
        <v>2023</v>
      </c>
      <c r="AV461" t="s">
        <v>74</v>
      </c>
      <c r="AW461" t="s">
        <v>74</v>
      </c>
      <c r="AX461" t="s">
        <v>74</v>
      </c>
      <c r="AY461" t="s">
        <v>74</v>
      </c>
      <c r="AZ461" t="s">
        <v>74</v>
      </c>
      <c r="BA461" t="s">
        <v>74</v>
      </c>
      <c r="BB461" t="s">
        <v>74</v>
      </c>
      <c r="BC461" t="s">
        <v>74</v>
      </c>
      <c r="BD461" t="s">
        <v>74</v>
      </c>
      <c r="BE461" t="s">
        <v>8207</v>
      </c>
      <c r="BF461" t="str">
        <f>HYPERLINK("http://dx.doi.org/10.1080/10494820.2023.2253861","http://dx.doi.org/10.1080/10494820.2023.2253861")</f>
        <v>http://dx.doi.org/10.1080/10494820.2023.2253861</v>
      </c>
      <c r="BG461" t="s">
        <v>74</v>
      </c>
      <c r="BH461" t="s">
        <v>5545</v>
      </c>
      <c r="BI461">
        <v>17</v>
      </c>
      <c r="BJ461" t="s">
        <v>271</v>
      </c>
      <c r="BK461" t="s">
        <v>272</v>
      </c>
      <c r="BL461" t="s">
        <v>271</v>
      </c>
      <c r="BM461" t="s">
        <v>8208</v>
      </c>
      <c r="BN461" t="s">
        <v>74</v>
      </c>
      <c r="BO461" t="s">
        <v>887</v>
      </c>
      <c r="BP461" t="s">
        <v>74</v>
      </c>
      <c r="BQ461" t="s">
        <v>74</v>
      </c>
      <c r="BR461" t="s">
        <v>105</v>
      </c>
      <c r="BS461" t="s">
        <v>8209</v>
      </c>
      <c r="BT461" t="str">
        <f>HYPERLINK("https%3A%2F%2Fwww.webofscience.com%2Fwos%2Fwoscc%2Ffull-record%2FWOS:001058212500001","View Full Record in Web of Science")</f>
        <v>View Full Record in Web of Science</v>
      </c>
    </row>
    <row r="462" spans="1:72" x14ac:dyDescent="0.15">
      <c r="A462" t="s">
        <v>72</v>
      </c>
      <c r="B462" t="s">
        <v>8210</v>
      </c>
      <c r="C462" t="s">
        <v>74</v>
      </c>
      <c r="D462" t="s">
        <v>74</v>
      </c>
      <c r="E462" t="s">
        <v>74</v>
      </c>
      <c r="F462" t="s">
        <v>8211</v>
      </c>
      <c r="G462" t="s">
        <v>74</v>
      </c>
      <c r="H462" t="s">
        <v>74</v>
      </c>
      <c r="I462" t="s">
        <v>8212</v>
      </c>
      <c r="J462" t="s">
        <v>8213</v>
      </c>
      <c r="K462" t="s">
        <v>74</v>
      </c>
      <c r="L462" t="s">
        <v>74</v>
      </c>
      <c r="M462" t="s">
        <v>78</v>
      </c>
      <c r="N462" t="s">
        <v>2650</v>
      </c>
      <c r="O462" t="s">
        <v>74</v>
      </c>
      <c r="P462" t="s">
        <v>74</v>
      </c>
      <c r="Q462" t="s">
        <v>74</v>
      </c>
      <c r="R462" t="s">
        <v>74</v>
      </c>
      <c r="S462" t="s">
        <v>74</v>
      </c>
      <c r="T462" t="s">
        <v>8214</v>
      </c>
      <c r="U462" t="s">
        <v>8215</v>
      </c>
      <c r="V462" t="s">
        <v>8216</v>
      </c>
      <c r="W462" t="s">
        <v>8217</v>
      </c>
      <c r="X462" t="s">
        <v>8218</v>
      </c>
      <c r="Y462" t="s">
        <v>8219</v>
      </c>
      <c r="Z462" t="s">
        <v>8220</v>
      </c>
      <c r="AA462" t="s">
        <v>74</v>
      </c>
      <c r="AB462" t="s">
        <v>74</v>
      </c>
      <c r="AC462" t="s">
        <v>74</v>
      </c>
      <c r="AD462" t="s">
        <v>74</v>
      </c>
      <c r="AE462" t="s">
        <v>74</v>
      </c>
      <c r="AF462" t="s">
        <v>74</v>
      </c>
      <c r="AG462">
        <v>136</v>
      </c>
      <c r="AH462">
        <v>0</v>
      </c>
      <c r="AI462">
        <v>0</v>
      </c>
      <c r="AJ462">
        <v>0</v>
      </c>
      <c r="AK462">
        <v>0</v>
      </c>
      <c r="AL462" t="s">
        <v>1188</v>
      </c>
      <c r="AM462" t="s">
        <v>93</v>
      </c>
      <c r="AN462" t="s">
        <v>1189</v>
      </c>
      <c r="AO462" t="s">
        <v>8221</v>
      </c>
      <c r="AP462" t="s">
        <v>8222</v>
      </c>
      <c r="AQ462" t="s">
        <v>74</v>
      </c>
      <c r="AR462" t="s">
        <v>8223</v>
      </c>
      <c r="AS462" t="s">
        <v>8224</v>
      </c>
      <c r="AT462" t="s">
        <v>7946</v>
      </c>
      <c r="AU462">
        <v>2023</v>
      </c>
      <c r="AV462">
        <v>48</v>
      </c>
      <c r="AW462">
        <v>3</v>
      </c>
      <c r="AX462" t="s">
        <v>74</v>
      </c>
      <c r="AY462" t="s">
        <v>74</v>
      </c>
      <c r="AZ462" t="s">
        <v>5344</v>
      </c>
      <c r="BA462" t="s">
        <v>74</v>
      </c>
      <c r="BB462">
        <v>337</v>
      </c>
      <c r="BC462">
        <v>357</v>
      </c>
      <c r="BD462" t="s">
        <v>74</v>
      </c>
      <c r="BE462" t="s">
        <v>8225</v>
      </c>
      <c r="BF462" t="str">
        <f>HYPERLINK("http://dx.doi.org/10.1080/08263663.2023.2223089","http://dx.doi.org/10.1080/08263663.2023.2223089")</f>
        <v>http://dx.doi.org/10.1080/08263663.2023.2223089</v>
      </c>
      <c r="BG462" t="s">
        <v>74</v>
      </c>
      <c r="BH462" t="s">
        <v>74</v>
      </c>
      <c r="BI462">
        <v>21</v>
      </c>
      <c r="BJ462" t="s">
        <v>575</v>
      </c>
      <c r="BK462" t="s">
        <v>211</v>
      </c>
      <c r="BL462" t="s">
        <v>576</v>
      </c>
      <c r="BM462" t="s">
        <v>8226</v>
      </c>
      <c r="BN462" t="s">
        <v>74</v>
      </c>
      <c r="BO462" t="s">
        <v>74</v>
      </c>
      <c r="BP462" t="s">
        <v>74</v>
      </c>
      <c r="BQ462" t="s">
        <v>74</v>
      </c>
      <c r="BR462" t="s">
        <v>105</v>
      </c>
      <c r="BS462" t="s">
        <v>8227</v>
      </c>
      <c r="BT462" t="str">
        <f>HYPERLINK("https%3A%2F%2Fwww.webofscience.com%2Fwos%2Fwoscc%2Ffull-record%2FWOS:001034368600001","View Full Record in Web of Science")</f>
        <v>View Full Record in Web of Science</v>
      </c>
    </row>
    <row r="463" spans="1:72" x14ac:dyDescent="0.15">
      <c r="A463" t="s">
        <v>72</v>
      </c>
      <c r="B463" t="s">
        <v>8228</v>
      </c>
      <c r="C463" t="s">
        <v>74</v>
      </c>
      <c r="D463" t="s">
        <v>74</v>
      </c>
      <c r="E463" t="s">
        <v>74</v>
      </c>
      <c r="F463" t="s">
        <v>8229</v>
      </c>
      <c r="G463" t="s">
        <v>74</v>
      </c>
      <c r="H463" t="s">
        <v>74</v>
      </c>
      <c r="I463" t="s">
        <v>8230</v>
      </c>
      <c r="J463" t="s">
        <v>8231</v>
      </c>
      <c r="K463" t="s">
        <v>74</v>
      </c>
      <c r="L463" t="s">
        <v>74</v>
      </c>
      <c r="M463" t="s">
        <v>78</v>
      </c>
      <c r="N463" t="s">
        <v>2650</v>
      </c>
      <c r="O463" t="s">
        <v>74</v>
      </c>
      <c r="P463" t="s">
        <v>74</v>
      </c>
      <c r="Q463" t="s">
        <v>74</v>
      </c>
      <c r="R463" t="s">
        <v>74</v>
      </c>
      <c r="S463" t="s">
        <v>74</v>
      </c>
      <c r="T463" t="s">
        <v>74</v>
      </c>
      <c r="U463" t="s">
        <v>74</v>
      </c>
      <c r="V463" t="s">
        <v>74</v>
      </c>
      <c r="W463" t="s">
        <v>8232</v>
      </c>
      <c r="X463" t="s">
        <v>8233</v>
      </c>
      <c r="Y463" t="s">
        <v>8234</v>
      </c>
      <c r="Z463" t="s">
        <v>8235</v>
      </c>
      <c r="AA463" t="s">
        <v>74</v>
      </c>
      <c r="AB463" t="s">
        <v>74</v>
      </c>
      <c r="AC463" t="s">
        <v>74</v>
      </c>
      <c r="AD463" t="s">
        <v>74</v>
      </c>
      <c r="AE463" t="s">
        <v>74</v>
      </c>
      <c r="AF463" t="s">
        <v>74</v>
      </c>
      <c r="AG463">
        <v>17</v>
      </c>
      <c r="AH463">
        <v>0</v>
      </c>
      <c r="AI463">
        <v>0</v>
      </c>
      <c r="AJ463">
        <v>0</v>
      </c>
      <c r="AK463">
        <v>0</v>
      </c>
      <c r="AL463" t="s">
        <v>1188</v>
      </c>
      <c r="AM463" t="s">
        <v>93</v>
      </c>
      <c r="AN463" t="s">
        <v>1189</v>
      </c>
      <c r="AO463" t="s">
        <v>8236</v>
      </c>
      <c r="AP463" t="s">
        <v>8237</v>
      </c>
      <c r="AQ463" t="s">
        <v>74</v>
      </c>
      <c r="AR463" t="s">
        <v>8238</v>
      </c>
      <c r="AS463" t="s">
        <v>8239</v>
      </c>
      <c r="AT463" t="s">
        <v>7946</v>
      </c>
      <c r="AU463">
        <v>2023</v>
      </c>
      <c r="AV463">
        <v>94</v>
      </c>
      <c r="AW463">
        <v>7</v>
      </c>
      <c r="AX463" t="s">
        <v>74</v>
      </c>
      <c r="AY463" t="s">
        <v>74</v>
      </c>
      <c r="AZ463" t="s">
        <v>74</v>
      </c>
      <c r="BA463" t="s">
        <v>74</v>
      </c>
      <c r="BB463">
        <v>3</v>
      </c>
      <c r="BC463">
        <v>4</v>
      </c>
      <c r="BD463" t="s">
        <v>74</v>
      </c>
      <c r="BE463" t="s">
        <v>8240</v>
      </c>
      <c r="BF463" t="str">
        <f>HYPERLINK("http://dx.doi.org/10.1080/07303084.2023.2237368","http://dx.doi.org/10.1080/07303084.2023.2237368")</f>
        <v>http://dx.doi.org/10.1080/07303084.2023.2237368</v>
      </c>
      <c r="BG463" t="s">
        <v>74</v>
      </c>
      <c r="BH463" t="s">
        <v>74</v>
      </c>
      <c r="BI463">
        <v>2</v>
      </c>
      <c r="BJ463" t="s">
        <v>271</v>
      </c>
      <c r="BK463" t="s">
        <v>211</v>
      </c>
      <c r="BL463" t="s">
        <v>271</v>
      </c>
      <c r="BM463" t="s">
        <v>8241</v>
      </c>
      <c r="BN463" t="s">
        <v>74</v>
      </c>
      <c r="BO463" t="s">
        <v>74</v>
      </c>
      <c r="BP463" t="s">
        <v>74</v>
      </c>
      <c r="BQ463" t="s">
        <v>74</v>
      </c>
      <c r="BR463" t="s">
        <v>105</v>
      </c>
      <c r="BS463" t="s">
        <v>8242</v>
      </c>
      <c r="BT463" t="str">
        <f>HYPERLINK("https%3A%2F%2Fwww.webofscience.com%2Fwos%2Fwoscc%2Ffull-record%2FWOS:001067409900001","View Full Record in Web of Science")</f>
        <v>View Full Record in Web of Science</v>
      </c>
    </row>
    <row r="464" spans="1:72" x14ac:dyDescent="0.15">
      <c r="A464" t="s">
        <v>72</v>
      </c>
      <c r="B464" t="s">
        <v>8243</v>
      </c>
      <c r="C464" t="s">
        <v>74</v>
      </c>
      <c r="D464" t="s">
        <v>74</v>
      </c>
      <c r="E464" t="s">
        <v>74</v>
      </c>
      <c r="F464" t="s">
        <v>8244</v>
      </c>
      <c r="G464" t="s">
        <v>74</v>
      </c>
      <c r="H464" t="s">
        <v>74</v>
      </c>
      <c r="I464" t="s">
        <v>8245</v>
      </c>
      <c r="J464" t="s">
        <v>8246</v>
      </c>
      <c r="K464" t="s">
        <v>74</v>
      </c>
      <c r="L464" t="s">
        <v>74</v>
      </c>
      <c r="M464" t="s">
        <v>78</v>
      </c>
      <c r="N464" t="s">
        <v>5492</v>
      </c>
      <c r="O464" t="s">
        <v>74</v>
      </c>
      <c r="P464" t="s">
        <v>74</v>
      </c>
      <c r="Q464" t="s">
        <v>74</v>
      </c>
      <c r="R464" t="s">
        <v>74</v>
      </c>
      <c r="S464" t="s">
        <v>74</v>
      </c>
      <c r="T464" t="s">
        <v>8247</v>
      </c>
      <c r="U464" t="s">
        <v>74</v>
      </c>
      <c r="V464" t="s">
        <v>8248</v>
      </c>
      <c r="W464" t="s">
        <v>8249</v>
      </c>
      <c r="X464" t="s">
        <v>8250</v>
      </c>
      <c r="Y464" t="s">
        <v>8251</v>
      </c>
      <c r="Z464" t="s">
        <v>8252</v>
      </c>
      <c r="AA464" t="s">
        <v>74</v>
      </c>
      <c r="AB464" t="s">
        <v>74</v>
      </c>
      <c r="AC464" t="s">
        <v>8253</v>
      </c>
      <c r="AD464" t="s">
        <v>8254</v>
      </c>
      <c r="AE464" t="s">
        <v>8255</v>
      </c>
      <c r="AF464" t="s">
        <v>74</v>
      </c>
      <c r="AG464">
        <v>12</v>
      </c>
      <c r="AH464">
        <v>0</v>
      </c>
      <c r="AI464">
        <v>0</v>
      </c>
      <c r="AJ464">
        <v>1</v>
      </c>
      <c r="AK464">
        <v>1</v>
      </c>
      <c r="AL464" t="s">
        <v>92</v>
      </c>
      <c r="AM464" t="s">
        <v>93</v>
      </c>
      <c r="AN464" t="s">
        <v>94</v>
      </c>
      <c r="AO464" t="s">
        <v>8256</v>
      </c>
      <c r="AP464" t="s">
        <v>8257</v>
      </c>
      <c r="AQ464" t="s">
        <v>74</v>
      </c>
      <c r="AR464" t="s">
        <v>8258</v>
      </c>
      <c r="AS464" t="s">
        <v>8259</v>
      </c>
      <c r="AT464" t="s">
        <v>8181</v>
      </c>
      <c r="AU464">
        <v>2023</v>
      </c>
      <c r="AV464" t="s">
        <v>74</v>
      </c>
      <c r="AW464" t="s">
        <v>74</v>
      </c>
      <c r="AX464" t="s">
        <v>74</v>
      </c>
      <c r="AY464" t="s">
        <v>74</v>
      </c>
      <c r="AZ464" t="s">
        <v>74</v>
      </c>
      <c r="BA464" t="s">
        <v>74</v>
      </c>
      <c r="BB464" t="s">
        <v>74</v>
      </c>
      <c r="BC464" t="s">
        <v>74</v>
      </c>
      <c r="BD464" t="s">
        <v>74</v>
      </c>
      <c r="BE464" t="s">
        <v>8260</v>
      </c>
      <c r="BF464" t="str">
        <f>HYPERLINK("http://dx.doi.org/10.1080/10255842.2023.2255712","http://dx.doi.org/10.1080/10255842.2023.2255712")</f>
        <v>http://dx.doi.org/10.1080/10255842.2023.2255712</v>
      </c>
      <c r="BG464" t="s">
        <v>74</v>
      </c>
      <c r="BH464" t="s">
        <v>5545</v>
      </c>
      <c r="BI464">
        <v>5</v>
      </c>
      <c r="BJ464" t="s">
        <v>8261</v>
      </c>
      <c r="BK464" t="s">
        <v>102</v>
      </c>
      <c r="BL464" t="s">
        <v>1556</v>
      </c>
      <c r="BM464" t="s">
        <v>8262</v>
      </c>
      <c r="BN464">
        <v>37688477</v>
      </c>
      <c r="BO464" t="s">
        <v>74</v>
      </c>
      <c r="BP464" t="s">
        <v>74</v>
      </c>
      <c r="BQ464" t="s">
        <v>74</v>
      </c>
      <c r="BR464" t="s">
        <v>105</v>
      </c>
      <c r="BS464" t="s">
        <v>8263</v>
      </c>
      <c r="BT464" t="str">
        <f>HYPERLINK("https%3A%2F%2Fwww.webofscience.com%2Fwos%2Fwoscc%2Ffull-record%2FWOS:001064839400001","View Full Record in Web of Science")</f>
        <v>View Full Record in Web of Science</v>
      </c>
    </row>
    <row r="465" spans="1:72" x14ac:dyDescent="0.15">
      <c r="A465" t="s">
        <v>72</v>
      </c>
      <c r="B465" t="s">
        <v>8264</v>
      </c>
      <c r="C465" t="s">
        <v>74</v>
      </c>
      <c r="D465" t="s">
        <v>74</v>
      </c>
      <c r="E465" t="s">
        <v>74</v>
      </c>
      <c r="F465" t="s">
        <v>8265</v>
      </c>
      <c r="G465" t="s">
        <v>74</v>
      </c>
      <c r="H465" t="s">
        <v>74</v>
      </c>
      <c r="I465" t="s">
        <v>8266</v>
      </c>
      <c r="J465" t="s">
        <v>8267</v>
      </c>
      <c r="K465" t="s">
        <v>74</v>
      </c>
      <c r="L465" t="s">
        <v>74</v>
      </c>
      <c r="M465" t="s">
        <v>78</v>
      </c>
      <c r="N465" t="s">
        <v>5492</v>
      </c>
      <c r="O465" t="s">
        <v>74</v>
      </c>
      <c r="P465" t="s">
        <v>74</v>
      </c>
      <c r="Q465" t="s">
        <v>74</v>
      </c>
      <c r="R465" t="s">
        <v>74</v>
      </c>
      <c r="S465" t="s">
        <v>74</v>
      </c>
      <c r="T465" t="s">
        <v>8268</v>
      </c>
      <c r="U465" t="s">
        <v>8269</v>
      </c>
      <c r="V465" t="s">
        <v>8270</v>
      </c>
      <c r="W465" t="s">
        <v>8271</v>
      </c>
      <c r="X465" t="s">
        <v>8272</v>
      </c>
      <c r="Y465" t="s">
        <v>8273</v>
      </c>
      <c r="Z465" t="s">
        <v>8274</v>
      </c>
      <c r="AA465" t="s">
        <v>74</v>
      </c>
      <c r="AB465" t="s">
        <v>8275</v>
      </c>
      <c r="AC465" t="s">
        <v>74</v>
      </c>
      <c r="AD465" t="s">
        <v>74</v>
      </c>
      <c r="AE465" t="s">
        <v>74</v>
      </c>
      <c r="AF465" t="s">
        <v>74</v>
      </c>
      <c r="AG465">
        <v>48</v>
      </c>
      <c r="AH465">
        <v>0</v>
      </c>
      <c r="AI465">
        <v>0</v>
      </c>
      <c r="AJ465">
        <v>0</v>
      </c>
      <c r="AK465">
        <v>0</v>
      </c>
      <c r="AL465" t="s">
        <v>184</v>
      </c>
      <c r="AM465" t="s">
        <v>185</v>
      </c>
      <c r="AN465" t="s">
        <v>186</v>
      </c>
      <c r="AO465" t="s">
        <v>8276</v>
      </c>
      <c r="AP465" t="s">
        <v>8277</v>
      </c>
      <c r="AQ465" t="s">
        <v>74</v>
      </c>
      <c r="AR465" t="s">
        <v>8278</v>
      </c>
      <c r="AS465" t="s">
        <v>8279</v>
      </c>
      <c r="AT465" t="s">
        <v>8181</v>
      </c>
      <c r="AU465">
        <v>2023</v>
      </c>
      <c r="AV465" t="s">
        <v>74</v>
      </c>
      <c r="AW465" t="s">
        <v>74</v>
      </c>
      <c r="AX465" t="s">
        <v>74</v>
      </c>
      <c r="AY465" t="s">
        <v>74</v>
      </c>
      <c r="AZ465" t="s">
        <v>74</v>
      </c>
      <c r="BA465" t="s">
        <v>74</v>
      </c>
      <c r="BB465" t="s">
        <v>74</v>
      </c>
      <c r="BC465" t="s">
        <v>74</v>
      </c>
      <c r="BD465" t="s">
        <v>74</v>
      </c>
      <c r="BE465" t="s">
        <v>8280</v>
      </c>
      <c r="BF465" t="str">
        <f>HYPERLINK("http://dx.doi.org/10.1080/15397734.2023.2255262","http://dx.doi.org/10.1080/15397734.2023.2255262")</f>
        <v>http://dx.doi.org/10.1080/15397734.2023.2255262</v>
      </c>
      <c r="BG465" t="s">
        <v>74</v>
      </c>
      <c r="BH465" t="s">
        <v>5545</v>
      </c>
      <c r="BI465">
        <v>22</v>
      </c>
      <c r="BJ465" t="s">
        <v>8281</v>
      </c>
      <c r="BK465" t="s">
        <v>102</v>
      </c>
      <c r="BL465" t="s">
        <v>8281</v>
      </c>
      <c r="BM465" t="s">
        <v>8282</v>
      </c>
      <c r="BN465" t="s">
        <v>74</v>
      </c>
      <c r="BO465" t="s">
        <v>74</v>
      </c>
      <c r="BP465" t="s">
        <v>74</v>
      </c>
      <c r="BQ465" t="s">
        <v>74</v>
      </c>
      <c r="BR465" t="s">
        <v>105</v>
      </c>
      <c r="BS465" t="s">
        <v>8283</v>
      </c>
      <c r="BT465" t="str">
        <f>HYPERLINK("https%3A%2F%2Fwww.webofscience.com%2Fwos%2Fwoscc%2Ffull-record%2FWOS:001070118400001","View Full Record in Web of Science")</f>
        <v>View Full Record in Web of Science</v>
      </c>
    </row>
    <row r="466" spans="1:72" x14ac:dyDescent="0.15">
      <c r="A466" t="s">
        <v>72</v>
      </c>
      <c r="B466" t="s">
        <v>8284</v>
      </c>
      <c r="C466" t="s">
        <v>74</v>
      </c>
      <c r="D466" t="s">
        <v>74</v>
      </c>
      <c r="E466" t="s">
        <v>74</v>
      </c>
      <c r="F466" t="s">
        <v>8285</v>
      </c>
      <c r="G466" t="s">
        <v>74</v>
      </c>
      <c r="H466" t="s">
        <v>74</v>
      </c>
      <c r="I466" t="s">
        <v>8286</v>
      </c>
      <c r="J466" t="s">
        <v>8287</v>
      </c>
      <c r="K466" t="s">
        <v>74</v>
      </c>
      <c r="L466" t="s">
        <v>74</v>
      </c>
      <c r="M466" t="s">
        <v>78</v>
      </c>
      <c r="N466" t="s">
        <v>5492</v>
      </c>
      <c r="O466" t="s">
        <v>74</v>
      </c>
      <c r="P466" t="s">
        <v>74</v>
      </c>
      <c r="Q466" t="s">
        <v>74</v>
      </c>
      <c r="R466" t="s">
        <v>74</v>
      </c>
      <c r="S466" t="s">
        <v>74</v>
      </c>
      <c r="T466" t="s">
        <v>8288</v>
      </c>
      <c r="U466" t="s">
        <v>8289</v>
      </c>
      <c r="V466" t="s">
        <v>8290</v>
      </c>
      <c r="W466" t="s">
        <v>8291</v>
      </c>
      <c r="X466" t="s">
        <v>74</v>
      </c>
      <c r="Y466" t="s">
        <v>8292</v>
      </c>
      <c r="Z466" t="s">
        <v>8293</v>
      </c>
      <c r="AA466" t="s">
        <v>74</v>
      </c>
      <c r="AB466" t="s">
        <v>8294</v>
      </c>
      <c r="AC466" t="s">
        <v>8295</v>
      </c>
      <c r="AD466" t="s">
        <v>8295</v>
      </c>
      <c r="AE466" t="s">
        <v>8296</v>
      </c>
      <c r="AF466" t="s">
        <v>74</v>
      </c>
      <c r="AG466">
        <v>41</v>
      </c>
      <c r="AH466">
        <v>0</v>
      </c>
      <c r="AI466">
        <v>0</v>
      </c>
      <c r="AJ466">
        <v>0</v>
      </c>
      <c r="AK466">
        <v>0</v>
      </c>
      <c r="AL466" t="s">
        <v>92</v>
      </c>
      <c r="AM466" t="s">
        <v>93</v>
      </c>
      <c r="AN466" t="s">
        <v>94</v>
      </c>
      <c r="AO466" t="s">
        <v>8297</v>
      </c>
      <c r="AP466" t="s">
        <v>8298</v>
      </c>
      <c r="AQ466" t="s">
        <v>74</v>
      </c>
      <c r="AR466" t="s">
        <v>8299</v>
      </c>
      <c r="AS466" t="s">
        <v>8300</v>
      </c>
      <c r="AT466" t="s">
        <v>8181</v>
      </c>
      <c r="AU466">
        <v>2023</v>
      </c>
      <c r="AV466" t="s">
        <v>74</v>
      </c>
      <c r="AW466" t="s">
        <v>74</v>
      </c>
      <c r="AX466" t="s">
        <v>74</v>
      </c>
      <c r="AY466" t="s">
        <v>74</v>
      </c>
      <c r="AZ466" t="s">
        <v>74</v>
      </c>
      <c r="BA466" t="s">
        <v>74</v>
      </c>
      <c r="BB466" t="s">
        <v>74</v>
      </c>
      <c r="BC466" t="s">
        <v>74</v>
      </c>
      <c r="BD466" t="s">
        <v>74</v>
      </c>
      <c r="BE466" t="s">
        <v>8301</v>
      </c>
      <c r="BF466" t="str">
        <f>HYPERLINK("http://dx.doi.org/10.1080/21580103.2023.2254317","http://dx.doi.org/10.1080/21580103.2023.2254317")</f>
        <v>http://dx.doi.org/10.1080/21580103.2023.2254317</v>
      </c>
      <c r="BG466" t="s">
        <v>74</v>
      </c>
      <c r="BH466" t="s">
        <v>5545</v>
      </c>
      <c r="BI466">
        <v>8</v>
      </c>
      <c r="BJ466" t="s">
        <v>8302</v>
      </c>
      <c r="BK466" t="s">
        <v>211</v>
      </c>
      <c r="BL466" t="s">
        <v>8302</v>
      </c>
      <c r="BM466" t="s">
        <v>8303</v>
      </c>
      <c r="BN466" t="s">
        <v>74</v>
      </c>
      <c r="BO466" t="s">
        <v>126</v>
      </c>
      <c r="BP466" t="s">
        <v>74</v>
      </c>
      <c r="BQ466" t="s">
        <v>74</v>
      </c>
      <c r="BR466" t="s">
        <v>105</v>
      </c>
      <c r="BS466" t="s">
        <v>8304</v>
      </c>
      <c r="BT466" t="str">
        <f>HYPERLINK("https%3A%2F%2Fwww.webofscience.com%2Fwos%2Fwoscc%2Ffull-record%2FWOS:001058162400001","View Full Record in Web of Science")</f>
        <v>View Full Record in Web of Science</v>
      </c>
    </row>
    <row r="467" spans="1:72" x14ac:dyDescent="0.15">
      <c r="A467" t="s">
        <v>72</v>
      </c>
      <c r="B467" t="s">
        <v>8305</v>
      </c>
      <c r="C467" t="s">
        <v>74</v>
      </c>
      <c r="D467" t="s">
        <v>74</v>
      </c>
      <c r="E467" t="s">
        <v>74</v>
      </c>
      <c r="F467" t="s">
        <v>8306</v>
      </c>
      <c r="G467" t="s">
        <v>74</v>
      </c>
      <c r="H467" t="s">
        <v>74</v>
      </c>
      <c r="I467" t="s">
        <v>8307</v>
      </c>
      <c r="J467" t="s">
        <v>8308</v>
      </c>
      <c r="K467" t="s">
        <v>74</v>
      </c>
      <c r="L467" t="s">
        <v>74</v>
      </c>
      <c r="M467" t="s">
        <v>78</v>
      </c>
      <c r="N467" t="s">
        <v>5492</v>
      </c>
      <c r="O467" t="s">
        <v>74</v>
      </c>
      <c r="P467" t="s">
        <v>74</v>
      </c>
      <c r="Q467" t="s">
        <v>74</v>
      </c>
      <c r="R467" t="s">
        <v>74</v>
      </c>
      <c r="S467" t="s">
        <v>74</v>
      </c>
      <c r="T467" t="s">
        <v>8309</v>
      </c>
      <c r="U467" t="s">
        <v>8310</v>
      </c>
      <c r="V467" t="s">
        <v>8311</v>
      </c>
      <c r="W467" t="s">
        <v>8312</v>
      </c>
      <c r="X467" t="s">
        <v>74</v>
      </c>
      <c r="Y467" t="s">
        <v>8313</v>
      </c>
      <c r="Z467" t="s">
        <v>8314</v>
      </c>
      <c r="AA467" t="s">
        <v>8315</v>
      </c>
      <c r="AB467" t="s">
        <v>8316</v>
      </c>
      <c r="AC467" t="s">
        <v>74</v>
      </c>
      <c r="AD467" t="s">
        <v>74</v>
      </c>
      <c r="AE467" t="s">
        <v>74</v>
      </c>
      <c r="AF467" t="s">
        <v>74</v>
      </c>
      <c r="AG467">
        <v>70</v>
      </c>
      <c r="AH467">
        <v>0</v>
      </c>
      <c r="AI467">
        <v>0</v>
      </c>
      <c r="AJ467">
        <v>0</v>
      </c>
      <c r="AK467">
        <v>0</v>
      </c>
      <c r="AL467" t="s">
        <v>1188</v>
      </c>
      <c r="AM467" t="s">
        <v>93</v>
      </c>
      <c r="AN467" t="s">
        <v>1189</v>
      </c>
      <c r="AO467" t="s">
        <v>8317</v>
      </c>
      <c r="AP467" t="s">
        <v>8318</v>
      </c>
      <c r="AQ467" t="s">
        <v>74</v>
      </c>
      <c r="AR467" t="s">
        <v>8319</v>
      </c>
      <c r="AS467" t="s">
        <v>8320</v>
      </c>
      <c r="AT467" t="s">
        <v>8181</v>
      </c>
      <c r="AU467">
        <v>2023</v>
      </c>
      <c r="AV467" t="s">
        <v>74</v>
      </c>
      <c r="AW467" t="s">
        <v>74</v>
      </c>
      <c r="AX467" t="s">
        <v>74</v>
      </c>
      <c r="AY467" t="s">
        <v>74</v>
      </c>
      <c r="AZ467" t="s">
        <v>74</v>
      </c>
      <c r="BA467" t="s">
        <v>74</v>
      </c>
      <c r="BB467" t="s">
        <v>74</v>
      </c>
      <c r="BC467" t="s">
        <v>74</v>
      </c>
      <c r="BD467" t="s">
        <v>74</v>
      </c>
      <c r="BE467" t="s">
        <v>8321</v>
      </c>
      <c r="BF467" t="str">
        <f>HYPERLINK("http://dx.doi.org/10.1080/14708477.2023.2248962","http://dx.doi.org/10.1080/14708477.2023.2248962")</f>
        <v>http://dx.doi.org/10.1080/14708477.2023.2248962</v>
      </c>
      <c r="BG467" t="s">
        <v>74</v>
      </c>
      <c r="BH467" t="s">
        <v>5545</v>
      </c>
      <c r="BI467">
        <v>15</v>
      </c>
      <c r="BJ467" t="s">
        <v>8183</v>
      </c>
      <c r="BK467" t="s">
        <v>7170</v>
      </c>
      <c r="BL467" t="s">
        <v>8184</v>
      </c>
      <c r="BM467" t="s">
        <v>8322</v>
      </c>
      <c r="BN467" t="s">
        <v>74</v>
      </c>
      <c r="BO467" t="s">
        <v>74</v>
      </c>
      <c r="BP467" t="s">
        <v>74</v>
      </c>
      <c r="BQ467" t="s">
        <v>74</v>
      </c>
      <c r="BR467" t="s">
        <v>105</v>
      </c>
      <c r="BS467" t="s">
        <v>8323</v>
      </c>
      <c r="BT467" t="str">
        <f>HYPERLINK("https%3A%2F%2Fwww.webofscience.com%2Fwos%2Fwoscc%2Ffull-record%2FWOS:001057831300001","View Full Record in Web of Science")</f>
        <v>View Full Record in Web of Science</v>
      </c>
    </row>
    <row r="468" spans="1:72" x14ac:dyDescent="0.15">
      <c r="A468" t="s">
        <v>72</v>
      </c>
      <c r="B468" t="s">
        <v>8324</v>
      </c>
      <c r="C468" t="s">
        <v>74</v>
      </c>
      <c r="D468" t="s">
        <v>74</v>
      </c>
      <c r="E468" t="s">
        <v>74</v>
      </c>
      <c r="F468" t="s">
        <v>8325</v>
      </c>
      <c r="G468" t="s">
        <v>74</v>
      </c>
      <c r="H468" t="s">
        <v>74</v>
      </c>
      <c r="I468" t="s">
        <v>8326</v>
      </c>
      <c r="J468" t="s">
        <v>8231</v>
      </c>
      <c r="K468" t="s">
        <v>74</v>
      </c>
      <c r="L468" t="s">
        <v>74</v>
      </c>
      <c r="M468" t="s">
        <v>78</v>
      </c>
      <c r="N468" t="s">
        <v>2650</v>
      </c>
      <c r="O468" t="s">
        <v>74</v>
      </c>
      <c r="P468" t="s">
        <v>74</v>
      </c>
      <c r="Q468" t="s">
        <v>74</v>
      </c>
      <c r="R468" t="s">
        <v>74</v>
      </c>
      <c r="S468" t="s">
        <v>74</v>
      </c>
      <c r="T468" t="s">
        <v>74</v>
      </c>
      <c r="U468" t="s">
        <v>74</v>
      </c>
      <c r="V468" t="s">
        <v>74</v>
      </c>
      <c r="W468" t="s">
        <v>8327</v>
      </c>
      <c r="X468" t="s">
        <v>8328</v>
      </c>
      <c r="Y468" t="s">
        <v>8329</v>
      </c>
      <c r="Z468" t="s">
        <v>8330</v>
      </c>
      <c r="AA468" t="s">
        <v>74</v>
      </c>
      <c r="AB468" t="s">
        <v>74</v>
      </c>
      <c r="AC468" t="s">
        <v>74</v>
      </c>
      <c r="AD468" t="s">
        <v>74</v>
      </c>
      <c r="AE468" t="s">
        <v>74</v>
      </c>
      <c r="AF468" t="s">
        <v>74</v>
      </c>
      <c r="AG468">
        <v>4</v>
      </c>
      <c r="AH468">
        <v>0</v>
      </c>
      <c r="AI468">
        <v>0</v>
      </c>
      <c r="AJ468">
        <v>0</v>
      </c>
      <c r="AK468">
        <v>0</v>
      </c>
      <c r="AL468" t="s">
        <v>1188</v>
      </c>
      <c r="AM468" t="s">
        <v>93</v>
      </c>
      <c r="AN468" t="s">
        <v>1189</v>
      </c>
      <c r="AO468" t="s">
        <v>8236</v>
      </c>
      <c r="AP468" t="s">
        <v>8237</v>
      </c>
      <c r="AQ468" t="s">
        <v>74</v>
      </c>
      <c r="AR468" t="s">
        <v>8238</v>
      </c>
      <c r="AS468" t="s">
        <v>8239</v>
      </c>
      <c r="AT468" t="s">
        <v>7946</v>
      </c>
      <c r="AU468">
        <v>2023</v>
      </c>
      <c r="AV468">
        <v>94</v>
      </c>
      <c r="AW468">
        <v>7</v>
      </c>
      <c r="AX468" t="s">
        <v>74</v>
      </c>
      <c r="AY468" t="s">
        <v>74</v>
      </c>
      <c r="AZ468" t="s">
        <v>74</v>
      </c>
      <c r="BA468" t="s">
        <v>74</v>
      </c>
      <c r="BB468">
        <v>47</v>
      </c>
      <c r="BC468">
        <v>48</v>
      </c>
      <c r="BD468" t="s">
        <v>74</v>
      </c>
      <c r="BE468" t="s">
        <v>8331</v>
      </c>
      <c r="BF468" t="str">
        <f>HYPERLINK("http://dx.doi.org/10.1080/07303084.2023.2237373","http://dx.doi.org/10.1080/07303084.2023.2237373")</f>
        <v>http://dx.doi.org/10.1080/07303084.2023.2237373</v>
      </c>
      <c r="BG468" t="s">
        <v>74</v>
      </c>
      <c r="BH468" t="s">
        <v>74</v>
      </c>
      <c r="BI468">
        <v>2</v>
      </c>
      <c r="BJ468" t="s">
        <v>271</v>
      </c>
      <c r="BK468" t="s">
        <v>211</v>
      </c>
      <c r="BL468" t="s">
        <v>271</v>
      </c>
      <c r="BM468" t="s">
        <v>8241</v>
      </c>
      <c r="BN468" t="s">
        <v>74</v>
      </c>
      <c r="BO468" t="s">
        <v>74</v>
      </c>
      <c r="BP468" t="s">
        <v>74</v>
      </c>
      <c r="BQ468" t="s">
        <v>74</v>
      </c>
      <c r="BR468" t="s">
        <v>105</v>
      </c>
      <c r="BS468" t="s">
        <v>8332</v>
      </c>
      <c r="BT468" t="str">
        <f>HYPERLINK("https%3A%2F%2Fwww.webofscience.com%2Fwos%2Fwoscc%2Ffull-record%2FWOS:001067409900010","View Full Record in Web of Science")</f>
        <v>View Full Record in Web of Science</v>
      </c>
    </row>
    <row r="469" spans="1:72" x14ac:dyDescent="0.15">
      <c r="A469" t="s">
        <v>72</v>
      </c>
      <c r="B469" t="s">
        <v>8333</v>
      </c>
      <c r="C469" t="s">
        <v>74</v>
      </c>
      <c r="D469" t="s">
        <v>74</v>
      </c>
      <c r="E469" t="s">
        <v>74</v>
      </c>
      <c r="F469" t="s">
        <v>8334</v>
      </c>
      <c r="G469" t="s">
        <v>74</v>
      </c>
      <c r="H469" t="s">
        <v>74</v>
      </c>
      <c r="I469" t="s">
        <v>8335</v>
      </c>
      <c r="J469" t="s">
        <v>8336</v>
      </c>
      <c r="K469" t="s">
        <v>74</v>
      </c>
      <c r="L469" t="s">
        <v>74</v>
      </c>
      <c r="M469" t="s">
        <v>78</v>
      </c>
      <c r="N469" t="s">
        <v>5492</v>
      </c>
      <c r="O469" t="s">
        <v>74</v>
      </c>
      <c r="P469" t="s">
        <v>74</v>
      </c>
      <c r="Q469" t="s">
        <v>74</v>
      </c>
      <c r="R469" t="s">
        <v>74</v>
      </c>
      <c r="S469" t="s">
        <v>74</v>
      </c>
      <c r="T469" t="s">
        <v>8337</v>
      </c>
      <c r="U469" t="s">
        <v>8338</v>
      </c>
      <c r="V469" t="s">
        <v>8339</v>
      </c>
      <c r="W469" t="s">
        <v>8340</v>
      </c>
      <c r="X469" t="s">
        <v>74</v>
      </c>
      <c r="Y469" t="s">
        <v>8341</v>
      </c>
      <c r="Z469" t="s">
        <v>8342</v>
      </c>
      <c r="AA469" t="s">
        <v>74</v>
      </c>
      <c r="AB469" t="s">
        <v>74</v>
      </c>
      <c r="AC469" t="s">
        <v>8343</v>
      </c>
      <c r="AD469" t="s">
        <v>8343</v>
      </c>
      <c r="AE469" t="s">
        <v>8344</v>
      </c>
      <c r="AF469" t="s">
        <v>74</v>
      </c>
      <c r="AG469">
        <v>34</v>
      </c>
      <c r="AH469">
        <v>0</v>
      </c>
      <c r="AI469">
        <v>0</v>
      </c>
      <c r="AJ469">
        <v>1</v>
      </c>
      <c r="AK469">
        <v>1</v>
      </c>
      <c r="AL469" t="s">
        <v>184</v>
      </c>
      <c r="AM469" t="s">
        <v>185</v>
      </c>
      <c r="AN469" t="s">
        <v>186</v>
      </c>
      <c r="AO469" t="s">
        <v>8345</v>
      </c>
      <c r="AP469" t="s">
        <v>8346</v>
      </c>
      <c r="AQ469" t="s">
        <v>74</v>
      </c>
      <c r="AR469" t="s">
        <v>8347</v>
      </c>
      <c r="AS469" t="s">
        <v>8348</v>
      </c>
      <c r="AT469" t="s">
        <v>8181</v>
      </c>
      <c r="AU469">
        <v>2023</v>
      </c>
      <c r="AV469" t="s">
        <v>74</v>
      </c>
      <c r="AW469" t="s">
        <v>74</v>
      </c>
      <c r="AX469" t="s">
        <v>74</v>
      </c>
      <c r="AY469" t="s">
        <v>74</v>
      </c>
      <c r="AZ469" t="s">
        <v>74</v>
      </c>
      <c r="BA469" t="s">
        <v>74</v>
      </c>
      <c r="BB469" t="s">
        <v>74</v>
      </c>
      <c r="BC469" t="s">
        <v>74</v>
      </c>
      <c r="BD469" t="s">
        <v>74</v>
      </c>
      <c r="BE469" t="s">
        <v>8349</v>
      </c>
      <c r="BF469" t="str">
        <f>HYPERLINK("http://dx.doi.org/10.1080/01647954.2023.2251497","http://dx.doi.org/10.1080/01647954.2023.2251497")</f>
        <v>http://dx.doi.org/10.1080/01647954.2023.2251497</v>
      </c>
      <c r="BG469" t="s">
        <v>74</v>
      </c>
      <c r="BH469" t="s">
        <v>5545</v>
      </c>
      <c r="BI469">
        <v>9</v>
      </c>
      <c r="BJ469" t="s">
        <v>8350</v>
      </c>
      <c r="BK469" t="s">
        <v>102</v>
      </c>
      <c r="BL469" t="s">
        <v>8350</v>
      </c>
      <c r="BM469" t="s">
        <v>8351</v>
      </c>
      <c r="BN469" t="s">
        <v>74</v>
      </c>
      <c r="BO469" t="s">
        <v>74</v>
      </c>
      <c r="BP469" t="s">
        <v>74</v>
      </c>
      <c r="BQ469" t="s">
        <v>74</v>
      </c>
      <c r="BR469" t="s">
        <v>105</v>
      </c>
      <c r="BS469" t="s">
        <v>8352</v>
      </c>
      <c r="BT469" t="str">
        <f>HYPERLINK("https%3A%2F%2Fwww.webofscience.com%2Fwos%2Fwoscc%2Ffull-record%2FWOS:001060112200001","View Full Record in Web of Science")</f>
        <v>View Full Record in Web of Science</v>
      </c>
    </row>
    <row r="470" spans="1:72" x14ac:dyDescent="0.15">
      <c r="A470" t="s">
        <v>72</v>
      </c>
      <c r="B470" t="s">
        <v>8353</v>
      </c>
      <c r="C470" t="s">
        <v>74</v>
      </c>
      <c r="D470" t="s">
        <v>74</v>
      </c>
      <c r="E470" t="s">
        <v>74</v>
      </c>
      <c r="F470" t="s">
        <v>8354</v>
      </c>
      <c r="G470" t="s">
        <v>74</v>
      </c>
      <c r="H470" t="s">
        <v>74</v>
      </c>
      <c r="I470" t="s">
        <v>8355</v>
      </c>
      <c r="J470" t="s">
        <v>8356</v>
      </c>
      <c r="K470" t="s">
        <v>74</v>
      </c>
      <c r="L470" t="s">
        <v>74</v>
      </c>
      <c r="M470" t="s">
        <v>78</v>
      </c>
      <c r="N470" t="s">
        <v>5492</v>
      </c>
      <c r="O470" t="s">
        <v>74</v>
      </c>
      <c r="P470" t="s">
        <v>74</v>
      </c>
      <c r="Q470" t="s">
        <v>74</v>
      </c>
      <c r="R470" t="s">
        <v>74</v>
      </c>
      <c r="S470" t="s">
        <v>74</v>
      </c>
      <c r="T470" t="s">
        <v>8357</v>
      </c>
      <c r="U470" t="s">
        <v>8358</v>
      </c>
      <c r="V470" t="s">
        <v>8359</v>
      </c>
      <c r="W470" t="s">
        <v>8360</v>
      </c>
      <c r="X470" t="s">
        <v>8361</v>
      </c>
      <c r="Y470" t="s">
        <v>8362</v>
      </c>
      <c r="Z470" t="s">
        <v>8363</v>
      </c>
      <c r="AA470" t="s">
        <v>74</v>
      </c>
      <c r="AB470" t="s">
        <v>74</v>
      </c>
      <c r="AC470" t="s">
        <v>8364</v>
      </c>
      <c r="AD470" t="s">
        <v>8365</v>
      </c>
      <c r="AE470" t="s">
        <v>8366</v>
      </c>
      <c r="AF470" t="s">
        <v>74</v>
      </c>
      <c r="AG470">
        <v>36</v>
      </c>
      <c r="AH470">
        <v>0</v>
      </c>
      <c r="AI470">
        <v>0</v>
      </c>
      <c r="AJ470">
        <v>0</v>
      </c>
      <c r="AK470">
        <v>0</v>
      </c>
      <c r="AL470" t="s">
        <v>1188</v>
      </c>
      <c r="AM470" t="s">
        <v>93</v>
      </c>
      <c r="AN470" t="s">
        <v>1189</v>
      </c>
      <c r="AO470" t="s">
        <v>8367</v>
      </c>
      <c r="AP470" t="s">
        <v>8368</v>
      </c>
      <c r="AQ470" t="s">
        <v>74</v>
      </c>
      <c r="AR470" t="s">
        <v>8369</v>
      </c>
      <c r="AS470" t="s">
        <v>8370</v>
      </c>
      <c r="AT470" t="s">
        <v>8181</v>
      </c>
      <c r="AU470">
        <v>2023</v>
      </c>
      <c r="AV470" t="s">
        <v>74</v>
      </c>
      <c r="AW470" t="s">
        <v>74</v>
      </c>
      <c r="AX470" t="s">
        <v>74</v>
      </c>
      <c r="AY470" t="s">
        <v>74</v>
      </c>
      <c r="AZ470" t="s">
        <v>74</v>
      </c>
      <c r="BA470" t="s">
        <v>74</v>
      </c>
      <c r="BB470" t="s">
        <v>74</v>
      </c>
      <c r="BC470" t="s">
        <v>74</v>
      </c>
      <c r="BD470" t="s">
        <v>74</v>
      </c>
      <c r="BE470" t="s">
        <v>8371</v>
      </c>
      <c r="BF470" t="str">
        <f>HYPERLINK("http://dx.doi.org/10.1080/10508422.2023.2252120","http://dx.doi.org/10.1080/10508422.2023.2252120")</f>
        <v>http://dx.doi.org/10.1080/10508422.2023.2252120</v>
      </c>
      <c r="BG470" t="s">
        <v>74</v>
      </c>
      <c r="BH470" t="s">
        <v>5545</v>
      </c>
      <c r="BI470">
        <v>12</v>
      </c>
      <c r="BJ470" t="s">
        <v>8372</v>
      </c>
      <c r="BK470" t="s">
        <v>272</v>
      </c>
      <c r="BL470" t="s">
        <v>8373</v>
      </c>
      <c r="BM470" t="s">
        <v>8374</v>
      </c>
      <c r="BN470" t="s">
        <v>74</v>
      </c>
      <c r="BO470" t="s">
        <v>74</v>
      </c>
      <c r="BP470" t="s">
        <v>74</v>
      </c>
      <c r="BQ470" t="s">
        <v>74</v>
      </c>
      <c r="BR470" t="s">
        <v>105</v>
      </c>
      <c r="BS470" t="s">
        <v>8375</v>
      </c>
      <c r="BT470" t="str">
        <f>HYPERLINK("https%3A%2F%2Fwww.webofscience.com%2Fwos%2Fwoscc%2Ffull-record%2FWOS:001058148400001","View Full Record in Web of Science")</f>
        <v>View Full Record in Web of Science</v>
      </c>
    </row>
    <row r="471" spans="1:72" x14ac:dyDescent="0.15">
      <c r="A471" t="s">
        <v>72</v>
      </c>
      <c r="B471" t="s">
        <v>8376</v>
      </c>
      <c r="C471" t="s">
        <v>74</v>
      </c>
      <c r="D471" t="s">
        <v>74</v>
      </c>
      <c r="E471" t="s">
        <v>74</v>
      </c>
      <c r="F471" t="s">
        <v>8377</v>
      </c>
      <c r="G471" t="s">
        <v>74</v>
      </c>
      <c r="H471" t="s">
        <v>74</v>
      </c>
      <c r="I471" t="s">
        <v>8378</v>
      </c>
      <c r="J471" t="s">
        <v>8379</v>
      </c>
      <c r="K471" t="s">
        <v>74</v>
      </c>
      <c r="L471" t="s">
        <v>74</v>
      </c>
      <c r="M471" t="s">
        <v>78</v>
      </c>
      <c r="N471" t="s">
        <v>5492</v>
      </c>
      <c r="O471" t="s">
        <v>74</v>
      </c>
      <c r="P471" t="s">
        <v>74</v>
      </c>
      <c r="Q471" t="s">
        <v>74</v>
      </c>
      <c r="R471" t="s">
        <v>74</v>
      </c>
      <c r="S471" t="s">
        <v>74</v>
      </c>
      <c r="T471" t="s">
        <v>8380</v>
      </c>
      <c r="U471" t="s">
        <v>8381</v>
      </c>
      <c r="V471" t="s">
        <v>8382</v>
      </c>
      <c r="W471" t="s">
        <v>8383</v>
      </c>
      <c r="X471" t="s">
        <v>8384</v>
      </c>
      <c r="Y471" t="s">
        <v>8385</v>
      </c>
      <c r="Z471" t="s">
        <v>8386</v>
      </c>
      <c r="AA471" t="s">
        <v>8387</v>
      </c>
      <c r="AB471" t="s">
        <v>8388</v>
      </c>
      <c r="AC471" t="s">
        <v>8389</v>
      </c>
      <c r="AD471" t="s">
        <v>8390</v>
      </c>
      <c r="AE471" t="s">
        <v>8391</v>
      </c>
      <c r="AF471" t="s">
        <v>74</v>
      </c>
      <c r="AG471">
        <v>99</v>
      </c>
      <c r="AH471">
        <v>0</v>
      </c>
      <c r="AI471">
        <v>0</v>
      </c>
      <c r="AJ471">
        <v>1</v>
      </c>
      <c r="AK471">
        <v>1</v>
      </c>
      <c r="AL471" t="s">
        <v>1188</v>
      </c>
      <c r="AM471" t="s">
        <v>93</v>
      </c>
      <c r="AN471" t="s">
        <v>1189</v>
      </c>
      <c r="AO471" t="s">
        <v>8392</v>
      </c>
      <c r="AP471" t="s">
        <v>8393</v>
      </c>
      <c r="AQ471" t="s">
        <v>74</v>
      </c>
      <c r="AR471" t="s">
        <v>8394</v>
      </c>
      <c r="AS471" t="s">
        <v>8395</v>
      </c>
      <c r="AT471" t="s">
        <v>8396</v>
      </c>
      <c r="AU471">
        <v>2023</v>
      </c>
      <c r="AV471" t="s">
        <v>74</v>
      </c>
      <c r="AW471" t="s">
        <v>74</v>
      </c>
      <c r="AX471" t="s">
        <v>74</v>
      </c>
      <c r="AY471" t="s">
        <v>74</v>
      </c>
      <c r="AZ471" t="s">
        <v>74</v>
      </c>
      <c r="BA471" t="s">
        <v>74</v>
      </c>
      <c r="BB471" t="s">
        <v>74</v>
      </c>
      <c r="BC471" t="s">
        <v>74</v>
      </c>
      <c r="BD471" t="s">
        <v>74</v>
      </c>
      <c r="BE471" t="s">
        <v>8397</v>
      </c>
      <c r="BF471" t="str">
        <f>HYPERLINK("http://dx.doi.org/10.1080/09687599.2023.2254468","http://dx.doi.org/10.1080/09687599.2023.2254468")</f>
        <v>http://dx.doi.org/10.1080/09687599.2023.2254468</v>
      </c>
      <c r="BG471" t="s">
        <v>74</v>
      </c>
      <c r="BH471" t="s">
        <v>5545</v>
      </c>
      <c r="BI471">
        <v>23</v>
      </c>
      <c r="BJ471" t="s">
        <v>8398</v>
      </c>
      <c r="BK471" t="s">
        <v>272</v>
      </c>
      <c r="BL471" t="s">
        <v>8399</v>
      </c>
      <c r="BM471" t="s">
        <v>8400</v>
      </c>
      <c r="BN471" t="s">
        <v>74</v>
      </c>
      <c r="BO471" t="s">
        <v>74</v>
      </c>
      <c r="BP471" t="s">
        <v>74</v>
      </c>
      <c r="BQ471" t="s">
        <v>74</v>
      </c>
      <c r="BR471" t="s">
        <v>105</v>
      </c>
      <c r="BS471" t="s">
        <v>8401</v>
      </c>
      <c r="BT471" t="str">
        <f>HYPERLINK("https%3A%2F%2Fwww.webofscience.com%2Fwos%2Fwoscc%2Ffull-record%2FWOS:001065778600001","View Full Record in Web of Science")</f>
        <v>View Full Record in Web of Science</v>
      </c>
    </row>
    <row r="472" spans="1:72" x14ac:dyDescent="0.15">
      <c r="A472" t="s">
        <v>72</v>
      </c>
      <c r="B472" t="s">
        <v>8402</v>
      </c>
      <c r="C472" t="s">
        <v>74</v>
      </c>
      <c r="D472" t="s">
        <v>74</v>
      </c>
      <c r="E472" t="s">
        <v>74</v>
      </c>
      <c r="F472" t="s">
        <v>8403</v>
      </c>
      <c r="G472" t="s">
        <v>74</v>
      </c>
      <c r="H472" t="s">
        <v>74</v>
      </c>
      <c r="I472" t="s">
        <v>8404</v>
      </c>
      <c r="J472" t="s">
        <v>8405</v>
      </c>
      <c r="K472" t="s">
        <v>74</v>
      </c>
      <c r="L472" t="s">
        <v>74</v>
      </c>
      <c r="M472" t="s">
        <v>78</v>
      </c>
      <c r="N472" t="s">
        <v>6253</v>
      </c>
      <c r="O472" t="s">
        <v>74</v>
      </c>
      <c r="P472" t="s">
        <v>74</v>
      </c>
      <c r="Q472" t="s">
        <v>74</v>
      </c>
      <c r="R472" t="s">
        <v>74</v>
      </c>
      <c r="S472" t="s">
        <v>74</v>
      </c>
      <c r="T472" t="s">
        <v>74</v>
      </c>
      <c r="U472" t="s">
        <v>74</v>
      </c>
      <c r="V472" t="s">
        <v>74</v>
      </c>
      <c r="W472" t="s">
        <v>8406</v>
      </c>
      <c r="X472" t="s">
        <v>8407</v>
      </c>
      <c r="Y472" t="s">
        <v>8408</v>
      </c>
      <c r="Z472" t="s">
        <v>8409</v>
      </c>
      <c r="AA472" t="s">
        <v>74</v>
      </c>
      <c r="AB472" t="s">
        <v>74</v>
      </c>
      <c r="AC472" t="s">
        <v>74</v>
      </c>
      <c r="AD472" t="s">
        <v>74</v>
      </c>
      <c r="AE472" t="s">
        <v>74</v>
      </c>
      <c r="AF472" t="s">
        <v>74</v>
      </c>
      <c r="AG472">
        <v>5</v>
      </c>
      <c r="AH472">
        <v>0</v>
      </c>
      <c r="AI472">
        <v>0</v>
      </c>
      <c r="AJ472">
        <v>0</v>
      </c>
      <c r="AK472">
        <v>0</v>
      </c>
      <c r="AL472" t="s">
        <v>1188</v>
      </c>
      <c r="AM472" t="s">
        <v>93</v>
      </c>
      <c r="AN472" t="s">
        <v>1189</v>
      </c>
      <c r="AO472" t="s">
        <v>8410</v>
      </c>
      <c r="AP472" t="s">
        <v>8411</v>
      </c>
      <c r="AQ472" t="s">
        <v>74</v>
      </c>
      <c r="AR472" t="s">
        <v>8412</v>
      </c>
      <c r="AS472" t="s">
        <v>8413</v>
      </c>
      <c r="AT472" t="s">
        <v>8396</v>
      </c>
      <c r="AU472">
        <v>2023</v>
      </c>
      <c r="AV472" t="s">
        <v>74</v>
      </c>
      <c r="AW472" t="s">
        <v>74</v>
      </c>
      <c r="AX472" t="s">
        <v>74</v>
      </c>
      <c r="AY472" t="s">
        <v>74</v>
      </c>
      <c r="AZ472" t="s">
        <v>74</v>
      </c>
      <c r="BA472" t="s">
        <v>74</v>
      </c>
      <c r="BB472" t="s">
        <v>74</v>
      </c>
      <c r="BC472" t="s">
        <v>74</v>
      </c>
      <c r="BD472" t="s">
        <v>74</v>
      </c>
      <c r="BE472" t="s">
        <v>8414</v>
      </c>
      <c r="BF472" t="str">
        <f>HYPERLINK("http://dx.doi.org/10.1080/13629387.2023.2254046","http://dx.doi.org/10.1080/13629387.2023.2254046")</f>
        <v>http://dx.doi.org/10.1080/13629387.2023.2254046</v>
      </c>
      <c r="BG472" t="s">
        <v>74</v>
      </c>
      <c r="BH472" t="s">
        <v>5545</v>
      </c>
      <c r="BI472">
        <v>4</v>
      </c>
      <c r="BJ472" t="s">
        <v>5750</v>
      </c>
      <c r="BK472" t="s">
        <v>211</v>
      </c>
      <c r="BL472" t="s">
        <v>5750</v>
      </c>
      <c r="BM472" t="s">
        <v>8415</v>
      </c>
      <c r="BN472" t="s">
        <v>74</v>
      </c>
      <c r="BO472" t="s">
        <v>74</v>
      </c>
      <c r="BP472" t="s">
        <v>74</v>
      </c>
      <c r="BQ472" t="s">
        <v>74</v>
      </c>
      <c r="BR472" t="s">
        <v>105</v>
      </c>
      <c r="BS472" t="s">
        <v>8416</v>
      </c>
      <c r="BT472" t="str">
        <f>HYPERLINK("https%3A%2F%2Fwww.webofscience.com%2Fwos%2Fwoscc%2Ffull-record%2FWOS:001065211700001","View Full Record in Web of Science")</f>
        <v>View Full Record in Web of Science</v>
      </c>
    </row>
    <row r="473" spans="1:72" x14ac:dyDescent="0.15">
      <c r="A473" t="s">
        <v>72</v>
      </c>
      <c r="B473" t="s">
        <v>8417</v>
      </c>
      <c r="C473" t="s">
        <v>74</v>
      </c>
      <c r="D473" t="s">
        <v>74</v>
      </c>
      <c r="E473" t="s">
        <v>74</v>
      </c>
      <c r="F473" t="s">
        <v>8418</v>
      </c>
      <c r="G473" t="s">
        <v>74</v>
      </c>
      <c r="H473" t="s">
        <v>74</v>
      </c>
      <c r="I473" t="s">
        <v>8419</v>
      </c>
      <c r="J473" t="s">
        <v>8420</v>
      </c>
      <c r="K473" t="s">
        <v>74</v>
      </c>
      <c r="L473" t="s">
        <v>74</v>
      </c>
      <c r="M473" t="s">
        <v>78</v>
      </c>
      <c r="N473" t="s">
        <v>5492</v>
      </c>
      <c r="O473" t="s">
        <v>74</v>
      </c>
      <c r="P473" t="s">
        <v>74</v>
      </c>
      <c r="Q473" t="s">
        <v>74</v>
      </c>
      <c r="R473" t="s">
        <v>74</v>
      </c>
      <c r="S473" t="s">
        <v>74</v>
      </c>
      <c r="T473" t="s">
        <v>8421</v>
      </c>
      <c r="U473" t="s">
        <v>8422</v>
      </c>
      <c r="V473" t="s">
        <v>8423</v>
      </c>
      <c r="W473" t="s">
        <v>8424</v>
      </c>
      <c r="X473" t="s">
        <v>8425</v>
      </c>
      <c r="Y473" t="s">
        <v>8426</v>
      </c>
      <c r="Z473" t="s">
        <v>8427</v>
      </c>
      <c r="AA473" t="s">
        <v>74</v>
      </c>
      <c r="AB473" t="s">
        <v>74</v>
      </c>
      <c r="AC473" t="s">
        <v>74</v>
      </c>
      <c r="AD473" t="s">
        <v>74</v>
      </c>
      <c r="AE473" t="s">
        <v>74</v>
      </c>
      <c r="AF473" t="s">
        <v>74</v>
      </c>
      <c r="AG473">
        <v>104</v>
      </c>
      <c r="AH473">
        <v>0</v>
      </c>
      <c r="AI473">
        <v>0</v>
      </c>
      <c r="AJ473">
        <v>0</v>
      </c>
      <c r="AK473">
        <v>0</v>
      </c>
      <c r="AL473" t="s">
        <v>1188</v>
      </c>
      <c r="AM473" t="s">
        <v>93</v>
      </c>
      <c r="AN473" t="s">
        <v>1189</v>
      </c>
      <c r="AO473" t="s">
        <v>8428</v>
      </c>
      <c r="AP473" t="s">
        <v>8429</v>
      </c>
      <c r="AQ473" t="s">
        <v>74</v>
      </c>
      <c r="AR473" t="s">
        <v>8430</v>
      </c>
      <c r="AS473" t="s">
        <v>8431</v>
      </c>
      <c r="AT473" t="s">
        <v>8396</v>
      </c>
      <c r="AU473">
        <v>2023</v>
      </c>
      <c r="AV473" t="s">
        <v>74</v>
      </c>
      <c r="AW473" t="s">
        <v>74</v>
      </c>
      <c r="AX473" t="s">
        <v>74</v>
      </c>
      <c r="AY473" t="s">
        <v>74</v>
      </c>
      <c r="AZ473" t="s">
        <v>74</v>
      </c>
      <c r="BA473" t="s">
        <v>74</v>
      </c>
      <c r="BB473" t="s">
        <v>74</v>
      </c>
      <c r="BC473" t="s">
        <v>74</v>
      </c>
      <c r="BD473" t="s">
        <v>74</v>
      </c>
      <c r="BE473" t="s">
        <v>8432</v>
      </c>
      <c r="BF473" t="str">
        <f>HYPERLINK("http://dx.doi.org/10.1080/07393148.2023.2249297","http://dx.doi.org/10.1080/07393148.2023.2249297")</f>
        <v>http://dx.doi.org/10.1080/07393148.2023.2249297</v>
      </c>
      <c r="BG473" t="s">
        <v>74</v>
      </c>
      <c r="BH473" t="s">
        <v>5545</v>
      </c>
      <c r="BI473">
        <v>28</v>
      </c>
      <c r="BJ473" t="s">
        <v>6893</v>
      </c>
      <c r="BK473" t="s">
        <v>211</v>
      </c>
      <c r="BL473" t="s">
        <v>6894</v>
      </c>
      <c r="BM473" t="s">
        <v>8433</v>
      </c>
      <c r="BN473" t="s">
        <v>74</v>
      </c>
      <c r="BO473" t="s">
        <v>74</v>
      </c>
      <c r="BP473" t="s">
        <v>74</v>
      </c>
      <c r="BQ473" t="s">
        <v>74</v>
      </c>
      <c r="BR473" t="s">
        <v>105</v>
      </c>
      <c r="BS473" t="s">
        <v>8434</v>
      </c>
      <c r="BT473" t="str">
        <f>HYPERLINK("https%3A%2F%2Fwww.webofscience.com%2Fwos%2Fwoscc%2Ffull-record%2FWOS:001061821200001","View Full Record in Web of Science")</f>
        <v>View Full Record in Web of Science</v>
      </c>
    </row>
    <row r="474" spans="1:72" x14ac:dyDescent="0.15">
      <c r="A474" t="s">
        <v>72</v>
      </c>
      <c r="B474" t="s">
        <v>8435</v>
      </c>
      <c r="C474" t="s">
        <v>74</v>
      </c>
      <c r="D474" t="s">
        <v>74</v>
      </c>
      <c r="E474" t="s">
        <v>74</v>
      </c>
      <c r="F474" t="s">
        <v>8436</v>
      </c>
      <c r="G474" t="s">
        <v>74</v>
      </c>
      <c r="H474" t="s">
        <v>74</v>
      </c>
      <c r="I474" t="s">
        <v>8437</v>
      </c>
      <c r="J474" t="s">
        <v>8438</v>
      </c>
      <c r="K474" t="s">
        <v>74</v>
      </c>
      <c r="L474" t="s">
        <v>74</v>
      </c>
      <c r="M474" t="s">
        <v>78</v>
      </c>
      <c r="N474" t="s">
        <v>5492</v>
      </c>
      <c r="O474" t="s">
        <v>74</v>
      </c>
      <c r="P474" t="s">
        <v>74</v>
      </c>
      <c r="Q474" t="s">
        <v>74</v>
      </c>
      <c r="R474" t="s">
        <v>74</v>
      </c>
      <c r="S474" t="s">
        <v>74</v>
      </c>
      <c r="T474" t="s">
        <v>8439</v>
      </c>
      <c r="U474" t="s">
        <v>8440</v>
      </c>
      <c r="V474" t="s">
        <v>8441</v>
      </c>
      <c r="W474" t="s">
        <v>8442</v>
      </c>
      <c r="X474" t="s">
        <v>8443</v>
      </c>
      <c r="Y474" t="s">
        <v>8444</v>
      </c>
      <c r="Z474" t="s">
        <v>8445</v>
      </c>
      <c r="AA474" t="s">
        <v>74</v>
      </c>
      <c r="AB474" t="s">
        <v>74</v>
      </c>
      <c r="AC474" t="s">
        <v>74</v>
      </c>
      <c r="AD474" t="s">
        <v>74</v>
      </c>
      <c r="AE474" t="s">
        <v>74</v>
      </c>
      <c r="AF474" t="s">
        <v>74</v>
      </c>
      <c r="AG474">
        <v>48</v>
      </c>
      <c r="AH474">
        <v>0</v>
      </c>
      <c r="AI474">
        <v>0</v>
      </c>
      <c r="AJ474">
        <v>0</v>
      </c>
      <c r="AK474">
        <v>0</v>
      </c>
      <c r="AL474" t="s">
        <v>1188</v>
      </c>
      <c r="AM474" t="s">
        <v>93</v>
      </c>
      <c r="AN474" t="s">
        <v>1189</v>
      </c>
      <c r="AO474" t="s">
        <v>8446</v>
      </c>
      <c r="AP474" t="s">
        <v>8447</v>
      </c>
      <c r="AQ474" t="s">
        <v>74</v>
      </c>
      <c r="AR474" t="s">
        <v>8448</v>
      </c>
      <c r="AS474" t="s">
        <v>8449</v>
      </c>
      <c r="AT474" t="s">
        <v>8396</v>
      </c>
      <c r="AU474">
        <v>2023</v>
      </c>
      <c r="AV474" t="s">
        <v>74</v>
      </c>
      <c r="AW474" t="s">
        <v>74</v>
      </c>
      <c r="AX474" t="s">
        <v>74</v>
      </c>
      <c r="AY474" t="s">
        <v>74</v>
      </c>
      <c r="AZ474" t="s">
        <v>74</v>
      </c>
      <c r="BA474" t="s">
        <v>74</v>
      </c>
      <c r="BB474" t="s">
        <v>74</v>
      </c>
      <c r="BC474" t="s">
        <v>74</v>
      </c>
      <c r="BD474" t="s">
        <v>74</v>
      </c>
      <c r="BE474" t="s">
        <v>8450</v>
      </c>
      <c r="BF474" t="str">
        <f>HYPERLINK("http://dx.doi.org/10.1080/10253866.2023.2252751","http://dx.doi.org/10.1080/10253866.2023.2252751")</f>
        <v>http://dx.doi.org/10.1080/10253866.2023.2252751</v>
      </c>
      <c r="BG474" t="s">
        <v>74</v>
      </c>
      <c r="BH474" t="s">
        <v>5545</v>
      </c>
      <c r="BI474">
        <v>16</v>
      </c>
      <c r="BJ474" t="s">
        <v>294</v>
      </c>
      <c r="BK474" t="s">
        <v>272</v>
      </c>
      <c r="BL474" t="s">
        <v>295</v>
      </c>
      <c r="BM474" t="s">
        <v>8451</v>
      </c>
      <c r="BN474" t="s">
        <v>74</v>
      </c>
      <c r="BO474" t="s">
        <v>74</v>
      </c>
      <c r="BP474" t="s">
        <v>74</v>
      </c>
      <c r="BQ474" t="s">
        <v>74</v>
      </c>
      <c r="BR474" t="s">
        <v>105</v>
      </c>
      <c r="BS474" t="s">
        <v>8452</v>
      </c>
      <c r="BT474" t="str">
        <f>HYPERLINK("https%3A%2F%2Fwww.webofscience.com%2Fwos%2Fwoscc%2Ffull-record%2FWOS:001062496300001","View Full Record in Web of Science")</f>
        <v>View Full Record in Web of Science</v>
      </c>
    </row>
    <row r="475" spans="1:72" x14ac:dyDescent="0.15">
      <c r="A475" t="s">
        <v>72</v>
      </c>
      <c r="B475" t="s">
        <v>8453</v>
      </c>
      <c r="C475" t="s">
        <v>74</v>
      </c>
      <c r="D475" t="s">
        <v>74</v>
      </c>
      <c r="E475" t="s">
        <v>74</v>
      </c>
      <c r="F475" t="s">
        <v>8454</v>
      </c>
      <c r="G475" t="s">
        <v>74</v>
      </c>
      <c r="H475" t="s">
        <v>74</v>
      </c>
      <c r="I475" t="s">
        <v>8455</v>
      </c>
      <c r="J475" t="s">
        <v>8456</v>
      </c>
      <c r="K475" t="s">
        <v>74</v>
      </c>
      <c r="L475" t="s">
        <v>74</v>
      </c>
      <c r="M475" t="s">
        <v>78</v>
      </c>
      <c r="N475" t="s">
        <v>6352</v>
      </c>
      <c r="O475" t="s">
        <v>74</v>
      </c>
      <c r="P475" t="s">
        <v>74</v>
      </c>
      <c r="Q475" t="s">
        <v>74</v>
      </c>
      <c r="R475" t="s">
        <v>74</v>
      </c>
      <c r="S475" t="s">
        <v>74</v>
      </c>
      <c r="T475" t="s">
        <v>74</v>
      </c>
      <c r="U475" t="s">
        <v>74</v>
      </c>
      <c r="V475" t="s">
        <v>74</v>
      </c>
      <c r="W475" t="s">
        <v>8457</v>
      </c>
      <c r="X475" t="s">
        <v>8458</v>
      </c>
      <c r="Y475" t="s">
        <v>8459</v>
      </c>
      <c r="Z475" t="s">
        <v>8460</v>
      </c>
      <c r="AA475" t="s">
        <v>74</v>
      </c>
      <c r="AB475" t="s">
        <v>74</v>
      </c>
      <c r="AC475" t="s">
        <v>74</v>
      </c>
      <c r="AD475" t="s">
        <v>74</v>
      </c>
      <c r="AE475" t="s">
        <v>74</v>
      </c>
      <c r="AF475" t="s">
        <v>74</v>
      </c>
      <c r="AG475">
        <v>0</v>
      </c>
      <c r="AH475">
        <v>0</v>
      </c>
      <c r="AI475">
        <v>0</v>
      </c>
      <c r="AJ475">
        <v>0</v>
      </c>
      <c r="AK475">
        <v>0</v>
      </c>
      <c r="AL475" t="s">
        <v>1188</v>
      </c>
      <c r="AM475" t="s">
        <v>93</v>
      </c>
      <c r="AN475" t="s">
        <v>1189</v>
      </c>
      <c r="AO475" t="s">
        <v>8461</v>
      </c>
      <c r="AP475" t="s">
        <v>8462</v>
      </c>
      <c r="AQ475" t="s">
        <v>74</v>
      </c>
      <c r="AR475" t="s">
        <v>8463</v>
      </c>
      <c r="AS475" t="s">
        <v>8464</v>
      </c>
      <c r="AT475" t="s">
        <v>8396</v>
      </c>
      <c r="AU475">
        <v>2023</v>
      </c>
      <c r="AV475" t="s">
        <v>74</v>
      </c>
      <c r="AW475" t="s">
        <v>74</v>
      </c>
      <c r="AX475" t="s">
        <v>74</v>
      </c>
      <c r="AY475" t="s">
        <v>74</v>
      </c>
      <c r="AZ475" t="s">
        <v>74</v>
      </c>
      <c r="BA475" t="s">
        <v>74</v>
      </c>
      <c r="BB475" t="s">
        <v>74</v>
      </c>
      <c r="BC475" t="s">
        <v>74</v>
      </c>
      <c r="BD475" t="s">
        <v>74</v>
      </c>
      <c r="BE475" t="s">
        <v>8465</v>
      </c>
      <c r="BF475" t="str">
        <f>HYPERLINK("http://dx.doi.org/10.1080/0047729X.2023.2250212","http://dx.doi.org/10.1080/0047729X.2023.2250212")</f>
        <v>http://dx.doi.org/10.1080/0047729X.2023.2250212</v>
      </c>
      <c r="BG475" t="s">
        <v>74</v>
      </c>
      <c r="BH475" t="s">
        <v>5545</v>
      </c>
      <c r="BI475">
        <v>2</v>
      </c>
      <c r="BJ475" t="s">
        <v>6263</v>
      </c>
      <c r="BK475" t="s">
        <v>211</v>
      </c>
      <c r="BL475" t="s">
        <v>6263</v>
      </c>
      <c r="BM475" t="s">
        <v>8466</v>
      </c>
      <c r="BN475" t="s">
        <v>74</v>
      </c>
      <c r="BO475" t="s">
        <v>5391</v>
      </c>
      <c r="BP475" t="s">
        <v>74</v>
      </c>
      <c r="BQ475" t="s">
        <v>74</v>
      </c>
      <c r="BR475" t="s">
        <v>105</v>
      </c>
      <c r="BS475" t="s">
        <v>8467</v>
      </c>
      <c r="BT475" t="str">
        <f>HYPERLINK("https%3A%2F%2Fwww.webofscience.com%2Fwos%2Fwoscc%2Ffull-record%2FWOS:001064787600001","View Full Record in Web of Science")</f>
        <v>View Full Record in Web of Science</v>
      </c>
    </row>
    <row r="476" spans="1:72" x14ac:dyDescent="0.15">
      <c r="A476" t="s">
        <v>72</v>
      </c>
      <c r="B476" t="s">
        <v>8468</v>
      </c>
      <c r="C476" t="s">
        <v>74</v>
      </c>
      <c r="D476" t="s">
        <v>74</v>
      </c>
      <c r="E476" t="s">
        <v>74</v>
      </c>
      <c r="F476" t="s">
        <v>8469</v>
      </c>
      <c r="G476" t="s">
        <v>74</v>
      </c>
      <c r="H476" t="s">
        <v>74</v>
      </c>
      <c r="I476" t="s">
        <v>8470</v>
      </c>
      <c r="J476" t="s">
        <v>8471</v>
      </c>
      <c r="K476" t="s">
        <v>74</v>
      </c>
      <c r="L476" t="s">
        <v>74</v>
      </c>
      <c r="M476" t="s">
        <v>78</v>
      </c>
      <c r="N476" t="s">
        <v>5492</v>
      </c>
      <c r="O476" t="s">
        <v>74</v>
      </c>
      <c r="P476" t="s">
        <v>74</v>
      </c>
      <c r="Q476" t="s">
        <v>74</v>
      </c>
      <c r="R476" t="s">
        <v>74</v>
      </c>
      <c r="S476" t="s">
        <v>74</v>
      </c>
      <c r="T476" t="s">
        <v>8472</v>
      </c>
      <c r="U476" t="s">
        <v>8473</v>
      </c>
      <c r="V476" t="s">
        <v>8474</v>
      </c>
      <c r="W476" t="s">
        <v>8475</v>
      </c>
      <c r="X476" t="s">
        <v>8476</v>
      </c>
      <c r="Y476" t="s">
        <v>8477</v>
      </c>
      <c r="Z476" t="s">
        <v>8478</v>
      </c>
      <c r="AA476" t="s">
        <v>74</v>
      </c>
      <c r="AB476" t="s">
        <v>74</v>
      </c>
      <c r="AC476" t="s">
        <v>8479</v>
      </c>
      <c r="AD476" t="s">
        <v>1368</v>
      </c>
      <c r="AE476" t="s">
        <v>8480</v>
      </c>
      <c r="AF476" t="s">
        <v>74</v>
      </c>
      <c r="AG476">
        <v>74</v>
      </c>
      <c r="AH476">
        <v>0</v>
      </c>
      <c r="AI476">
        <v>0</v>
      </c>
      <c r="AJ476">
        <v>0</v>
      </c>
      <c r="AK476">
        <v>0</v>
      </c>
      <c r="AL476" t="s">
        <v>1188</v>
      </c>
      <c r="AM476" t="s">
        <v>93</v>
      </c>
      <c r="AN476" t="s">
        <v>1189</v>
      </c>
      <c r="AO476" t="s">
        <v>8481</v>
      </c>
      <c r="AP476" t="s">
        <v>8482</v>
      </c>
      <c r="AQ476" t="s">
        <v>74</v>
      </c>
      <c r="AR476" t="s">
        <v>8483</v>
      </c>
      <c r="AS476" t="s">
        <v>8484</v>
      </c>
      <c r="AT476" t="s">
        <v>8396</v>
      </c>
      <c r="AU476">
        <v>2023</v>
      </c>
      <c r="AV476" t="s">
        <v>74</v>
      </c>
      <c r="AW476" t="s">
        <v>74</v>
      </c>
      <c r="AX476" t="s">
        <v>74</v>
      </c>
      <c r="AY476" t="s">
        <v>74</v>
      </c>
      <c r="AZ476" t="s">
        <v>74</v>
      </c>
      <c r="BA476" t="s">
        <v>74</v>
      </c>
      <c r="BB476" t="s">
        <v>74</v>
      </c>
      <c r="BC476" t="s">
        <v>74</v>
      </c>
      <c r="BD476" t="s">
        <v>74</v>
      </c>
      <c r="BE476" t="s">
        <v>8485</v>
      </c>
      <c r="BF476" t="str">
        <f>HYPERLINK("http://dx.doi.org/10.1080/14697688.2023.2244991","http://dx.doi.org/10.1080/14697688.2023.2244991")</f>
        <v>http://dx.doi.org/10.1080/14697688.2023.2244991</v>
      </c>
      <c r="BG476" t="s">
        <v>74</v>
      </c>
      <c r="BH476" t="s">
        <v>5545</v>
      </c>
      <c r="BI476">
        <v>20</v>
      </c>
      <c r="BJ476" t="s">
        <v>8486</v>
      </c>
      <c r="BK476" t="s">
        <v>123</v>
      </c>
      <c r="BL476" t="s">
        <v>8487</v>
      </c>
      <c r="BM476" t="s">
        <v>8488</v>
      </c>
      <c r="BN476" t="s">
        <v>74</v>
      </c>
      <c r="BO476" t="s">
        <v>74</v>
      </c>
      <c r="BP476" t="s">
        <v>74</v>
      </c>
      <c r="BQ476" t="s">
        <v>74</v>
      </c>
      <c r="BR476" t="s">
        <v>105</v>
      </c>
      <c r="BS476" t="s">
        <v>8489</v>
      </c>
      <c r="BT476" t="str">
        <f>HYPERLINK("https%3A%2F%2Fwww.webofscience.com%2Fwos%2Fwoscc%2Ffull-record%2FWOS:001056921100001","View Full Record in Web of Science")</f>
        <v>View Full Record in Web of Science</v>
      </c>
    </row>
    <row r="477" spans="1:72" x14ac:dyDescent="0.15">
      <c r="A477" t="s">
        <v>72</v>
      </c>
      <c r="B477" t="s">
        <v>8490</v>
      </c>
      <c r="C477" t="s">
        <v>74</v>
      </c>
      <c r="D477" t="s">
        <v>74</v>
      </c>
      <c r="E477" t="s">
        <v>74</v>
      </c>
      <c r="F477" t="s">
        <v>8491</v>
      </c>
      <c r="G477" t="s">
        <v>74</v>
      </c>
      <c r="H477" t="s">
        <v>74</v>
      </c>
      <c r="I477" t="s">
        <v>8492</v>
      </c>
      <c r="J477" t="s">
        <v>8493</v>
      </c>
      <c r="K477" t="s">
        <v>74</v>
      </c>
      <c r="L477" t="s">
        <v>74</v>
      </c>
      <c r="M477" t="s">
        <v>78</v>
      </c>
      <c r="N477" t="s">
        <v>79</v>
      </c>
      <c r="O477" t="s">
        <v>74</v>
      </c>
      <c r="P477" t="s">
        <v>74</v>
      </c>
      <c r="Q477" t="s">
        <v>74</v>
      </c>
      <c r="R477" t="s">
        <v>74</v>
      </c>
      <c r="S477" t="s">
        <v>74</v>
      </c>
      <c r="T477" t="s">
        <v>8494</v>
      </c>
      <c r="U477" t="s">
        <v>74</v>
      </c>
      <c r="V477" t="s">
        <v>8495</v>
      </c>
      <c r="W477" t="s">
        <v>8496</v>
      </c>
      <c r="X477" t="s">
        <v>8497</v>
      </c>
      <c r="Y477" t="s">
        <v>8498</v>
      </c>
      <c r="Z477" t="s">
        <v>8499</v>
      </c>
      <c r="AA477" t="s">
        <v>74</v>
      </c>
      <c r="AB477" t="s">
        <v>74</v>
      </c>
      <c r="AC477" t="s">
        <v>74</v>
      </c>
      <c r="AD477" t="s">
        <v>74</v>
      </c>
      <c r="AE477" t="s">
        <v>74</v>
      </c>
      <c r="AF477" t="s">
        <v>74</v>
      </c>
      <c r="AG477">
        <v>15</v>
      </c>
      <c r="AH477">
        <v>0</v>
      </c>
      <c r="AI477">
        <v>0</v>
      </c>
      <c r="AJ477">
        <v>2</v>
      </c>
      <c r="AK477">
        <v>2</v>
      </c>
      <c r="AL477" t="s">
        <v>92</v>
      </c>
      <c r="AM477" t="s">
        <v>93</v>
      </c>
      <c r="AN477" t="s">
        <v>94</v>
      </c>
      <c r="AO477" t="s">
        <v>8500</v>
      </c>
      <c r="AP477" t="s">
        <v>8501</v>
      </c>
      <c r="AQ477" t="s">
        <v>74</v>
      </c>
      <c r="AR477" t="s">
        <v>8502</v>
      </c>
      <c r="AS477" t="s">
        <v>8503</v>
      </c>
      <c r="AT477" t="s">
        <v>8504</v>
      </c>
      <c r="AU477">
        <v>2023</v>
      </c>
      <c r="AV477">
        <v>54</v>
      </c>
      <c r="AW477">
        <v>14</v>
      </c>
      <c r="AX477" t="s">
        <v>74</v>
      </c>
      <c r="AY477" t="s">
        <v>74</v>
      </c>
      <c r="AZ477" t="s">
        <v>74</v>
      </c>
      <c r="BA477" t="s">
        <v>74</v>
      </c>
      <c r="BB477">
        <v>2799</v>
      </c>
      <c r="BC477">
        <v>2808</v>
      </c>
      <c r="BD477" t="s">
        <v>74</v>
      </c>
      <c r="BE477" t="s">
        <v>8505</v>
      </c>
      <c r="BF477" t="str">
        <f>HYPERLINK("http://dx.doi.org/10.1080/00207721.2023.2252961","http://dx.doi.org/10.1080/00207721.2023.2252961")</f>
        <v>http://dx.doi.org/10.1080/00207721.2023.2252961</v>
      </c>
      <c r="BG477" t="s">
        <v>74</v>
      </c>
      <c r="BH477" t="s">
        <v>5545</v>
      </c>
      <c r="BI477">
        <v>10</v>
      </c>
      <c r="BJ477" t="s">
        <v>8506</v>
      </c>
      <c r="BK477" t="s">
        <v>102</v>
      </c>
      <c r="BL477" t="s">
        <v>8507</v>
      </c>
      <c r="BM477" t="s">
        <v>8508</v>
      </c>
      <c r="BN477" t="s">
        <v>74</v>
      </c>
      <c r="BO477" t="s">
        <v>74</v>
      </c>
      <c r="BP477" t="s">
        <v>74</v>
      </c>
      <c r="BQ477" t="s">
        <v>74</v>
      </c>
      <c r="BR477" t="s">
        <v>105</v>
      </c>
      <c r="BS477" t="s">
        <v>8509</v>
      </c>
      <c r="BT477" t="str">
        <f>HYPERLINK("https%3A%2F%2Fwww.webofscience.com%2Fwos%2Fwoscc%2Ffull-record%2FWOS:001062457800001","View Full Record in Web of Science")</f>
        <v>View Full Record in Web of Science</v>
      </c>
    </row>
    <row r="478" spans="1:72" x14ac:dyDescent="0.15">
      <c r="A478" t="s">
        <v>72</v>
      </c>
      <c r="B478" t="s">
        <v>8510</v>
      </c>
      <c r="C478" t="s">
        <v>74</v>
      </c>
      <c r="D478" t="s">
        <v>74</v>
      </c>
      <c r="E478" t="s">
        <v>74</v>
      </c>
      <c r="F478" t="s">
        <v>8511</v>
      </c>
      <c r="G478" t="s">
        <v>74</v>
      </c>
      <c r="H478" t="s">
        <v>74</v>
      </c>
      <c r="I478" t="s">
        <v>8512</v>
      </c>
      <c r="J478" t="s">
        <v>8513</v>
      </c>
      <c r="K478" t="s">
        <v>74</v>
      </c>
      <c r="L478" t="s">
        <v>74</v>
      </c>
      <c r="M478" t="s">
        <v>78</v>
      </c>
      <c r="N478" t="s">
        <v>5492</v>
      </c>
      <c r="O478" t="s">
        <v>74</v>
      </c>
      <c r="P478" t="s">
        <v>74</v>
      </c>
      <c r="Q478" t="s">
        <v>74</v>
      </c>
      <c r="R478" t="s">
        <v>74</v>
      </c>
      <c r="S478" t="s">
        <v>74</v>
      </c>
      <c r="T478" t="s">
        <v>8514</v>
      </c>
      <c r="U478" t="s">
        <v>8515</v>
      </c>
      <c r="V478" t="s">
        <v>8516</v>
      </c>
      <c r="W478" t="s">
        <v>8517</v>
      </c>
      <c r="X478" t="s">
        <v>8518</v>
      </c>
      <c r="Y478" t="s">
        <v>8519</v>
      </c>
      <c r="Z478" t="s">
        <v>8520</v>
      </c>
      <c r="AA478" t="s">
        <v>74</v>
      </c>
      <c r="AB478" t="s">
        <v>8521</v>
      </c>
      <c r="AC478" t="s">
        <v>8522</v>
      </c>
      <c r="AD478" t="s">
        <v>8522</v>
      </c>
      <c r="AE478" t="s">
        <v>8523</v>
      </c>
      <c r="AF478" t="s">
        <v>74</v>
      </c>
      <c r="AG478">
        <v>31</v>
      </c>
      <c r="AH478">
        <v>0</v>
      </c>
      <c r="AI478">
        <v>0</v>
      </c>
      <c r="AJ478">
        <v>0</v>
      </c>
      <c r="AK478">
        <v>0</v>
      </c>
      <c r="AL478" t="s">
        <v>92</v>
      </c>
      <c r="AM478" t="s">
        <v>93</v>
      </c>
      <c r="AN478" t="s">
        <v>94</v>
      </c>
      <c r="AO478" t="s">
        <v>8524</v>
      </c>
      <c r="AP478" t="s">
        <v>8525</v>
      </c>
      <c r="AQ478" t="s">
        <v>74</v>
      </c>
      <c r="AR478" t="s">
        <v>8526</v>
      </c>
      <c r="AS478" t="s">
        <v>8527</v>
      </c>
      <c r="AT478" t="s">
        <v>8396</v>
      </c>
      <c r="AU478">
        <v>2023</v>
      </c>
      <c r="AV478" t="s">
        <v>74</v>
      </c>
      <c r="AW478" t="s">
        <v>74</v>
      </c>
      <c r="AX478" t="s">
        <v>74</v>
      </c>
      <c r="AY478" t="s">
        <v>74</v>
      </c>
      <c r="AZ478" t="s">
        <v>74</v>
      </c>
      <c r="BA478" t="s">
        <v>74</v>
      </c>
      <c r="BB478" t="s">
        <v>74</v>
      </c>
      <c r="BC478" t="s">
        <v>74</v>
      </c>
      <c r="BD478" t="s">
        <v>74</v>
      </c>
      <c r="BE478" t="s">
        <v>8528</v>
      </c>
      <c r="BF478" t="str">
        <f>HYPERLINK("http://dx.doi.org/10.1080/1023666X.2023.2250137","http://dx.doi.org/10.1080/1023666X.2023.2250137")</f>
        <v>http://dx.doi.org/10.1080/1023666X.2023.2250137</v>
      </c>
      <c r="BG478" t="s">
        <v>74</v>
      </c>
      <c r="BH478" t="s">
        <v>5545</v>
      </c>
      <c r="BI478">
        <v>15</v>
      </c>
      <c r="BJ478" t="s">
        <v>1267</v>
      </c>
      <c r="BK478" t="s">
        <v>102</v>
      </c>
      <c r="BL478" t="s">
        <v>1267</v>
      </c>
      <c r="BM478" t="s">
        <v>8529</v>
      </c>
      <c r="BN478" t="s">
        <v>74</v>
      </c>
      <c r="BO478" t="s">
        <v>74</v>
      </c>
      <c r="BP478" t="s">
        <v>74</v>
      </c>
      <c r="BQ478" t="s">
        <v>74</v>
      </c>
      <c r="BR478" t="s">
        <v>105</v>
      </c>
      <c r="BS478" t="s">
        <v>8530</v>
      </c>
      <c r="BT478" t="str">
        <f>HYPERLINK("https%3A%2F%2Fwww.webofscience.com%2Fwos%2Fwoscc%2Ffull-record%2FWOS:001058209200001","View Full Record in Web of Science")</f>
        <v>View Full Record in Web of Science</v>
      </c>
    </row>
    <row r="479" spans="1:72" x14ac:dyDescent="0.15">
      <c r="A479" t="s">
        <v>72</v>
      </c>
      <c r="B479" t="s">
        <v>8531</v>
      </c>
      <c r="C479" t="s">
        <v>74</v>
      </c>
      <c r="D479" t="s">
        <v>74</v>
      </c>
      <c r="E479" t="s">
        <v>74</v>
      </c>
      <c r="F479" t="s">
        <v>8532</v>
      </c>
      <c r="G479" t="s">
        <v>74</v>
      </c>
      <c r="H479" t="s">
        <v>74</v>
      </c>
      <c r="I479" t="s">
        <v>8533</v>
      </c>
      <c r="J479" t="s">
        <v>8534</v>
      </c>
      <c r="K479" t="s">
        <v>74</v>
      </c>
      <c r="L479" t="s">
        <v>74</v>
      </c>
      <c r="M479" t="s">
        <v>78</v>
      </c>
      <c r="N479" t="s">
        <v>5492</v>
      </c>
      <c r="O479" t="s">
        <v>74</v>
      </c>
      <c r="P479" t="s">
        <v>74</v>
      </c>
      <c r="Q479" t="s">
        <v>74</v>
      </c>
      <c r="R479" t="s">
        <v>74</v>
      </c>
      <c r="S479" t="s">
        <v>74</v>
      </c>
      <c r="T479" t="s">
        <v>8535</v>
      </c>
      <c r="U479" t="s">
        <v>8536</v>
      </c>
      <c r="V479" t="s">
        <v>8537</v>
      </c>
      <c r="W479" t="s">
        <v>8538</v>
      </c>
      <c r="X479" t="s">
        <v>8539</v>
      </c>
      <c r="Y479" t="s">
        <v>8540</v>
      </c>
      <c r="Z479" t="s">
        <v>8541</v>
      </c>
      <c r="AA479" t="s">
        <v>74</v>
      </c>
      <c r="AB479" t="s">
        <v>74</v>
      </c>
      <c r="AC479" t="s">
        <v>8542</v>
      </c>
      <c r="AD479" t="s">
        <v>8543</v>
      </c>
      <c r="AE479" t="s">
        <v>8544</v>
      </c>
      <c r="AF479" t="s">
        <v>74</v>
      </c>
      <c r="AG479">
        <v>15</v>
      </c>
      <c r="AH479">
        <v>0</v>
      </c>
      <c r="AI479">
        <v>0</v>
      </c>
      <c r="AJ479">
        <v>0</v>
      </c>
      <c r="AK479">
        <v>0</v>
      </c>
      <c r="AL479" t="s">
        <v>92</v>
      </c>
      <c r="AM479" t="s">
        <v>93</v>
      </c>
      <c r="AN479" t="s">
        <v>94</v>
      </c>
      <c r="AO479" t="s">
        <v>8545</v>
      </c>
      <c r="AP479" t="s">
        <v>8546</v>
      </c>
      <c r="AQ479" t="s">
        <v>74</v>
      </c>
      <c r="AR479" t="s">
        <v>8547</v>
      </c>
      <c r="AS479" t="s">
        <v>8548</v>
      </c>
      <c r="AT479" t="s">
        <v>8396</v>
      </c>
      <c r="AU479">
        <v>2023</v>
      </c>
      <c r="AV479" t="s">
        <v>74</v>
      </c>
      <c r="AW479" t="s">
        <v>74</v>
      </c>
      <c r="AX479" t="s">
        <v>74</v>
      </c>
      <c r="AY479" t="s">
        <v>74</v>
      </c>
      <c r="AZ479" t="s">
        <v>74</v>
      </c>
      <c r="BA479" t="s">
        <v>74</v>
      </c>
      <c r="BB479" t="s">
        <v>74</v>
      </c>
      <c r="BC479" t="s">
        <v>74</v>
      </c>
      <c r="BD479" t="s">
        <v>74</v>
      </c>
      <c r="BE479" t="s">
        <v>8549</v>
      </c>
      <c r="BF479" t="str">
        <f>HYPERLINK("http://dx.doi.org/10.1080/02678292.2023.2248593","http://dx.doi.org/10.1080/02678292.2023.2248593")</f>
        <v>http://dx.doi.org/10.1080/02678292.2023.2248593</v>
      </c>
      <c r="BG479" t="s">
        <v>74</v>
      </c>
      <c r="BH479" t="s">
        <v>5545</v>
      </c>
      <c r="BI479">
        <v>8</v>
      </c>
      <c r="BJ479" t="s">
        <v>8550</v>
      </c>
      <c r="BK479" t="s">
        <v>102</v>
      </c>
      <c r="BL479" t="s">
        <v>8551</v>
      </c>
      <c r="BM479" t="s">
        <v>8552</v>
      </c>
      <c r="BN479" t="s">
        <v>74</v>
      </c>
      <c r="BO479" t="s">
        <v>74</v>
      </c>
      <c r="BP479" t="s">
        <v>74</v>
      </c>
      <c r="BQ479" t="s">
        <v>74</v>
      </c>
      <c r="BR479" t="s">
        <v>105</v>
      </c>
      <c r="BS479" t="s">
        <v>8553</v>
      </c>
      <c r="BT479" t="str">
        <f>HYPERLINK("https%3A%2F%2Fwww.webofscience.com%2Fwos%2Fwoscc%2Ffull-record%2FWOS:001064773900001","View Full Record in Web of Science")</f>
        <v>View Full Record in Web of Science</v>
      </c>
    </row>
    <row r="480" spans="1:72" x14ac:dyDescent="0.15">
      <c r="A480" t="s">
        <v>72</v>
      </c>
      <c r="B480" t="s">
        <v>8554</v>
      </c>
      <c r="C480" t="s">
        <v>74</v>
      </c>
      <c r="D480" t="s">
        <v>74</v>
      </c>
      <c r="E480" t="s">
        <v>74</v>
      </c>
      <c r="F480" t="s">
        <v>8555</v>
      </c>
      <c r="G480" t="s">
        <v>74</v>
      </c>
      <c r="H480" t="s">
        <v>74</v>
      </c>
      <c r="I480" t="s">
        <v>8556</v>
      </c>
      <c r="J480" t="s">
        <v>8557</v>
      </c>
      <c r="K480" t="s">
        <v>74</v>
      </c>
      <c r="L480" t="s">
        <v>74</v>
      </c>
      <c r="M480" t="s">
        <v>78</v>
      </c>
      <c r="N480" t="s">
        <v>5492</v>
      </c>
      <c r="O480" t="s">
        <v>74</v>
      </c>
      <c r="P480" t="s">
        <v>74</v>
      </c>
      <c r="Q480" t="s">
        <v>74</v>
      </c>
      <c r="R480" t="s">
        <v>74</v>
      </c>
      <c r="S480" t="s">
        <v>74</v>
      </c>
      <c r="T480" t="s">
        <v>8558</v>
      </c>
      <c r="U480" t="s">
        <v>74</v>
      </c>
      <c r="V480" t="s">
        <v>8559</v>
      </c>
      <c r="W480" t="s">
        <v>8560</v>
      </c>
      <c r="X480" t="s">
        <v>8561</v>
      </c>
      <c r="Y480" t="s">
        <v>8562</v>
      </c>
      <c r="Z480" t="s">
        <v>8563</v>
      </c>
      <c r="AA480" t="s">
        <v>74</v>
      </c>
      <c r="AB480" t="s">
        <v>74</v>
      </c>
      <c r="AC480" t="s">
        <v>8564</v>
      </c>
      <c r="AD480" t="s">
        <v>8564</v>
      </c>
      <c r="AE480" t="s">
        <v>8565</v>
      </c>
      <c r="AF480" t="s">
        <v>74</v>
      </c>
      <c r="AG480">
        <v>105</v>
      </c>
      <c r="AH480">
        <v>0</v>
      </c>
      <c r="AI480">
        <v>0</v>
      </c>
      <c r="AJ480">
        <v>1</v>
      </c>
      <c r="AK480">
        <v>1</v>
      </c>
      <c r="AL480" t="s">
        <v>92</v>
      </c>
      <c r="AM480" t="s">
        <v>93</v>
      </c>
      <c r="AN480" t="s">
        <v>94</v>
      </c>
      <c r="AO480" t="s">
        <v>8566</v>
      </c>
      <c r="AP480" t="s">
        <v>8567</v>
      </c>
      <c r="AQ480" t="s">
        <v>74</v>
      </c>
      <c r="AR480" t="s">
        <v>8568</v>
      </c>
      <c r="AS480" t="s">
        <v>8569</v>
      </c>
      <c r="AT480" t="s">
        <v>8396</v>
      </c>
      <c r="AU480">
        <v>2023</v>
      </c>
      <c r="AV480" t="s">
        <v>74</v>
      </c>
      <c r="AW480" t="s">
        <v>74</v>
      </c>
      <c r="AX480" t="s">
        <v>74</v>
      </c>
      <c r="AY480" t="s">
        <v>74</v>
      </c>
      <c r="AZ480" t="s">
        <v>74</v>
      </c>
      <c r="BA480" t="s">
        <v>74</v>
      </c>
      <c r="BB480" t="s">
        <v>74</v>
      </c>
      <c r="BC480" t="s">
        <v>74</v>
      </c>
      <c r="BD480" t="s">
        <v>74</v>
      </c>
      <c r="BE480" t="s">
        <v>8570</v>
      </c>
      <c r="BF480" t="str">
        <f>HYPERLINK("http://dx.doi.org/10.1080/00033790.2023.2235364","http://dx.doi.org/10.1080/00033790.2023.2235364")</f>
        <v>http://dx.doi.org/10.1080/00033790.2023.2235364</v>
      </c>
      <c r="BG480" t="s">
        <v>74</v>
      </c>
      <c r="BH480" t="s">
        <v>5545</v>
      </c>
      <c r="BI480">
        <v>36</v>
      </c>
      <c r="BJ480" t="s">
        <v>8571</v>
      </c>
      <c r="BK480" t="s">
        <v>8572</v>
      </c>
      <c r="BL480" t="s">
        <v>8573</v>
      </c>
      <c r="BM480" t="s">
        <v>8574</v>
      </c>
      <c r="BN480">
        <v>37531200</v>
      </c>
      <c r="BO480" t="s">
        <v>887</v>
      </c>
      <c r="BP480" t="s">
        <v>74</v>
      </c>
      <c r="BQ480" t="s">
        <v>74</v>
      </c>
      <c r="BR480" t="s">
        <v>105</v>
      </c>
      <c r="BS480" t="s">
        <v>8575</v>
      </c>
      <c r="BT480" t="str">
        <f>HYPERLINK("https%3A%2F%2Fwww.webofscience.com%2Fwos%2Fwoscc%2Ffull-record%2FWOS:001043548600001","View Full Record in Web of Science")</f>
        <v>View Full Record in Web of Science</v>
      </c>
    </row>
    <row r="481" spans="1:72" x14ac:dyDescent="0.15">
      <c r="A481" t="s">
        <v>72</v>
      </c>
      <c r="B481" t="s">
        <v>8576</v>
      </c>
      <c r="C481" t="s">
        <v>74</v>
      </c>
      <c r="D481" t="s">
        <v>74</v>
      </c>
      <c r="E481" t="s">
        <v>74</v>
      </c>
      <c r="F481" t="s">
        <v>8577</v>
      </c>
      <c r="G481" t="s">
        <v>74</v>
      </c>
      <c r="H481" t="s">
        <v>74</v>
      </c>
      <c r="I481" t="s">
        <v>8578</v>
      </c>
      <c r="J481" t="s">
        <v>8579</v>
      </c>
      <c r="K481" t="s">
        <v>74</v>
      </c>
      <c r="L481" t="s">
        <v>74</v>
      </c>
      <c r="M481" t="s">
        <v>78</v>
      </c>
      <c r="N481" t="s">
        <v>5492</v>
      </c>
      <c r="O481" t="s">
        <v>74</v>
      </c>
      <c r="P481" t="s">
        <v>74</v>
      </c>
      <c r="Q481" t="s">
        <v>74</v>
      </c>
      <c r="R481" t="s">
        <v>74</v>
      </c>
      <c r="S481" t="s">
        <v>74</v>
      </c>
      <c r="T481" t="s">
        <v>8580</v>
      </c>
      <c r="U481" t="s">
        <v>74</v>
      </c>
      <c r="V481" t="s">
        <v>8581</v>
      </c>
      <c r="W481" t="s">
        <v>8582</v>
      </c>
      <c r="X481" t="s">
        <v>8583</v>
      </c>
      <c r="Y481" t="s">
        <v>8584</v>
      </c>
      <c r="Z481" t="s">
        <v>8585</v>
      </c>
      <c r="AA481" t="s">
        <v>8586</v>
      </c>
      <c r="AB481" t="s">
        <v>8587</v>
      </c>
      <c r="AC481" t="s">
        <v>74</v>
      </c>
      <c r="AD481" t="s">
        <v>74</v>
      </c>
      <c r="AE481" t="s">
        <v>74</v>
      </c>
      <c r="AF481" t="s">
        <v>74</v>
      </c>
      <c r="AG481">
        <v>6</v>
      </c>
      <c r="AH481">
        <v>0</v>
      </c>
      <c r="AI481">
        <v>0</v>
      </c>
      <c r="AJ481">
        <v>0</v>
      </c>
      <c r="AK481">
        <v>0</v>
      </c>
      <c r="AL481" t="s">
        <v>92</v>
      </c>
      <c r="AM481" t="s">
        <v>93</v>
      </c>
      <c r="AN481" t="s">
        <v>94</v>
      </c>
      <c r="AO481" t="s">
        <v>8588</v>
      </c>
      <c r="AP481" t="s">
        <v>8589</v>
      </c>
      <c r="AQ481" t="s">
        <v>74</v>
      </c>
      <c r="AR481" t="s">
        <v>8590</v>
      </c>
      <c r="AS481" t="s">
        <v>8591</v>
      </c>
      <c r="AT481" t="s">
        <v>8396</v>
      </c>
      <c r="AU481">
        <v>2023</v>
      </c>
      <c r="AV481" t="s">
        <v>74</v>
      </c>
      <c r="AW481" t="s">
        <v>74</v>
      </c>
      <c r="AX481" t="s">
        <v>74</v>
      </c>
      <c r="AY481" t="s">
        <v>74</v>
      </c>
      <c r="AZ481" t="s">
        <v>74</v>
      </c>
      <c r="BA481" t="s">
        <v>74</v>
      </c>
      <c r="BB481" t="s">
        <v>74</v>
      </c>
      <c r="BC481" t="s">
        <v>74</v>
      </c>
      <c r="BD481" t="s">
        <v>74</v>
      </c>
      <c r="BE481" t="s">
        <v>8592</v>
      </c>
      <c r="BF481" t="str">
        <f>HYPERLINK("http://dx.doi.org/10.1080/0020739X.2023.2249465","http://dx.doi.org/10.1080/0020739X.2023.2249465")</f>
        <v>http://dx.doi.org/10.1080/0020739X.2023.2249465</v>
      </c>
      <c r="BG481" t="s">
        <v>74</v>
      </c>
      <c r="BH481" t="s">
        <v>5545</v>
      </c>
      <c r="BI481">
        <v>12</v>
      </c>
      <c r="BJ481" t="s">
        <v>271</v>
      </c>
      <c r="BK481" t="s">
        <v>211</v>
      </c>
      <c r="BL481" t="s">
        <v>271</v>
      </c>
      <c r="BM481" t="s">
        <v>8593</v>
      </c>
      <c r="BN481" t="s">
        <v>74</v>
      </c>
      <c r="BO481" t="s">
        <v>74</v>
      </c>
      <c r="BP481" t="s">
        <v>74</v>
      </c>
      <c r="BQ481" t="s">
        <v>74</v>
      </c>
      <c r="BR481" t="s">
        <v>105</v>
      </c>
      <c r="BS481" t="s">
        <v>8594</v>
      </c>
      <c r="BT481" t="str">
        <f>HYPERLINK("https%3A%2F%2Fwww.webofscience.com%2Fwos%2Fwoscc%2Ffull-record%2FWOS:001060069400001","View Full Record in Web of Science")</f>
        <v>View Full Record in Web of Science</v>
      </c>
    </row>
    <row r="482" spans="1:72" x14ac:dyDescent="0.15">
      <c r="A482" t="s">
        <v>72</v>
      </c>
      <c r="B482" t="s">
        <v>8595</v>
      </c>
      <c r="C482" t="s">
        <v>74</v>
      </c>
      <c r="D482" t="s">
        <v>74</v>
      </c>
      <c r="E482" t="s">
        <v>74</v>
      </c>
      <c r="F482" t="s">
        <v>8596</v>
      </c>
      <c r="G482" t="s">
        <v>74</v>
      </c>
      <c r="H482" t="s">
        <v>74</v>
      </c>
      <c r="I482" t="s">
        <v>8597</v>
      </c>
      <c r="J482" t="s">
        <v>7632</v>
      </c>
      <c r="K482" t="s">
        <v>74</v>
      </c>
      <c r="L482" t="s">
        <v>74</v>
      </c>
      <c r="M482" t="s">
        <v>78</v>
      </c>
      <c r="N482" t="s">
        <v>5492</v>
      </c>
      <c r="O482" t="s">
        <v>74</v>
      </c>
      <c r="P482" t="s">
        <v>74</v>
      </c>
      <c r="Q482" t="s">
        <v>74</v>
      </c>
      <c r="R482" t="s">
        <v>74</v>
      </c>
      <c r="S482" t="s">
        <v>74</v>
      </c>
      <c r="T482" t="s">
        <v>8598</v>
      </c>
      <c r="U482" t="s">
        <v>8599</v>
      </c>
      <c r="V482" t="s">
        <v>8600</v>
      </c>
      <c r="W482" t="s">
        <v>8601</v>
      </c>
      <c r="X482" t="s">
        <v>74</v>
      </c>
      <c r="Y482" t="s">
        <v>8602</v>
      </c>
      <c r="Z482" t="s">
        <v>8603</v>
      </c>
      <c r="AA482" t="s">
        <v>8604</v>
      </c>
      <c r="AB482" t="s">
        <v>8605</v>
      </c>
      <c r="AC482" t="s">
        <v>74</v>
      </c>
      <c r="AD482" t="s">
        <v>74</v>
      </c>
      <c r="AE482" t="s">
        <v>74</v>
      </c>
      <c r="AF482" t="s">
        <v>74</v>
      </c>
      <c r="AG482">
        <v>36</v>
      </c>
      <c r="AH482">
        <v>0</v>
      </c>
      <c r="AI482">
        <v>0</v>
      </c>
      <c r="AJ482">
        <v>1</v>
      </c>
      <c r="AK482">
        <v>1</v>
      </c>
      <c r="AL482" t="s">
        <v>184</v>
      </c>
      <c r="AM482" t="s">
        <v>185</v>
      </c>
      <c r="AN482" t="s">
        <v>186</v>
      </c>
      <c r="AO482" t="s">
        <v>7642</v>
      </c>
      <c r="AP482" t="s">
        <v>7643</v>
      </c>
      <c r="AQ482" t="s">
        <v>74</v>
      </c>
      <c r="AR482" t="s">
        <v>7644</v>
      </c>
      <c r="AS482" t="s">
        <v>7645</v>
      </c>
      <c r="AT482" t="s">
        <v>8606</v>
      </c>
      <c r="AU482">
        <v>2023</v>
      </c>
      <c r="AV482" t="s">
        <v>74</v>
      </c>
      <c r="AW482" t="s">
        <v>74</v>
      </c>
      <c r="AX482" t="s">
        <v>74</v>
      </c>
      <c r="AY482" t="s">
        <v>74</v>
      </c>
      <c r="AZ482" t="s">
        <v>74</v>
      </c>
      <c r="BA482" t="s">
        <v>74</v>
      </c>
      <c r="BB482" t="s">
        <v>74</v>
      </c>
      <c r="BC482" t="s">
        <v>74</v>
      </c>
      <c r="BD482" t="s">
        <v>74</v>
      </c>
      <c r="BE482" t="s">
        <v>8607</v>
      </c>
      <c r="BF482" t="str">
        <f>HYPERLINK("http://dx.doi.org/10.1080/07391102.2023.2254395","http://dx.doi.org/10.1080/07391102.2023.2254395")</f>
        <v>http://dx.doi.org/10.1080/07391102.2023.2254395</v>
      </c>
      <c r="BG482" t="s">
        <v>74</v>
      </c>
      <c r="BH482" t="s">
        <v>8608</v>
      </c>
      <c r="BI482">
        <v>12</v>
      </c>
      <c r="BJ482" t="s">
        <v>7647</v>
      </c>
      <c r="BK482" t="s">
        <v>102</v>
      </c>
      <c r="BL482" t="s">
        <v>7647</v>
      </c>
      <c r="BM482" t="s">
        <v>8609</v>
      </c>
      <c r="BN482">
        <v>37667993</v>
      </c>
      <c r="BO482" t="s">
        <v>74</v>
      </c>
      <c r="BP482" t="s">
        <v>74</v>
      </c>
      <c r="BQ482" t="s">
        <v>74</v>
      </c>
      <c r="BR482" t="s">
        <v>105</v>
      </c>
      <c r="BS482" t="s">
        <v>8610</v>
      </c>
      <c r="BT482" t="str">
        <f>HYPERLINK("https%3A%2F%2Fwww.webofscience.com%2Fwos%2Fwoscc%2Ffull-record%2FWOS:001058845500001","View Full Record in Web of Science")</f>
        <v>View Full Record in Web of Science</v>
      </c>
    </row>
    <row r="483" spans="1:72" x14ac:dyDescent="0.15">
      <c r="A483" t="s">
        <v>72</v>
      </c>
      <c r="B483" t="s">
        <v>8611</v>
      </c>
      <c r="C483" t="s">
        <v>74</v>
      </c>
      <c r="D483" t="s">
        <v>74</v>
      </c>
      <c r="E483" t="s">
        <v>74</v>
      </c>
      <c r="F483" t="s">
        <v>8612</v>
      </c>
      <c r="G483" t="s">
        <v>74</v>
      </c>
      <c r="H483" t="s">
        <v>74</v>
      </c>
      <c r="I483" t="s">
        <v>8613</v>
      </c>
      <c r="J483" t="s">
        <v>8614</v>
      </c>
      <c r="K483" t="s">
        <v>74</v>
      </c>
      <c r="L483" t="s">
        <v>74</v>
      </c>
      <c r="M483" t="s">
        <v>78</v>
      </c>
      <c r="N483" t="s">
        <v>171</v>
      </c>
      <c r="O483" t="s">
        <v>74</v>
      </c>
      <c r="P483" t="s">
        <v>74</v>
      </c>
      <c r="Q483" t="s">
        <v>74</v>
      </c>
      <c r="R483" t="s">
        <v>74</v>
      </c>
      <c r="S483" t="s">
        <v>74</v>
      </c>
      <c r="T483" t="s">
        <v>8615</v>
      </c>
      <c r="U483" t="s">
        <v>8616</v>
      </c>
      <c r="V483" t="s">
        <v>8617</v>
      </c>
      <c r="W483" t="s">
        <v>8618</v>
      </c>
      <c r="X483" t="s">
        <v>8619</v>
      </c>
      <c r="Y483" t="s">
        <v>8620</v>
      </c>
      <c r="Z483" t="s">
        <v>8621</v>
      </c>
      <c r="AA483" t="s">
        <v>8622</v>
      </c>
      <c r="AB483" t="s">
        <v>8623</v>
      </c>
      <c r="AC483" t="s">
        <v>8624</v>
      </c>
      <c r="AD483" t="s">
        <v>8625</v>
      </c>
      <c r="AE483" t="s">
        <v>8626</v>
      </c>
      <c r="AF483" t="s">
        <v>74</v>
      </c>
      <c r="AG483">
        <v>100</v>
      </c>
      <c r="AH483">
        <v>0</v>
      </c>
      <c r="AI483">
        <v>0</v>
      </c>
      <c r="AJ483">
        <v>0</v>
      </c>
      <c r="AK483">
        <v>0</v>
      </c>
      <c r="AL483" t="s">
        <v>92</v>
      </c>
      <c r="AM483" t="s">
        <v>93</v>
      </c>
      <c r="AN483" t="s">
        <v>94</v>
      </c>
      <c r="AO483" t="s">
        <v>8627</v>
      </c>
      <c r="AP483" t="s">
        <v>8628</v>
      </c>
      <c r="AQ483" t="s">
        <v>74</v>
      </c>
      <c r="AR483" t="s">
        <v>8629</v>
      </c>
      <c r="AS483" t="s">
        <v>8630</v>
      </c>
      <c r="AT483" t="s">
        <v>8631</v>
      </c>
      <c r="AU483">
        <v>2023</v>
      </c>
      <c r="AV483" t="s">
        <v>74</v>
      </c>
      <c r="AW483" t="s">
        <v>74</v>
      </c>
      <c r="AX483" t="s">
        <v>74</v>
      </c>
      <c r="AY483" t="s">
        <v>74</v>
      </c>
      <c r="AZ483" t="s">
        <v>74</v>
      </c>
      <c r="BA483" t="s">
        <v>74</v>
      </c>
      <c r="BB483" t="s">
        <v>74</v>
      </c>
      <c r="BC483" t="s">
        <v>74</v>
      </c>
      <c r="BD483">
        <v>2252331</v>
      </c>
      <c r="BE483" t="s">
        <v>8632</v>
      </c>
      <c r="BF483" t="str">
        <f>HYPERLINK("http://dx.doi.org/10.1080/17512433.2023.2252331","http://dx.doi.org/10.1080/17512433.2023.2252331")</f>
        <v>http://dx.doi.org/10.1080/17512433.2023.2252331</v>
      </c>
      <c r="BG483" t="s">
        <v>74</v>
      </c>
      <c r="BH483" t="s">
        <v>74</v>
      </c>
      <c r="BI483">
        <v>14</v>
      </c>
      <c r="BJ483" t="s">
        <v>101</v>
      </c>
      <c r="BK483" t="s">
        <v>102</v>
      </c>
      <c r="BL483" t="s">
        <v>101</v>
      </c>
      <c r="BM483" t="s">
        <v>8633</v>
      </c>
      <c r="BN483">
        <v>37642560</v>
      </c>
      <c r="BO483" t="s">
        <v>74</v>
      </c>
      <c r="BP483" t="s">
        <v>74</v>
      </c>
      <c r="BQ483" t="s">
        <v>74</v>
      </c>
      <c r="BR483" t="s">
        <v>105</v>
      </c>
      <c r="BS483" t="s">
        <v>8634</v>
      </c>
      <c r="BT483" t="str">
        <f>HYPERLINK("https%3A%2F%2Fwww.webofscience.com%2Fwos%2Fwoscc%2Ffull-record%2FWOS:001057806300001","View Full Record in Web of Science")</f>
        <v>View Full Record in Web of Science</v>
      </c>
    </row>
    <row r="484" spans="1:72" x14ac:dyDescent="0.15">
      <c r="A484" t="s">
        <v>72</v>
      </c>
      <c r="B484" t="s">
        <v>8635</v>
      </c>
      <c r="C484" t="s">
        <v>74</v>
      </c>
      <c r="D484" t="s">
        <v>74</v>
      </c>
      <c r="E484" t="s">
        <v>74</v>
      </c>
      <c r="F484" t="s">
        <v>8636</v>
      </c>
      <c r="G484" t="s">
        <v>74</v>
      </c>
      <c r="H484" t="s">
        <v>74</v>
      </c>
      <c r="I484" t="s">
        <v>8637</v>
      </c>
      <c r="J484" t="s">
        <v>8638</v>
      </c>
      <c r="K484" t="s">
        <v>74</v>
      </c>
      <c r="L484" t="s">
        <v>74</v>
      </c>
      <c r="M484" t="s">
        <v>78</v>
      </c>
      <c r="N484" t="s">
        <v>6754</v>
      </c>
      <c r="O484" t="s">
        <v>74</v>
      </c>
      <c r="P484" t="s">
        <v>74</v>
      </c>
      <c r="Q484" t="s">
        <v>74</v>
      </c>
      <c r="R484" t="s">
        <v>74</v>
      </c>
      <c r="S484" t="s">
        <v>74</v>
      </c>
      <c r="T484" t="s">
        <v>8639</v>
      </c>
      <c r="U484" t="s">
        <v>8640</v>
      </c>
      <c r="V484" t="s">
        <v>8641</v>
      </c>
      <c r="W484" t="s">
        <v>8642</v>
      </c>
      <c r="X484" t="s">
        <v>8643</v>
      </c>
      <c r="Y484" t="s">
        <v>8644</v>
      </c>
      <c r="Z484" t="s">
        <v>8645</v>
      </c>
      <c r="AA484" t="s">
        <v>74</v>
      </c>
      <c r="AB484" t="s">
        <v>8646</v>
      </c>
      <c r="AC484" t="s">
        <v>74</v>
      </c>
      <c r="AD484" t="s">
        <v>74</v>
      </c>
      <c r="AE484" t="s">
        <v>74</v>
      </c>
      <c r="AF484" t="s">
        <v>74</v>
      </c>
      <c r="AG484">
        <v>99</v>
      </c>
      <c r="AH484">
        <v>0</v>
      </c>
      <c r="AI484">
        <v>0</v>
      </c>
      <c r="AJ484">
        <v>1</v>
      </c>
      <c r="AK484">
        <v>1</v>
      </c>
      <c r="AL484" t="s">
        <v>184</v>
      </c>
      <c r="AM484" t="s">
        <v>185</v>
      </c>
      <c r="AN484" t="s">
        <v>186</v>
      </c>
      <c r="AO484" t="s">
        <v>8647</v>
      </c>
      <c r="AP484" t="s">
        <v>8648</v>
      </c>
      <c r="AQ484" t="s">
        <v>74</v>
      </c>
      <c r="AR484" t="s">
        <v>8649</v>
      </c>
      <c r="AS484" t="s">
        <v>8650</v>
      </c>
      <c r="AT484" t="s">
        <v>8606</v>
      </c>
      <c r="AU484">
        <v>2023</v>
      </c>
      <c r="AV484" t="s">
        <v>74</v>
      </c>
      <c r="AW484" t="s">
        <v>74</v>
      </c>
      <c r="AX484" t="s">
        <v>74</v>
      </c>
      <c r="AY484" t="s">
        <v>74</v>
      </c>
      <c r="AZ484" t="s">
        <v>74</v>
      </c>
      <c r="BA484" t="s">
        <v>74</v>
      </c>
      <c r="BB484" t="s">
        <v>74</v>
      </c>
      <c r="BC484" t="s">
        <v>74</v>
      </c>
      <c r="BD484" t="s">
        <v>74</v>
      </c>
      <c r="BE484" t="s">
        <v>8651</v>
      </c>
      <c r="BF484" t="str">
        <f>HYPERLINK("http://dx.doi.org/10.1080/02713683.2023.2253378","http://dx.doi.org/10.1080/02713683.2023.2253378")</f>
        <v>http://dx.doi.org/10.1080/02713683.2023.2253378</v>
      </c>
      <c r="BG484" t="s">
        <v>74</v>
      </c>
      <c r="BH484" t="s">
        <v>8608</v>
      </c>
      <c r="BI484">
        <v>11</v>
      </c>
      <c r="BJ484" t="s">
        <v>6501</v>
      </c>
      <c r="BK484" t="s">
        <v>102</v>
      </c>
      <c r="BL484" t="s">
        <v>6501</v>
      </c>
      <c r="BM484" t="s">
        <v>8652</v>
      </c>
      <c r="BN484">
        <v>37661784</v>
      </c>
      <c r="BO484" t="s">
        <v>74</v>
      </c>
      <c r="BP484" t="s">
        <v>74</v>
      </c>
      <c r="BQ484" t="s">
        <v>74</v>
      </c>
      <c r="BR484" t="s">
        <v>105</v>
      </c>
      <c r="BS484" t="s">
        <v>8653</v>
      </c>
      <c r="BT484" t="str">
        <f>HYPERLINK("https%3A%2F%2Fwww.webofscience.com%2Fwos%2Fwoscc%2Ffull-record%2FWOS:001058199600001","View Full Record in Web of Science")</f>
        <v>View Full Record in Web of Science</v>
      </c>
    </row>
    <row r="485" spans="1:72" x14ac:dyDescent="0.15">
      <c r="A485" t="s">
        <v>72</v>
      </c>
      <c r="B485" t="s">
        <v>8654</v>
      </c>
      <c r="C485" t="s">
        <v>74</v>
      </c>
      <c r="D485" t="s">
        <v>74</v>
      </c>
      <c r="E485" t="s">
        <v>74</v>
      </c>
      <c r="F485" t="s">
        <v>8655</v>
      </c>
      <c r="G485" t="s">
        <v>74</v>
      </c>
      <c r="H485" t="s">
        <v>74</v>
      </c>
      <c r="I485" t="s">
        <v>8656</v>
      </c>
      <c r="J485" t="s">
        <v>8657</v>
      </c>
      <c r="K485" t="s">
        <v>74</v>
      </c>
      <c r="L485" t="s">
        <v>74</v>
      </c>
      <c r="M485" t="s">
        <v>78</v>
      </c>
      <c r="N485" t="s">
        <v>5492</v>
      </c>
      <c r="O485" t="s">
        <v>74</v>
      </c>
      <c r="P485" t="s">
        <v>74</v>
      </c>
      <c r="Q485" t="s">
        <v>74</v>
      </c>
      <c r="R485" t="s">
        <v>74</v>
      </c>
      <c r="S485" t="s">
        <v>74</v>
      </c>
      <c r="T485" t="s">
        <v>8658</v>
      </c>
      <c r="U485" t="s">
        <v>74</v>
      </c>
      <c r="V485" t="s">
        <v>8659</v>
      </c>
      <c r="W485" t="s">
        <v>8660</v>
      </c>
      <c r="X485" t="s">
        <v>74</v>
      </c>
      <c r="Y485" t="s">
        <v>8661</v>
      </c>
      <c r="Z485" t="s">
        <v>8662</v>
      </c>
      <c r="AA485" t="s">
        <v>8663</v>
      </c>
      <c r="AB485" t="s">
        <v>8664</v>
      </c>
      <c r="AC485" t="s">
        <v>8665</v>
      </c>
      <c r="AD485" t="s">
        <v>8666</v>
      </c>
      <c r="AE485" t="s">
        <v>8667</v>
      </c>
      <c r="AF485" t="s">
        <v>74</v>
      </c>
      <c r="AG485">
        <v>43</v>
      </c>
      <c r="AH485">
        <v>0</v>
      </c>
      <c r="AI485">
        <v>0</v>
      </c>
      <c r="AJ485">
        <v>3</v>
      </c>
      <c r="AK485">
        <v>3</v>
      </c>
      <c r="AL485" t="s">
        <v>184</v>
      </c>
      <c r="AM485" t="s">
        <v>185</v>
      </c>
      <c r="AN485" t="s">
        <v>186</v>
      </c>
      <c r="AO485" t="s">
        <v>8668</v>
      </c>
      <c r="AP485" t="s">
        <v>8669</v>
      </c>
      <c r="AQ485" t="s">
        <v>74</v>
      </c>
      <c r="AR485" t="s">
        <v>8670</v>
      </c>
      <c r="AS485" t="s">
        <v>8671</v>
      </c>
      <c r="AT485" t="s">
        <v>8606</v>
      </c>
      <c r="AU485">
        <v>2023</v>
      </c>
      <c r="AV485" t="s">
        <v>74</v>
      </c>
      <c r="AW485" t="s">
        <v>74</v>
      </c>
      <c r="AX485" t="s">
        <v>74</v>
      </c>
      <c r="AY485" t="s">
        <v>74</v>
      </c>
      <c r="AZ485" t="s">
        <v>74</v>
      </c>
      <c r="BA485" t="s">
        <v>74</v>
      </c>
      <c r="BB485" t="s">
        <v>74</v>
      </c>
      <c r="BC485" t="s">
        <v>74</v>
      </c>
      <c r="BD485" t="s">
        <v>74</v>
      </c>
      <c r="BE485" t="s">
        <v>8672</v>
      </c>
      <c r="BF485" t="str">
        <f>HYPERLINK("http://dx.doi.org/10.1080/10447318.2023.2247597","http://dx.doi.org/10.1080/10447318.2023.2247597")</f>
        <v>http://dx.doi.org/10.1080/10447318.2023.2247597</v>
      </c>
      <c r="BG485" t="s">
        <v>74</v>
      </c>
      <c r="BH485" t="s">
        <v>8608</v>
      </c>
      <c r="BI485">
        <v>16</v>
      </c>
      <c r="BJ485" t="s">
        <v>8673</v>
      </c>
      <c r="BK485" t="s">
        <v>123</v>
      </c>
      <c r="BL485" t="s">
        <v>1556</v>
      </c>
      <c r="BM485" t="s">
        <v>8674</v>
      </c>
      <c r="BN485" t="s">
        <v>74</v>
      </c>
      <c r="BO485" t="s">
        <v>74</v>
      </c>
      <c r="BP485" t="s">
        <v>74</v>
      </c>
      <c r="BQ485" t="s">
        <v>74</v>
      </c>
      <c r="BR485" t="s">
        <v>105</v>
      </c>
      <c r="BS485" t="s">
        <v>8675</v>
      </c>
      <c r="BT485" t="str">
        <f>HYPERLINK("https%3A%2F%2Fwww.webofscience.com%2Fwos%2Fwoscc%2Ffull-record%2FWOS:001056252600001","View Full Record in Web of Science")</f>
        <v>View Full Record in Web of Science</v>
      </c>
    </row>
    <row r="486" spans="1:72" x14ac:dyDescent="0.15">
      <c r="A486" t="s">
        <v>72</v>
      </c>
      <c r="B486" t="s">
        <v>8676</v>
      </c>
      <c r="C486" t="s">
        <v>74</v>
      </c>
      <c r="D486" t="s">
        <v>74</v>
      </c>
      <c r="E486" t="s">
        <v>74</v>
      </c>
      <c r="F486" t="s">
        <v>8677</v>
      </c>
      <c r="G486" t="s">
        <v>74</v>
      </c>
      <c r="H486" t="s">
        <v>74</v>
      </c>
      <c r="I486" t="s">
        <v>8678</v>
      </c>
      <c r="J486" t="s">
        <v>8679</v>
      </c>
      <c r="K486" t="s">
        <v>74</v>
      </c>
      <c r="L486" t="s">
        <v>74</v>
      </c>
      <c r="M486" t="s">
        <v>78</v>
      </c>
      <c r="N486" t="s">
        <v>5492</v>
      </c>
      <c r="O486" t="s">
        <v>74</v>
      </c>
      <c r="P486" t="s">
        <v>74</v>
      </c>
      <c r="Q486" t="s">
        <v>74</v>
      </c>
      <c r="R486" t="s">
        <v>74</v>
      </c>
      <c r="S486" t="s">
        <v>74</v>
      </c>
      <c r="T486" t="s">
        <v>8680</v>
      </c>
      <c r="U486" t="s">
        <v>8681</v>
      </c>
      <c r="V486" t="s">
        <v>8682</v>
      </c>
      <c r="W486" t="s">
        <v>8683</v>
      </c>
      <c r="X486" t="s">
        <v>8684</v>
      </c>
      <c r="Y486" t="s">
        <v>8685</v>
      </c>
      <c r="Z486" t="s">
        <v>8686</v>
      </c>
      <c r="AA486" t="s">
        <v>74</v>
      </c>
      <c r="AB486" t="s">
        <v>74</v>
      </c>
      <c r="AC486" t="s">
        <v>74</v>
      </c>
      <c r="AD486" t="s">
        <v>74</v>
      </c>
      <c r="AE486" t="s">
        <v>74</v>
      </c>
      <c r="AF486" t="s">
        <v>74</v>
      </c>
      <c r="AG486">
        <v>35</v>
      </c>
      <c r="AH486">
        <v>0</v>
      </c>
      <c r="AI486">
        <v>0</v>
      </c>
      <c r="AJ486">
        <v>0</v>
      </c>
      <c r="AK486">
        <v>0</v>
      </c>
      <c r="AL486" t="s">
        <v>184</v>
      </c>
      <c r="AM486" t="s">
        <v>185</v>
      </c>
      <c r="AN486" t="s">
        <v>186</v>
      </c>
      <c r="AO486" t="s">
        <v>8687</v>
      </c>
      <c r="AP486" t="s">
        <v>8688</v>
      </c>
      <c r="AQ486" t="s">
        <v>74</v>
      </c>
      <c r="AR486" t="s">
        <v>8689</v>
      </c>
      <c r="AS486" t="s">
        <v>8690</v>
      </c>
      <c r="AT486" t="s">
        <v>8606</v>
      </c>
      <c r="AU486">
        <v>2023</v>
      </c>
      <c r="AV486" t="s">
        <v>74</v>
      </c>
      <c r="AW486" t="s">
        <v>74</v>
      </c>
      <c r="AX486" t="s">
        <v>74</v>
      </c>
      <c r="AY486" t="s">
        <v>74</v>
      </c>
      <c r="AZ486" t="s">
        <v>74</v>
      </c>
      <c r="BA486" t="s">
        <v>74</v>
      </c>
      <c r="BB486" t="s">
        <v>74</v>
      </c>
      <c r="BC486" t="s">
        <v>74</v>
      </c>
      <c r="BD486" t="s">
        <v>74</v>
      </c>
      <c r="BE486" t="s">
        <v>8691</v>
      </c>
      <c r="BF486" t="str">
        <f>HYPERLINK("http://dx.doi.org/10.1080/00397911.2023.2252537","http://dx.doi.org/10.1080/00397911.2023.2252537")</f>
        <v>http://dx.doi.org/10.1080/00397911.2023.2252537</v>
      </c>
      <c r="BG486" t="s">
        <v>74</v>
      </c>
      <c r="BH486" t="s">
        <v>8608</v>
      </c>
      <c r="BI486">
        <v>12</v>
      </c>
      <c r="BJ486" t="s">
        <v>8692</v>
      </c>
      <c r="BK486" t="s">
        <v>102</v>
      </c>
      <c r="BL486" t="s">
        <v>8693</v>
      </c>
      <c r="BM486" t="s">
        <v>8694</v>
      </c>
      <c r="BN486" t="s">
        <v>74</v>
      </c>
      <c r="BO486" t="s">
        <v>74</v>
      </c>
      <c r="BP486" t="s">
        <v>74</v>
      </c>
      <c r="BQ486" t="s">
        <v>74</v>
      </c>
      <c r="BR486" t="s">
        <v>105</v>
      </c>
      <c r="BS486" t="s">
        <v>8695</v>
      </c>
      <c r="BT486" t="str">
        <f>HYPERLINK("https%3A%2F%2Fwww.webofscience.com%2Fwos%2Fwoscc%2Ffull-record%2FWOS:001060070100001","View Full Record in Web of Science")</f>
        <v>View Full Record in Web of Science</v>
      </c>
    </row>
    <row r="487" spans="1:72" x14ac:dyDescent="0.15">
      <c r="A487" t="s">
        <v>72</v>
      </c>
      <c r="B487" t="s">
        <v>8696</v>
      </c>
      <c r="C487" t="s">
        <v>74</v>
      </c>
      <c r="D487" t="s">
        <v>74</v>
      </c>
      <c r="E487" t="s">
        <v>74</v>
      </c>
      <c r="F487" t="s">
        <v>8697</v>
      </c>
      <c r="G487" t="s">
        <v>74</v>
      </c>
      <c r="H487" t="s">
        <v>74</v>
      </c>
      <c r="I487" t="s">
        <v>8698</v>
      </c>
      <c r="J487" t="s">
        <v>8699</v>
      </c>
      <c r="K487" t="s">
        <v>74</v>
      </c>
      <c r="L487" t="s">
        <v>74</v>
      </c>
      <c r="M487" t="s">
        <v>78</v>
      </c>
      <c r="N487" t="s">
        <v>5492</v>
      </c>
      <c r="O487" t="s">
        <v>74</v>
      </c>
      <c r="P487" t="s">
        <v>74</v>
      </c>
      <c r="Q487" t="s">
        <v>74</v>
      </c>
      <c r="R487" t="s">
        <v>74</v>
      </c>
      <c r="S487" t="s">
        <v>74</v>
      </c>
      <c r="T487" t="s">
        <v>8700</v>
      </c>
      <c r="U487" t="s">
        <v>74</v>
      </c>
      <c r="V487" t="s">
        <v>8701</v>
      </c>
      <c r="W487" t="s">
        <v>8702</v>
      </c>
      <c r="X487" t="s">
        <v>8703</v>
      </c>
      <c r="Y487" t="s">
        <v>8704</v>
      </c>
      <c r="Z487" t="s">
        <v>8705</v>
      </c>
      <c r="AA487" t="s">
        <v>74</v>
      </c>
      <c r="AB487" t="s">
        <v>74</v>
      </c>
      <c r="AC487" t="s">
        <v>74</v>
      </c>
      <c r="AD487" t="s">
        <v>74</v>
      </c>
      <c r="AE487" t="s">
        <v>74</v>
      </c>
      <c r="AF487" t="s">
        <v>74</v>
      </c>
      <c r="AG487">
        <v>42</v>
      </c>
      <c r="AH487">
        <v>0</v>
      </c>
      <c r="AI487">
        <v>0</v>
      </c>
      <c r="AJ487">
        <v>0</v>
      </c>
      <c r="AK487">
        <v>0</v>
      </c>
      <c r="AL487" t="s">
        <v>1188</v>
      </c>
      <c r="AM487" t="s">
        <v>93</v>
      </c>
      <c r="AN487" t="s">
        <v>1189</v>
      </c>
      <c r="AO487" t="s">
        <v>8706</v>
      </c>
      <c r="AP487" t="s">
        <v>8707</v>
      </c>
      <c r="AQ487" t="s">
        <v>74</v>
      </c>
      <c r="AR487" t="s">
        <v>8708</v>
      </c>
      <c r="AS487" t="s">
        <v>8709</v>
      </c>
      <c r="AT487" t="s">
        <v>8606</v>
      </c>
      <c r="AU487">
        <v>2023</v>
      </c>
      <c r="AV487" t="s">
        <v>74</v>
      </c>
      <c r="AW487" t="s">
        <v>74</v>
      </c>
      <c r="AX487" t="s">
        <v>74</v>
      </c>
      <c r="AY487" t="s">
        <v>74</v>
      </c>
      <c r="AZ487" t="s">
        <v>74</v>
      </c>
      <c r="BA487" t="s">
        <v>74</v>
      </c>
      <c r="BB487" t="s">
        <v>74</v>
      </c>
      <c r="BC487" t="s">
        <v>74</v>
      </c>
      <c r="BD487" t="s">
        <v>74</v>
      </c>
      <c r="BE487" t="s">
        <v>8710</v>
      </c>
      <c r="BF487" t="str">
        <f>HYPERLINK("http://dx.doi.org/10.1080/01416200.2023.2252193","http://dx.doi.org/10.1080/01416200.2023.2252193")</f>
        <v>http://dx.doi.org/10.1080/01416200.2023.2252193</v>
      </c>
      <c r="BG487" t="s">
        <v>74</v>
      </c>
      <c r="BH487" t="s">
        <v>8608</v>
      </c>
      <c r="BI487">
        <v>12</v>
      </c>
      <c r="BJ487" t="s">
        <v>8711</v>
      </c>
      <c r="BK487" t="s">
        <v>7170</v>
      </c>
      <c r="BL487" t="s">
        <v>8711</v>
      </c>
      <c r="BM487" t="s">
        <v>8712</v>
      </c>
      <c r="BN487" t="s">
        <v>74</v>
      </c>
      <c r="BO487" t="s">
        <v>74</v>
      </c>
      <c r="BP487" t="s">
        <v>74</v>
      </c>
      <c r="BQ487" t="s">
        <v>74</v>
      </c>
      <c r="BR487" t="s">
        <v>105</v>
      </c>
      <c r="BS487" t="s">
        <v>8713</v>
      </c>
      <c r="BT487" t="str">
        <f>HYPERLINK("https%3A%2F%2Fwww.webofscience.com%2Fwos%2Fwoscc%2Ffull-record%2FWOS:001060531300001","View Full Record in Web of Science")</f>
        <v>View Full Record in Web of Science</v>
      </c>
    </row>
    <row r="488" spans="1:72" x14ac:dyDescent="0.15">
      <c r="A488" t="s">
        <v>72</v>
      </c>
      <c r="B488" t="s">
        <v>8714</v>
      </c>
      <c r="C488" t="s">
        <v>74</v>
      </c>
      <c r="D488" t="s">
        <v>74</v>
      </c>
      <c r="E488" t="s">
        <v>74</v>
      </c>
      <c r="F488" t="s">
        <v>8715</v>
      </c>
      <c r="G488" t="s">
        <v>74</v>
      </c>
      <c r="H488" t="s">
        <v>74</v>
      </c>
      <c r="I488" t="s">
        <v>8716</v>
      </c>
      <c r="J488" t="s">
        <v>6370</v>
      </c>
      <c r="K488" t="s">
        <v>74</v>
      </c>
      <c r="L488" t="s">
        <v>74</v>
      </c>
      <c r="M488" t="s">
        <v>78</v>
      </c>
      <c r="N488" t="s">
        <v>6253</v>
      </c>
      <c r="O488" t="s">
        <v>74</v>
      </c>
      <c r="P488" t="s">
        <v>74</v>
      </c>
      <c r="Q488" t="s">
        <v>74</v>
      </c>
      <c r="R488" t="s">
        <v>74</v>
      </c>
      <c r="S488" t="s">
        <v>74</v>
      </c>
      <c r="T488" t="s">
        <v>74</v>
      </c>
      <c r="U488" t="s">
        <v>74</v>
      </c>
      <c r="V488" t="s">
        <v>74</v>
      </c>
      <c r="W488" t="s">
        <v>8717</v>
      </c>
      <c r="X488" t="s">
        <v>8718</v>
      </c>
      <c r="Y488" t="s">
        <v>8719</v>
      </c>
      <c r="Z488" t="s">
        <v>8720</v>
      </c>
      <c r="AA488" t="s">
        <v>74</v>
      </c>
      <c r="AB488" t="s">
        <v>74</v>
      </c>
      <c r="AC488" t="s">
        <v>74</v>
      </c>
      <c r="AD488" t="s">
        <v>74</v>
      </c>
      <c r="AE488" t="s">
        <v>74</v>
      </c>
      <c r="AF488" t="s">
        <v>74</v>
      </c>
      <c r="AG488">
        <v>1</v>
      </c>
      <c r="AH488">
        <v>0</v>
      </c>
      <c r="AI488">
        <v>0</v>
      </c>
      <c r="AJ488">
        <v>0</v>
      </c>
      <c r="AK488">
        <v>0</v>
      </c>
      <c r="AL488" t="s">
        <v>1188</v>
      </c>
      <c r="AM488" t="s">
        <v>93</v>
      </c>
      <c r="AN488" t="s">
        <v>1189</v>
      </c>
      <c r="AO488" t="s">
        <v>6378</v>
      </c>
      <c r="AP488" t="s">
        <v>6379</v>
      </c>
      <c r="AQ488" t="s">
        <v>74</v>
      </c>
      <c r="AR488" t="s">
        <v>6380</v>
      </c>
      <c r="AS488" t="s">
        <v>6381</v>
      </c>
      <c r="AT488" t="s">
        <v>8606</v>
      </c>
      <c r="AU488">
        <v>2023</v>
      </c>
      <c r="AV488" t="s">
        <v>74</v>
      </c>
      <c r="AW488" t="s">
        <v>74</v>
      </c>
      <c r="AX488" t="s">
        <v>74</v>
      </c>
      <c r="AY488" t="s">
        <v>74</v>
      </c>
      <c r="AZ488" t="s">
        <v>74</v>
      </c>
      <c r="BA488" t="s">
        <v>74</v>
      </c>
      <c r="BB488" t="s">
        <v>74</v>
      </c>
      <c r="BC488" t="s">
        <v>74</v>
      </c>
      <c r="BD488" t="s">
        <v>74</v>
      </c>
      <c r="BE488" t="s">
        <v>8721</v>
      </c>
      <c r="BF488" t="str">
        <f>HYPERLINK("http://dx.doi.org/10.1080/14725886.2023.2252354","http://dx.doi.org/10.1080/14725886.2023.2252354")</f>
        <v>http://dx.doi.org/10.1080/14725886.2023.2252354</v>
      </c>
      <c r="BG488" t="s">
        <v>74</v>
      </c>
      <c r="BH488" t="s">
        <v>8608</v>
      </c>
      <c r="BI488">
        <v>1</v>
      </c>
      <c r="BJ488" t="s">
        <v>575</v>
      </c>
      <c r="BK488" t="s">
        <v>211</v>
      </c>
      <c r="BL488" t="s">
        <v>576</v>
      </c>
      <c r="BM488" t="s">
        <v>8722</v>
      </c>
      <c r="BN488" t="s">
        <v>74</v>
      </c>
      <c r="BO488" t="s">
        <v>74</v>
      </c>
      <c r="BP488" t="s">
        <v>74</v>
      </c>
      <c r="BQ488" t="s">
        <v>74</v>
      </c>
      <c r="BR488" t="s">
        <v>105</v>
      </c>
      <c r="BS488" t="s">
        <v>8723</v>
      </c>
      <c r="BT488" t="str">
        <f>HYPERLINK("https%3A%2F%2Fwww.webofscience.com%2Fwos%2Fwoscc%2Ffull-record%2FWOS:001060100500001","View Full Record in Web of Science")</f>
        <v>View Full Record in Web of Science</v>
      </c>
    </row>
    <row r="489" spans="1:72" x14ac:dyDescent="0.15">
      <c r="A489" t="s">
        <v>72</v>
      </c>
      <c r="B489" t="s">
        <v>8724</v>
      </c>
      <c r="C489" t="s">
        <v>74</v>
      </c>
      <c r="D489" t="s">
        <v>74</v>
      </c>
      <c r="E489" t="s">
        <v>74</v>
      </c>
      <c r="F489" t="s">
        <v>8725</v>
      </c>
      <c r="G489" t="s">
        <v>74</v>
      </c>
      <c r="H489" t="s">
        <v>74</v>
      </c>
      <c r="I489" t="s">
        <v>8726</v>
      </c>
      <c r="J489" t="s">
        <v>8727</v>
      </c>
      <c r="K489" t="s">
        <v>74</v>
      </c>
      <c r="L489" t="s">
        <v>74</v>
      </c>
      <c r="M489" t="s">
        <v>78</v>
      </c>
      <c r="N489" t="s">
        <v>5492</v>
      </c>
      <c r="O489" t="s">
        <v>74</v>
      </c>
      <c r="P489" t="s">
        <v>74</v>
      </c>
      <c r="Q489" t="s">
        <v>74</v>
      </c>
      <c r="R489" t="s">
        <v>74</v>
      </c>
      <c r="S489" t="s">
        <v>74</v>
      </c>
      <c r="T489" t="s">
        <v>8728</v>
      </c>
      <c r="U489" t="s">
        <v>8729</v>
      </c>
      <c r="V489" t="s">
        <v>8730</v>
      </c>
      <c r="W489" t="s">
        <v>8731</v>
      </c>
      <c r="X489" t="s">
        <v>8732</v>
      </c>
      <c r="Y489" t="s">
        <v>8733</v>
      </c>
      <c r="Z489" t="s">
        <v>8734</v>
      </c>
      <c r="AA489" t="s">
        <v>74</v>
      </c>
      <c r="AB489" t="s">
        <v>74</v>
      </c>
      <c r="AC489" t="s">
        <v>8735</v>
      </c>
      <c r="AD489" t="s">
        <v>8735</v>
      </c>
      <c r="AE489" t="s">
        <v>8736</v>
      </c>
      <c r="AF489" t="s">
        <v>74</v>
      </c>
      <c r="AG489">
        <v>95</v>
      </c>
      <c r="AH489">
        <v>0</v>
      </c>
      <c r="AI489">
        <v>0</v>
      </c>
      <c r="AJ489">
        <v>0</v>
      </c>
      <c r="AK489">
        <v>0</v>
      </c>
      <c r="AL489" t="s">
        <v>1188</v>
      </c>
      <c r="AM489" t="s">
        <v>93</v>
      </c>
      <c r="AN489" t="s">
        <v>1189</v>
      </c>
      <c r="AO489" t="s">
        <v>8737</v>
      </c>
      <c r="AP489" t="s">
        <v>8738</v>
      </c>
      <c r="AQ489" t="s">
        <v>74</v>
      </c>
      <c r="AR489" t="s">
        <v>8739</v>
      </c>
      <c r="AS489" t="s">
        <v>8740</v>
      </c>
      <c r="AT489" t="s">
        <v>8606</v>
      </c>
      <c r="AU489">
        <v>2023</v>
      </c>
      <c r="AV489" t="s">
        <v>74</v>
      </c>
      <c r="AW489" t="s">
        <v>74</v>
      </c>
      <c r="AX489" t="s">
        <v>74</v>
      </c>
      <c r="AY489" t="s">
        <v>74</v>
      </c>
      <c r="AZ489" t="s">
        <v>74</v>
      </c>
      <c r="BA489" t="s">
        <v>74</v>
      </c>
      <c r="BB489" t="s">
        <v>74</v>
      </c>
      <c r="BC489" t="s">
        <v>74</v>
      </c>
      <c r="BD489" t="s">
        <v>74</v>
      </c>
      <c r="BE489" t="s">
        <v>8741</v>
      </c>
      <c r="BF489" t="str">
        <f>HYPERLINK("http://dx.doi.org/10.1080/13642987.2023.2251252","http://dx.doi.org/10.1080/13642987.2023.2251252")</f>
        <v>http://dx.doi.org/10.1080/13642987.2023.2251252</v>
      </c>
      <c r="BG489" t="s">
        <v>74</v>
      </c>
      <c r="BH489" t="s">
        <v>8608</v>
      </c>
      <c r="BI489">
        <v>30</v>
      </c>
      <c r="BJ489" t="s">
        <v>8742</v>
      </c>
      <c r="BK489" t="s">
        <v>272</v>
      </c>
      <c r="BL489" t="s">
        <v>6894</v>
      </c>
      <c r="BM489" t="s">
        <v>8743</v>
      </c>
      <c r="BN489" t="s">
        <v>74</v>
      </c>
      <c r="BO489" t="s">
        <v>74</v>
      </c>
      <c r="BP489" t="s">
        <v>74</v>
      </c>
      <c r="BQ489" t="s">
        <v>74</v>
      </c>
      <c r="BR489" t="s">
        <v>105</v>
      </c>
      <c r="BS489" t="s">
        <v>8744</v>
      </c>
      <c r="BT489" t="str">
        <f>HYPERLINK("https%3A%2F%2Fwww.webofscience.com%2Fwos%2Fwoscc%2Ffull-record%2FWOS:001064566900001","View Full Record in Web of Science")</f>
        <v>View Full Record in Web of Science</v>
      </c>
    </row>
    <row r="490" spans="1:72" x14ac:dyDescent="0.15">
      <c r="A490" t="s">
        <v>72</v>
      </c>
      <c r="B490" t="s">
        <v>8745</v>
      </c>
      <c r="C490" t="s">
        <v>74</v>
      </c>
      <c r="D490" t="s">
        <v>74</v>
      </c>
      <c r="E490" t="s">
        <v>74</v>
      </c>
      <c r="F490" t="s">
        <v>8746</v>
      </c>
      <c r="G490" t="s">
        <v>74</v>
      </c>
      <c r="H490" t="s">
        <v>74</v>
      </c>
      <c r="I490" t="s">
        <v>8747</v>
      </c>
      <c r="J490" t="s">
        <v>8748</v>
      </c>
      <c r="K490" t="s">
        <v>74</v>
      </c>
      <c r="L490" t="s">
        <v>74</v>
      </c>
      <c r="M490" t="s">
        <v>78</v>
      </c>
      <c r="N490" t="s">
        <v>5492</v>
      </c>
      <c r="O490" t="s">
        <v>74</v>
      </c>
      <c r="P490" t="s">
        <v>74</v>
      </c>
      <c r="Q490" t="s">
        <v>74</v>
      </c>
      <c r="R490" t="s">
        <v>74</v>
      </c>
      <c r="S490" t="s">
        <v>74</v>
      </c>
      <c r="T490" t="s">
        <v>8749</v>
      </c>
      <c r="U490" t="s">
        <v>8750</v>
      </c>
      <c r="V490" t="s">
        <v>8751</v>
      </c>
      <c r="W490" t="s">
        <v>8752</v>
      </c>
      <c r="X490" t="s">
        <v>8753</v>
      </c>
      <c r="Y490" t="s">
        <v>8754</v>
      </c>
      <c r="Z490" t="s">
        <v>8755</v>
      </c>
      <c r="AA490" t="s">
        <v>74</v>
      </c>
      <c r="AB490" t="s">
        <v>74</v>
      </c>
      <c r="AC490" t="s">
        <v>8756</v>
      </c>
      <c r="AD490" t="s">
        <v>8756</v>
      </c>
      <c r="AE490" t="s">
        <v>8756</v>
      </c>
      <c r="AF490" t="s">
        <v>74</v>
      </c>
      <c r="AG490">
        <v>24</v>
      </c>
      <c r="AH490">
        <v>0</v>
      </c>
      <c r="AI490">
        <v>0</v>
      </c>
      <c r="AJ490">
        <v>0</v>
      </c>
      <c r="AK490">
        <v>0</v>
      </c>
      <c r="AL490" t="s">
        <v>92</v>
      </c>
      <c r="AM490" t="s">
        <v>93</v>
      </c>
      <c r="AN490" t="s">
        <v>94</v>
      </c>
      <c r="AO490" t="s">
        <v>8757</v>
      </c>
      <c r="AP490" t="s">
        <v>8758</v>
      </c>
      <c r="AQ490" t="s">
        <v>74</v>
      </c>
      <c r="AR490" t="s">
        <v>8759</v>
      </c>
      <c r="AS490" t="s">
        <v>8760</v>
      </c>
      <c r="AT490" t="s">
        <v>8606</v>
      </c>
      <c r="AU490">
        <v>2023</v>
      </c>
      <c r="AV490" t="s">
        <v>74</v>
      </c>
      <c r="AW490" t="s">
        <v>74</v>
      </c>
      <c r="AX490" t="s">
        <v>74</v>
      </c>
      <c r="AY490" t="s">
        <v>74</v>
      </c>
      <c r="AZ490" t="s">
        <v>74</v>
      </c>
      <c r="BA490" t="s">
        <v>74</v>
      </c>
      <c r="BB490" t="s">
        <v>74</v>
      </c>
      <c r="BC490" t="s">
        <v>74</v>
      </c>
      <c r="BD490" t="s">
        <v>74</v>
      </c>
      <c r="BE490" t="s">
        <v>8761</v>
      </c>
      <c r="BF490" t="str">
        <f>HYPERLINK("http://dx.doi.org/10.1080/01650424.2023.2253212","http://dx.doi.org/10.1080/01650424.2023.2253212")</f>
        <v>http://dx.doi.org/10.1080/01650424.2023.2253212</v>
      </c>
      <c r="BG490" t="s">
        <v>74</v>
      </c>
      <c r="BH490" t="s">
        <v>8608</v>
      </c>
      <c r="BI490">
        <v>5</v>
      </c>
      <c r="BJ490" t="s">
        <v>8350</v>
      </c>
      <c r="BK490" t="s">
        <v>102</v>
      </c>
      <c r="BL490" t="s">
        <v>8350</v>
      </c>
      <c r="BM490" t="s">
        <v>8762</v>
      </c>
      <c r="BN490" t="s">
        <v>74</v>
      </c>
      <c r="BO490" t="s">
        <v>74</v>
      </c>
      <c r="BP490" t="s">
        <v>74</v>
      </c>
      <c r="BQ490" t="s">
        <v>74</v>
      </c>
      <c r="BR490" t="s">
        <v>105</v>
      </c>
      <c r="BS490" t="s">
        <v>8763</v>
      </c>
      <c r="BT490" t="str">
        <f>HYPERLINK("https%3A%2F%2Fwww.webofscience.com%2Fwos%2Fwoscc%2Ffull-record%2FWOS:001068940500001","View Full Record in Web of Science")</f>
        <v>View Full Record in Web of Science</v>
      </c>
    </row>
    <row r="491" spans="1:72" x14ac:dyDescent="0.15">
      <c r="A491" t="s">
        <v>72</v>
      </c>
      <c r="B491" t="s">
        <v>8764</v>
      </c>
      <c r="C491" t="s">
        <v>74</v>
      </c>
      <c r="D491" t="s">
        <v>74</v>
      </c>
      <c r="E491" t="s">
        <v>74</v>
      </c>
      <c r="F491" t="s">
        <v>8765</v>
      </c>
      <c r="G491" t="s">
        <v>74</v>
      </c>
      <c r="H491" t="s">
        <v>74</v>
      </c>
      <c r="I491" t="s">
        <v>8766</v>
      </c>
      <c r="J491" t="s">
        <v>8767</v>
      </c>
      <c r="K491" t="s">
        <v>74</v>
      </c>
      <c r="L491" t="s">
        <v>74</v>
      </c>
      <c r="M491" t="s">
        <v>78</v>
      </c>
      <c r="N491" t="s">
        <v>5492</v>
      </c>
      <c r="O491" t="s">
        <v>74</v>
      </c>
      <c r="P491" t="s">
        <v>74</v>
      </c>
      <c r="Q491" t="s">
        <v>74</v>
      </c>
      <c r="R491" t="s">
        <v>74</v>
      </c>
      <c r="S491" t="s">
        <v>74</v>
      </c>
      <c r="T491" t="s">
        <v>8768</v>
      </c>
      <c r="U491" t="s">
        <v>8769</v>
      </c>
      <c r="V491" t="s">
        <v>8770</v>
      </c>
      <c r="W491" t="s">
        <v>8771</v>
      </c>
      <c r="X491" t="s">
        <v>74</v>
      </c>
      <c r="Y491" t="s">
        <v>8772</v>
      </c>
      <c r="Z491" t="s">
        <v>8773</v>
      </c>
      <c r="AA491" t="s">
        <v>74</v>
      </c>
      <c r="AB491" t="s">
        <v>74</v>
      </c>
      <c r="AC491" t="s">
        <v>74</v>
      </c>
      <c r="AD491" t="s">
        <v>74</v>
      </c>
      <c r="AE491" t="s">
        <v>74</v>
      </c>
      <c r="AF491" t="s">
        <v>74</v>
      </c>
      <c r="AG491">
        <v>35</v>
      </c>
      <c r="AH491">
        <v>0</v>
      </c>
      <c r="AI491">
        <v>0</v>
      </c>
      <c r="AJ491">
        <v>0</v>
      </c>
      <c r="AK491">
        <v>0</v>
      </c>
      <c r="AL491" t="s">
        <v>92</v>
      </c>
      <c r="AM491" t="s">
        <v>93</v>
      </c>
      <c r="AN491" t="s">
        <v>94</v>
      </c>
      <c r="AO491" t="s">
        <v>8774</v>
      </c>
      <c r="AP491" t="s">
        <v>8775</v>
      </c>
      <c r="AQ491" t="s">
        <v>74</v>
      </c>
      <c r="AR491" t="s">
        <v>8776</v>
      </c>
      <c r="AS491" t="s">
        <v>8777</v>
      </c>
      <c r="AT491" t="s">
        <v>8778</v>
      </c>
      <c r="AU491">
        <v>2023</v>
      </c>
      <c r="AV491" t="s">
        <v>74</v>
      </c>
      <c r="AW491" t="s">
        <v>74</v>
      </c>
      <c r="AX491" t="s">
        <v>74</v>
      </c>
      <c r="AY491" t="s">
        <v>74</v>
      </c>
      <c r="AZ491" t="s">
        <v>74</v>
      </c>
      <c r="BA491" t="s">
        <v>74</v>
      </c>
      <c r="BB491" t="s">
        <v>74</v>
      </c>
      <c r="BC491" t="s">
        <v>74</v>
      </c>
      <c r="BD491" t="s">
        <v>74</v>
      </c>
      <c r="BE491" t="s">
        <v>8779</v>
      </c>
      <c r="BF491" t="str">
        <f>HYPERLINK("http://dx.doi.org/10.1080/00207217.2023.2245195","http://dx.doi.org/10.1080/00207217.2023.2245195")</f>
        <v>http://dx.doi.org/10.1080/00207217.2023.2245195</v>
      </c>
      <c r="BG491" t="s">
        <v>74</v>
      </c>
      <c r="BH491" t="s">
        <v>8608</v>
      </c>
      <c r="BI491">
        <v>31</v>
      </c>
      <c r="BJ491" t="s">
        <v>8780</v>
      </c>
      <c r="BK491" t="s">
        <v>102</v>
      </c>
      <c r="BL491" t="s">
        <v>1095</v>
      </c>
      <c r="BM491" t="s">
        <v>8781</v>
      </c>
      <c r="BN491" t="s">
        <v>74</v>
      </c>
      <c r="BO491" t="s">
        <v>74</v>
      </c>
      <c r="BP491" t="s">
        <v>74</v>
      </c>
      <c r="BQ491" t="s">
        <v>74</v>
      </c>
      <c r="BR491" t="s">
        <v>105</v>
      </c>
      <c r="BS491" t="s">
        <v>8782</v>
      </c>
      <c r="BT491" t="str">
        <f>HYPERLINK("https%3A%2F%2Fwww.webofscience.com%2Fwos%2Fwoscc%2Ffull-record%2FWOS:001056928500001","View Full Record in Web of Science")</f>
        <v>View Full Record in Web of Science</v>
      </c>
    </row>
    <row r="492" spans="1:72" x14ac:dyDescent="0.15">
      <c r="A492" t="s">
        <v>72</v>
      </c>
      <c r="B492" t="s">
        <v>8783</v>
      </c>
      <c r="C492" t="s">
        <v>74</v>
      </c>
      <c r="D492" t="s">
        <v>74</v>
      </c>
      <c r="E492" t="s">
        <v>74</v>
      </c>
      <c r="F492" t="s">
        <v>8784</v>
      </c>
      <c r="G492" t="s">
        <v>74</v>
      </c>
      <c r="H492" t="s">
        <v>74</v>
      </c>
      <c r="I492" t="s">
        <v>8785</v>
      </c>
      <c r="J492" t="s">
        <v>8786</v>
      </c>
      <c r="K492" t="s">
        <v>74</v>
      </c>
      <c r="L492" t="s">
        <v>74</v>
      </c>
      <c r="M492" t="s">
        <v>78</v>
      </c>
      <c r="N492" t="s">
        <v>5492</v>
      </c>
      <c r="O492" t="s">
        <v>74</v>
      </c>
      <c r="P492" t="s">
        <v>74</v>
      </c>
      <c r="Q492" t="s">
        <v>74</v>
      </c>
      <c r="R492" t="s">
        <v>74</v>
      </c>
      <c r="S492" t="s">
        <v>74</v>
      </c>
      <c r="T492" t="s">
        <v>8787</v>
      </c>
      <c r="U492" t="s">
        <v>74</v>
      </c>
      <c r="V492" t="s">
        <v>8788</v>
      </c>
      <c r="W492" t="s">
        <v>8789</v>
      </c>
      <c r="X492" t="s">
        <v>8790</v>
      </c>
      <c r="Y492" t="s">
        <v>8791</v>
      </c>
      <c r="Z492" t="s">
        <v>8792</v>
      </c>
      <c r="AA492" t="s">
        <v>74</v>
      </c>
      <c r="AB492" t="s">
        <v>74</v>
      </c>
      <c r="AC492" t="s">
        <v>74</v>
      </c>
      <c r="AD492" t="s">
        <v>74</v>
      </c>
      <c r="AE492" t="s">
        <v>74</v>
      </c>
      <c r="AF492" t="s">
        <v>74</v>
      </c>
      <c r="AG492">
        <v>19</v>
      </c>
      <c r="AH492">
        <v>0</v>
      </c>
      <c r="AI492">
        <v>0</v>
      </c>
      <c r="AJ492">
        <v>0</v>
      </c>
      <c r="AK492">
        <v>0</v>
      </c>
      <c r="AL492" t="s">
        <v>1188</v>
      </c>
      <c r="AM492" t="s">
        <v>93</v>
      </c>
      <c r="AN492" t="s">
        <v>1189</v>
      </c>
      <c r="AO492" t="s">
        <v>8793</v>
      </c>
      <c r="AP492" t="s">
        <v>8794</v>
      </c>
      <c r="AQ492" t="s">
        <v>74</v>
      </c>
      <c r="AR492" t="s">
        <v>8795</v>
      </c>
      <c r="AS492" t="s">
        <v>8796</v>
      </c>
      <c r="AT492" t="s">
        <v>8778</v>
      </c>
      <c r="AU492">
        <v>2023</v>
      </c>
      <c r="AV492" t="s">
        <v>74</v>
      </c>
      <c r="AW492" t="s">
        <v>74</v>
      </c>
      <c r="AX492" t="s">
        <v>74</v>
      </c>
      <c r="AY492" t="s">
        <v>74</v>
      </c>
      <c r="AZ492" t="s">
        <v>74</v>
      </c>
      <c r="BA492" t="s">
        <v>74</v>
      </c>
      <c r="BB492" t="s">
        <v>74</v>
      </c>
      <c r="BC492" t="s">
        <v>74</v>
      </c>
      <c r="BD492" t="s">
        <v>74</v>
      </c>
      <c r="BE492" t="s">
        <v>8797</v>
      </c>
      <c r="BF492" t="str">
        <f>HYPERLINK("http://dx.doi.org/10.1080/0015198X.2023.2240081","http://dx.doi.org/10.1080/0015198X.2023.2240081")</f>
        <v>http://dx.doi.org/10.1080/0015198X.2023.2240081</v>
      </c>
      <c r="BG492" t="s">
        <v>74</v>
      </c>
      <c r="BH492" t="s">
        <v>8608</v>
      </c>
      <c r="BI492">
        <v>8</v>
      </c>
      <c r="BJ492" t="s">
        <v>8798</v>
      </c>
      <c r="BK492" t="s">
        <v>272</v>
      </c>
      <c r="BL492" t="s">
        <v>295</v>
      </c>
      <c r="BM492" t="s">
        <v>8799</v>
      </c>
      <c r="BN492" t="s">
        <v>74</v>
      </c>
      <c r="BO492" t="s">
        <v>5391</v>
      </c>
      <c r="BP492" t="s">
        <v>74</v>
      </c>
      <c r="BQ492" t="s">
        <v>74</v>
      </c>
      <c r="BR492" t="s">
        <v>105</v>
      </c>
      <c r="BS492" t="s">
        <v>8800</v>
      </c>
      <c r="BT492" t="str">
        <f>HYPERLINK("https%3A%2F%2Fwww.webofscience.com%2Fwos%2Fwoscc%2Ffull-record%2FWOS:001064758100001","View Full Record in Web of Science")</f>
        <v>View Full Record in Web of Science</v>
      </c>
    </row>
    <row r="493" spans="1:72" x14ac:dyDescent="0.15">
      <c r="A493" t="s">
        <v>72</v>
      </c>
      <c r="B493" t="s">
        <v>8801</v>
      </c>
      <c r="C493" t="s">
        <v>74</v>
      </c>
      <c r="D493" t="s">
        <v>74</v>
      </c>
      <c r="E493" t="s">
        <v>74</v>
      </c>
      <c r="F493" t="s">
        <v>8802</v>
      </c>
      <c r="G493" t="s">
        <v>74</v>
      </c>
      <c r="H493" t="s">
        <v>74</v>
      </c>
      <c r="I493" t="s">
        <v>8803</v>
      </c>
      <c r="J493" t="s">
        <v>8088</v>
      </c>
      <c r="K493" t="s">
        <v>74</v>
      </c>
      <c r="L493" t="s">
        <v>74</v>
      </c>
      <c r="M493" t="s">
        <v>78</v>
      </c>
      <c r="N493" t="s">
        <v>5492</v>
      </c>
      <c r="O493" t="s">
        <v>74</v>
      </c>
      <c r="P493" t="s">
        <v>74</v>
      </c>
      <c r="Q493" t="s">
        <v>74</v>
      </c>
      <c r="R493" t="s">
        <v>74</v>
      </c>
      <c r="S493" t="s">
        <v>74</v>
      </c>
      <c r="T493" t="s">
        <v>8804</v>
      </c>
      <c r="U493" t="s">
        <v>8805</v>
      </c>
      <c r="V493" t="s">
        <v>8806</v>
      </c>
      <c r="W493" t="s">
        <v>8807</v>
      </c>
      <c r="X493" t="s">
        <v>8808</v>
      </c>
      <c r="Y493" t="s">
        <v>8809</v>
      </c>
      <c r="Z493" t="s">
        <v>8810</v>
      </c>
      <c r="AA493" t="s">
        <v>74</v>
      </c>
      <c r="AB493" t="s">
        <v>74</v>
      </c>
      <c r="AC493" t="s">
        <v>8811</v>
      </c>
      <c r="AD493" t="s">
        <v>8811</v>
      </c>
      <c r="AE493" t="s">
        <v>8812</v>
      </c>
      <c r="AF493" t="s">
        <v>74</v>
      </c>
      <c r="AG493">
        <v>72</v>
      </c>
      <c r="AH493">
        <v>0</v>
      </c>
      <c r="AI493">
        <v>0</v>
      </c>
      <c r="AJ493">
        <v>0</v>
      </c>
      <c r="AK493">
        <v>0</v>
      </c>
      <c r="AL493" t="s">
        <v>1188</v>
      </c>
      <c r="AM493" t="s">
        <v>93</v>
      </c>
      <c r="AN493" t="s">
        <v>1189</v>
      </c>
      <c r="AO493" t="s">
        <v>8094</v>
      </c>
      <c r="AP493" t="s">
        <v>8095</v>
      </c>
      <c r="AQ493" t="s">
        <v>74</v>
      </c>
      <c r="AR493" t="s">
        <v>8096</v>
      </c>
      <c r="AS493" t="s">
        <v>8097</v>
      </c>
      <c r="AT493" t="s">
        <v>8778</v>
      </c>
      <c r="AU493">
        <v>2023</v>
      </c>
      <c r="AV493" t="s">
        <v>74</v>
      </c>
      <c r="AW493" t="s">
        <v>74</v>
      </c>
      <c r="AX493" t="s">
        <v>74</v>
      </c>
      <c r="AY493" t="s">
        <v>74</v>
      </c>
      <c r="AZ493" t="s">
        <v>74</v>
      </c>
      <c r="BA493" t="s">
        <v>74</v>
      </c>
      <c r="BB493" t="s">
        <v>74</v>
      </c>
      <c r="BC493" t="s">
        <v>74</v>
      </c>
      <c r="BD493" t="s">
        <v>74</v>
      </c>
      <c r="BE493" t="s">
        <v>8813</v>
      </c>
      <c r="BF493" t="str">
        <f>HYPERLINK("http://dx.doi.org/10.1080/08995605.2023.2250708","http://dx.doi.org/10.1080/08995605.2023.2250708")</f>
        <v>http://dx.doi.org/10.1080/08995605.2023.2250708</v>
      </c>
      <c r="BG493" t="s">
        <v>74</v>
      </c>
      <c r="BH493" t="s">
        <v>8608</v>
      </c>
      <c r="BI493">
        <v>11</v>
      </c>
      <c r="BJ493" t="s">
        <v>1690</v>
      </c>
      <c r="BK493" t="s">
        <v>272</v>
      </c>
      <c r="BL493" t="s">
        <v>1691</v>
      </c>
      <c r="BM493" t="s">
        <v>8814</v>
      </c>
      <c r="BN493">
        <v>37643328</v>
      </c>
      <c r="BO493" t="s">
        <v>74</v>
      </c>
      <c r="BP493" t="s">
        <v>74</v>
      </c>
      <c r="BQ493" t="s">
        <v>74</v>
      </c>
      <c r="BR493" t="s">
        <v>105</v>
      </c>
      <c r="BS493" t="s">
        <v>8815</v>
      </c>
      <c r="BT493" t="str">
        <f>HYPERLINK("https%3A%2F%2Fwww.webofscience.com%2Fwos%2Fwoscc%2Ffull-record%2FWOS:001060137700001","View Full Record in Web of Science")</f>
        <v>View Full Record in Web of Science</v>
      </c>
    </row>
    <row r="494" spans="1:72" x14ac:dyDescent="0.15">
      <c r="A494" t="s">
        <v>72</v>
      </c>
      <c r="B494" t="s">
        <v>8816</v>
      </c>
      <c r="C494" t="s">
        <v>74</v>
      </c>
      <c r="D494" t="s">
        <v>74</v>
      </c>
      <c r="E494" t="s">
        <v>74</v>
      </c>
      <c r="F494" t="s">
        <v>8817</v>
      </c>
      <c r="G494" t="s">
        <v>74</v>
      </c>
      <c r="H494" t="s">
        <v>74</v>
      </c>
      <c r="I494" t="s">
        <v>8818</v>
      </c>
      <c r="J494" t="s">
        <v>8819</v>
      </c>
      <c r="K494" t="s">
        <v>74</v>
      </c>
      <c r="L494" t="s">
        <v>74</v>
      </c>
      <c r="M494" t="s">
        <v>78</v>
      </c>
      <c r="N494" t="s">
        <v>5492</v>
      </c>
      <c r="O494" t="s">
        <v>74</v>
      </c>
      <c r="P494" t="s">
        <v>74</v>
      </c>
      <c r="Q494" t="s">
        <v>74</v>
      </c>
      <c r="R494" t="s">
        <v>74</v>
      </c>
      <c r="S494" t="s">
        <v>74</v>
      </c>
      <c r="T494" t="s">
        <v>8820</v>
      </c>
      <c r="U494" t="s">
        <v>8821</v>
      </c>
      <c r="V494" t="s">
        <v>8822</v>
      </c>
      <c r="W494" t="s">
        <v>8823</v>
      </c>
      <c r="X494" t="s">
        <v>8824</v>
      </c>
      <c r="Y494" t="s">
        <v>8825</v>
      </c>
      <c r="Z494" t="s">
        <v>8826</v>
      </c>
      <c r="AA494" t="s">
        <v>74</v>
      </c>
      <c r="AB494" t="s">
        <v>74</v>
      </c>
      <c r="AC494" t="s">
        <v>8827</v>
      </c>
      <c r="AD494" t="s">
        <v>8828</v>
      </c>
      <c r="AE494" t="s">
        <v>8829</v>
      </c>
      <c r="AF494" t="s">
        <v>74</v>
      </c>
      <c r="AG494">
        <v>47</v>
      </c>
      <c r="AH494">
        <v>0</v>
      </c>
      <c r="AI494">
        <v>0</v>
      </c>
      <c r="AJ494">
        <v>1</v>
      </c>
      <c r="AK494">
        <v>1</v>
      </c>
      <c r="AL494" t="s">
        <v>92</v>
      </c>
      <c r="AM494" t="s">
        <v>93</v>
      </c>
      <c r="AN494" t="s">
        <v>94</v>
      </c>
      <c r="AO494" t="s">
        <v>8830</v>
      </c>
      <c r="AP494" t="s">
        <v>8831</v>
      </c>
      <c r="AQ494" t="s">
        <v>74</v>
      </c>
      <c r="AR494" t="s">
        <v>8832</v>
      </c>
      <c r="AS494" t="s">
        <v>8833</v>
      </c>
      <c r="AT494" t="s">
        <v>8778</v>
      </c>
      <c r="AU494">
        <v>2023</v>
      </c>
      <c r="AV494" t="s">
        <v>74</v>
      </c>
      <c r="AW494" t="s">
        <v>74</v>
      </c>
      <c r="AX494" t="s">
        <v>74</v>
      </c>
      <c r="AY494" t="s">
        <v>74</v>
      </c>
      <c r="AZ494" t="s">
        <v>74</v>
      </c>
      <c r="BA494" t="s">
        <v>74</v>
      </c>
      <c r="BB494" t="s">
        <v>74</v>
      </c>
      <c r="BC494" t="s">
        <v>74</v>
      </c>
      <c r="BD494" t="s">
        <v>74</v>
      </c>
      <c r="BE494" t="s">
        <v>8834</v>
      </c>
      <c r="BF494" t="str">
        <f>HYPERLINK("http://dx.doi.org/10.1080/01431161.2023.2247533","http://dx.doi.org/10.1080/01431161.2023.2247533")</f>
        <v>http://dx.doi.org/10.1080/01431161.2023.2247533</v>
      </c>
      <c r="BG494" t="s">
        <v>74</v>
      </c>
      <c r="BH494" t="s">
        <v>8608</v>
      </c>
      <c r="BI494">
        <v>20</v>
      </c>
      <c r="BJ494" t="s">
        <v>8835</v>
      </c>
      <c r="BK494" t="s">
        <v>102</v>
      </c>
      <c r="BL494" t="s">
        <v>8835</v>
      </c>
      <c r="BM494" t="s">
        <v>8836</v>
      </c>
      <c r="BN494" t="s">
        <v>74</v>
      </c>
      <c r="BO494" t="s">
        <v>74</v>
      </c>
      <c r="BP494" t="s">
        <v>74</v>
      </c>
      <c r="BQ494" t="s">
        <v>74</v>
      </c>
      <c r="BR494" t="s">
        <v>105</v>
      </c>
      <c r="BS494" t="s">
        <v>8837</v>
      </c>
      <c r="BT494" t="str">
        <f>HYPERLINK("https%3A%2F%2Fwww.webofscience.com%2Fwos%2Fwoscc%2Ffull-record%2FWOS:001060150600001","View Full Record in Web of Science")</f>
        <v>View Full Record in Web of Science</v>
      </c>
    </row>
    <row r="495" spans="1:72" x14ac:dyDescent="0.15">
      <c r="A495" t="s">
        <v>72</v>
      </c>
      <c r="B495" t="s">
        <v>8838</v>
      </c>
      <c r="C495" t="s">
        <v>74</v>
      </c>
      <c r="D495" t="s">
        <v>74</v>
      </c>
      <c r="E495" t="s">
        <v>74</v>
      </c>
      <c r="F495" t="s">
        <v>8839</v>
      </c>
      <c r="G495" t="s">
        <v>74</v>
      </c>
      <c r="H495" t="s">
        <v>74</v>
      </c>
      <c r="I495" t="s">
        <v>8840</v>
      </c>
      <c r="J495" t="s">
        <v>6028</v>
      </c>
      <c r="K495" t="s">
        <v>74</v>
      </c>
      <c r="L495" t="s">
        <v>74</v>
      </c>
      <c r="M495" t="s">
        <v>78</v>
      </c>
      <c r="N495" t="s">
        <v>5492</v>
      </c>
      <c r="O495" t="s">
        <v>74</v>
      </c>
      <c r="P495" t="s">
        <v>74</v>
      </c>
      <c r="Q495" t="s">
        <v>74</v>
      </c>
      <c r="R495" t="s">
        <v>74</v>
      </c>
      <c r="S495" t="s">
        <v>74</v>
      </c>
      <c r="T495" t="s">
        <v>8841</v>
      </c>
      <c r="U495" t="s">
        <v>8842</v>
      </c>
      <c r="V495" t="s">
        <v>8843</v>
      </c>
      <c r="W495" t="s">
        <v>8844</v>
      </c>
      <c r="X495" t="s">
        <v>8845</v>
      </c>
      <c r="Y495" t="s">
        <v>8846</v>
      </c>
      <c r="Z495" t="s">
        <v>8847</v>
      </c>
      <c r="AA495" t="s">
        <v>74</v>
      </c>
      <c r="AB495" t="s">
        <v>8848</v>
      </c>
      <c r="AC495" t="s">
        <v>74</v>
      </c>
      <c r="AD495" t="s">
        <v>74</v>
      </c>
      <c r="AE495" t="s">
        <v>74</v>
      </c>
      <c r="AF495" t="s">
        <v>74</v>
      </c>
      <c r="AG495">
        <v>90</v>
      </c>
      <c r="AH495">
        <v>0</v>
      </c>
      <c r="AI495">
        <v>0</v>
      </c>
      <c r="AJ495">
        <v>2</v>
      </c>
      <c r="AK495">
        <v>2</v>
      </c>
      <c r="AL495" t="s">
        <v>1188</v>
      </c>
      <c r="AM495" t="s">
        <v>93</v>
      </c>
      <c r="AN495" t="s">
        <v>1189</v>
      </c>
      <c r="AO495" t="s">
        <v>6036</v>
      </c>
      <c r="AP495" t="s">
        <v>6037</v>
      </c>
      <c r="AQ495" t="s">
        <v>74</v>
      </c>
      <c r="AR495" t="s">
        <v>6038</v>
      </c>
      <c r="AS495" t="s">
        <v>6039</v>
      </c>
      <c r="AT495" t="s">
        <v>8778</v>
      </c>
      <c r="AU495">
        <v>2023</v>
      </c>
      <c r="AV495" t="s">
        <v>74</v>
      </c>
      <c r="AW495" t="s">
        <v>74</v>
      </c>
      <c r="AX495" t="s">
        <v>74</v>
      </c>
      <c r="AY495" t="s">
        <v>74</v>
      </c>
      <c r="AZ495" t="s">
        <v>74</v>
      </c>
      <c r="BA495" t="s">
        <v>74</v>
      </c>
      <c r="BB495" t="s">
        <v>74</v>
      </c>
      <c r="BC495" t="s">
        <v>74</v>
      </c>
      <c r="BD495" t="s">
        <v>74</v>
      </c>
      <c r="BE495" t="s">
        <v>8849</v>
      </c>
      <c r="BF495" t="str">
        <f>HYPERLINK("http://dx.doi.org/10.1080/13683500.2023.2252559","http://dx.doi.org/10.1080/13683500.2023.2252559")</f>
        <v>http://dx.doi.org/10.1080/13683500.2023.2252559</v>
      </c>
      <c r="BG495" t="s">
        <v>74</v>
      </c>
      <c r="BH495" t="s">
        <v>8608</v>
      </c>
      <c r="BI495">
        <v>20</v>
      </c>
      <c r="BJ495" t="s">
        <v>5731</v>
      </c>
      <c r="BK495" t="s">
        <v>272</v>
      </c>
      <c r="BL495" t="s">
        <v>397</v>
      </c>
      <c r="BM495" t="s">
        <v>8850</v>
      </c>
      <c r="BN495" t="s">
        <v>74</v>
      </c>
      <c r="BO495" t="s">
        <v>74</v>
      </c>
      <c r="BP495" t="s">
        <v>74</v>
      </c>
      <c r="BQ495" t="s">
        <v>74</v>
      </c>
      <c r="BR495" t="s">
        <v>105</v>
      </c>
      <c r="BS495" t="s">
        <v>8851</v>
      </c>
      <c r="BT495" t="str">
        <f>HYPERLINK("https%3A%2F%2Fwww.webofscience.com%2Fwos%2Fwoscc%2Ffull-record%2FWOS:001062033700001","View Full Record in Web of Science")</f>
        <v>View Full Record in Web of Science</v>
      </c>
    </row>
    <row r="496" spans="1:72" x14ac:dyDescent="0.15">
      <c r="A496" t="s">
        <v>72</v>
      </c>
      <c r="B496" t="s">
        <v>8852</v>
      </c>
      <c r="C496" t="s">
        <v>74</v>
      </c>
      <c r="D496" t="s">
        <v>74</v>
      </c>
      <c r="E496" t="s">
        <v>74</v>
      </c>
      <c r="F496" t="s">
        <v>8853</v>
      </c>
      <c r="G496" t="s">
        <v>74</v>
      </c>
      <c r="H496" t="s">
        <v>74</v>
      </c>
      <c r="I496" t="s">
        <v>8854</v>
      </c>
      <c r="J496" t="s">
        <v>8855</v>
      </c>
      <c r="K496" t="s">
        <v>74</v>
      </c>
      <c r="L496" t="s">
        <v>74</v>
      </c>
      <c r="M496" t="s">
        <v>78</v>
      </c>
      <c r="N496" t="s">
        <v>5492</v>
      </c>
      <c r="O496" t="s">
        <v>74</v>
      </c>
      <c r="P496" t="s">
        <v>74</v>
      </c>
      <c r="Q496" t="s">
        <v>74</v>
      </c>
      <c r="R496" t="s">
        <v>74</v>
      </c>
      <c r="S496" t="s">
        <v>74</v>
      </c>
      <c r="T496" t="s">
        <v>8856</v>
      </c>
      <c r="U496" t="s">
        <v>8857</v>
      </c>
      <c r="V496" t="s">
        <v>8858</v>
      </c>
      <c r="W496" t="s">
        <v>8859</v>
      </c>
      <c r="X496" t="s">
        <v>8860</v>
      </c>
      <c r="Y496" t="s">
        <v>8861</v>
      </c>
      <c r="Z496" t="s">
        <v>8862</v>
      </c>
      <c r="AA496" t="s">
        <v>74</v>
      </c>
      <c r="AB496" t="s">
        <v>74</v>
      </c>
      <c r="AC496" t="s">
        <v>8863</v>
      </c>
      <c r="AD496" t="s">
        <v>8864</v>
      </c>
      <c r="AE496" t="s">
        <v>8865</v>
      </c>
      <c r="AF496" t="s">
        <v>74</v>
      </c>
      <c r="AG496">
        <v>20</v>
      </c>
      <c r="AH496">
        <v>0</v>
      </c>
      <c r="AI496">
        <v>0</v>
      </c>
      <c r="AJ496">
        <v>0</v>
      </c>
      <c r="AK496">
        <v>0</v>
      </c>
      <c r="AL496" t="s">
        <v>184</v>
      </c>
      <c r="AM496" t="s">
        <v>185</v>
      </c>
      <c r="AN496" t="s">
        <v>186</v>
      </c>
      <c r="AO496" t="s">
        <v>8866</v>
      </c>
      <c r="AP496" t="s">
        <v>8867</v>
      </c>
      <c r="AQ496" t="s">
        <v>74</v>
      </c>
      <c r="AR496" t="s">
        <v>8868</v>
      </c>
      <c r="AS496" t="s">
        <v>8869</v>
      </c>
      <c r="AT496" t="s">
        <v>8778</v>
      </c>
      <c r="AU496">
        <v>2023</v>
      </c>
      <c r="AV496" t="s">
        <v>74</v>
      </c>
      <c r="AW496" t="s">
        <v>74</v>
      </c>
      <c r="AX496" t="s">
        <v>74</v>
      </c>
      <c r="AY496" t="s">
        <v>74</v>
      </c>
      <c r="AZ496" t="s">
        <v>74</v>
      </c>
      <c r="BA496" t="s">
        <v>74</v>
      </c>
      <c r="BB496" t="s">
        <v>74</v>
      </c>
      <c r="BC496" t="s">
        <v>74</v>
      </c>
      <c r="BD496" t="s">
        <v>74</v>
      </c>
      <c r="BE496" t="s">
        <v>8870</v>
      </c>
      <c r="BF496" t="str">
        <f>HYPERLINK("http://dx.doi.org/10.1080/15360288.2023.2253223","http://dx.doi.org/10.1080/15360288.2023.2253223")</f>
        <v>http://dx.doi.org/10.1080/15360288.2023.2253223</v>
      </c>
      <c r="BG496" t="s">
        <v>74</v>
      </c>
      <c r="BH496" t="s">
        <v>8608</v>
      </c>
      <c r="BI496">
        <v>8</v>
      </c>
      <c r="BJ496" t="s">
        <v>8871</v>
      </c>
      <c r="BK496" t="s">
        <v>211</v>
      </c>
      <c r="BL496" t="s">
        <v>8871</v>
      </c>
      <c r="BM496" t="s">
        <v>8872</v>
      </c>
      <c r="BN496">
        <v>37712672</v>
      </c>
      <c r="BO496" t="s">
        <v>74</v>
      </c>
      <c r="BP496" t="s">
        <v>74</v>
      </c>
      <c r="BQ496" t="s">
        <v>74</v>
      </c>
      <c r="BR496" t="s">
        <v>105</v>
      </c>
      <c r="BS496" t="s">
        <v>8873</v>
      </c>
      <c r="BT496" t="str">
        <f>HYPERLINK("https%3A%2F%2Fwww.webofscience.com%2Fwos%2Fwoscc%2Ffull-record%2FWOS:001066710000001","View Full Record in Web of Science")</f>
        <v>View Full Record in Web of Science</v>
      </c>
    </row>
    <row r="497" spans="1:72" x14ac:dyDescent="0.15">
      <c r="A497" t="s">
        <v>72</v>
      </c>
      <c r="B497" t="s">
        <v>8874</v>
      </c>
      <c r="C497" t="s">
        <v>74</v>
      </c>
      <c r="D497" t="s">
        <v>74</v>
      </c>
      <c r="E497" t="s">
        <v>74</v>
      </c>
      <c r="F497" t="s">
        <v>8875</v>
      </c>
      <c r="G497" t="s">
        <v>74</v>
      </c>
      <c r="H497" t="s">
        <v>74</v>
      </c>
      <c r="I497" t="s">
        <v>8876</v>
      </c>
      <c r="J497" t="s">
        <v>6370</v>
      </c>
      <c r="K497" t="s">
        <v>74</v>
      </c>
      <c r="L497" t="s">
        <v>74</v>
      </c>
      <c r="M497" t="s">
        <v>78</v>
      </c>
      <c r="N497" t="s">
        <v>6253</v>
      </c>
      <c r="O497" t="s">
        <v>74</v>
      </c>
      <c r="P497" t="s">
        <v>74</v>
      </c>
      <c r="Q497" t="s">
        <v>74</v>
      </c>
      <c r="R497" t="s">
        <v>74</v>
      </c>
      <c r="S497" t="s">
        <v>74</v>
      </c>
      <c r="T497" t="s">
        <v>74</v>
      </c>
      <c r="U497" t="s">
        <v>74</v>
      </c>
      <c r="V497" t="s">
        <v>74</v>
      </c>
      <c r="W497" t="s">
        <v>8877</v>
      </c>
      <c r="X497" t="s">
        <v>8878</v>
      </c>
      <c r="Y497" t="s">
        <v>8879</v>
      </c>
      <c r="Z497" t="s">
        <v>8880</v>
      </c>
      <c r="AA497" t="s">
        <v>74</v>
      </c>
      <c r="AB497" t="s">
        <v>74</v>
      </c>
      <c r="AC497" t="s">
        <v>74</v>
      </c>
      <c r="AD497" t="s">
        <v>74</v>
      </c>
      <c r="AE497" t="s">
        <v>74</v>
      </c>
      <c r="AF497" t="s">
        <v>74</v>
      </c>
      <c r="AG497">
        <v>1</v>
      </c>
      <c r="AH497">
        <v>0</v>
      </c>
      <c r="AI497">
        <v>0</v>
      </c>
      <c r="AJ497">
        <v>0</v>
      </c>
      <c r="AK497">
        <v>0</v>
      </c>
      <c r="AL497" t="s">
        <v>1188</v>
      </c>
      <c r="AM497" t="s">
        <v>93</v>
      </c>
      <c r="AN497" t="s">
        <v>1189</v>
      </c>
      <c r="AO497" t="s">
        <v>6378</v>
      </c>
      <c r="AP497" t="s">
        <v>6379</v>
      </c>
      <c r="AQ497" t="s">
        <v>74</v>
      </c>
      <c r="AR497" t="s">
        <v>6380</v>
      </c>
      <c r="AS497" t="s">
        <v>6381</v>
      </c>
      <c r="AT497" t="s">
        <v>8778</v>
      </c>
      <c r="AU497">
        <v>2023</v>
      </c>
      <c r="AV497" t="s">
        <v>74</v>
      </c>
      <c r="AW497" t="s">
        <v>74</v>
      </c>
      <c r="AX497" t="s">
        <v>74</v>
      </c>
      <c r="AY497" t="s">
        <v>74</v>
      </c>
      <c r="AZ497" t="s">
        <v>74</v>
      </c>
      <c r="BA497" t="s">
        <v>74</v>
      </c>
      <c r="BB497" t="s">
        <v>74</v>
      </c>
      <c r="BC497" t="s">
        <v>74</v>
      </c>
      <c r="BD497" t="s">
        <v>74</v>
      </c>
      <c r="BE497" t="s">
        <v>8881</v>
      </c>
      <c r="BF497" t="str">
        <f>HYPERLINK("http://dx.doi.org/10.1080/14725886.2023.2252351","http://dx.doi.org/10.1080/14725886.2023.2252351")</f>
        <v>http://dx.doi.org/10.1080/14725886.2023.2252351</v>
      </c>
      <c r="BG497" t="s">
        <v>74</v>
      </c>
      <c r="BH497" t="s">
        <v>8608</v>
      </c>
      <c r="BI497">
        <v>2</v>
      </c>
      <c r="BJ497" t="s">
        <v>575</v>
      </c>
      <c r="BK497" t="s">
        <v>211</v>
      </c>
      <c r="BL497" t="s">
        <v>576</v>
      </c>
      <c r="BM497" t="s">
        <v>8882</v>
      </c>
      <c r="BN497" t="s">
        <v>74</v>
      </c>
      <c r="BO497" t="s">
        <v>74</v>
      </c>
      <c r="BP497" t="s">
        <v>74</v>
      </c>
      <c r="BQ497" t="s">
        <v>74</v>
      </c>
      <c r="BR497" t="s">
        <v>105</v>
      </c>
      <c r="BS497" t="s">
        <v>8883</v>
      </c>
      <c r="BT497" t="str">
        <f>HYPERLINK("https%3A%2F%2Fwww.webofscience.com%2Fwos%2Fwoscc%2Ffull-record%2FWOS:001060111000001","View Full Record in Web of Science")</f>
        <v>View Full Record in Web of Science</v>
      </c>
    </row>
    <row r="498" spans="1:72" x14ac:dyDescent="0.15">
      <c r="A498" t="s">
        <v>72</v>
      </c>
      <c r="B498" t="s">
        <v>8884</v>
      </c>
      <c r="C498" t="s">
        <v>74</v>
      </c>
      <c r="D498" t="s">
        <v>74</v>
      </c>
      <c r="E498" t="s">
        <v>74</v>
      </c>
      <c r="F498" t="s">
        <v>8885</v>
      </c>
      <c r="G498" t="s">
        <v>74</v>
      </c>
      <c r="H498" t="s">
        <v>74</v>
      </c>
      <c r="I498" t="s">
        <v>8886</v>
      </c>
      <c r="J498" t="s">
        <v>6837</v>
      </c>
      <c r="K498" t="s">
        <v>74</v>
      </c>
      <c r="L498" t="s">
        <v>74</v>
      </c>
      <c r="M498" t="s">
        <v>78</v>
      </c>
      <c r="N498" t="s">
        <v>79</v>
      </c>
      <c r="O498" t="s">
        <v>74</v>
      </c>
      <c r="P498" t="s">
        <v>74</v>
      </c>
      <c r="Q498" t="s">
        <v>74</v>
      </c>
      <c r="R498" t="s">
        <v>74</v>
      </c>
      <c r="S498" t="s">
        <v>74</v>
      </c>
      <c r="T498" t="s">
        <v>8887</v>
      </c>
      <c r="U498" t="s">
        <v>8888</v>
      </c>
      <c r="V498" t="s">
        <v>8889</v>
      </c>
      <c r="W498" t="s">
        <v>8890</v>
      </c>
      <c r="X498" t="s">
        <v>8891</v>
      </c>
      <c r="Y498" t="s">
        <v>8892</v>
      </c>
      <c r="Z498" t="s">
        <v>8893</v>
      </c>
      <c r="AA498" t="s">
        <v>74</v>
      </c>
      <c r="AB498" t="s">
        <v>74</v>
      </c>
      <c r="AC498" t="s">
        <v>8894</v>
      </c>
      <c r="AD498" t="s">
        <v>8895</v>
      </c>
      <c r="AE498" t="s">
        <v>8896</v>
      </c>
      <c r="AF498" t="s">
        <v>74</v>
      </c>
      <c r="AG498">
        <v>34</v>
      </c>
      <c r="AH498">
        <v>0</v>
      </c>
      <c r="AI498">
        <v>0</v>
      </c>
      <c r="AJ498">
        <v>3</v>
      </c>
      <c r="AK498">
        <v>3</v>
      </c>
      <c r="AL498" t="s">
        <v>92</v>
      </c>
      <c r="AM498" t="s">
        <v>93</v>
      </c>
      <c r="AN498" t="s">
        <v>94</v>
      </c>
      <c r="AO498" t="s">
        <v>6847</v>
      </c>
      <c r="AP498" t="s">
        <v>6848</v>
      </c>
      <c r="AQ498" t="s">
        <v>74</v>
      </c>
      <c r="AR498" t="s">
        <v>6849</v>
      </c>
      <c r="AS498" t="s">
        <v>6850</v>
      </c>
      <c r="AT498" t="s">
        <v>8897</v>
      </c>
      <c r="AU498">
        <v>2023</v>
      </c>
      <c r="AV498" t="s">
        <v>74</v>
      </c>
      <c r="AW498" t="s">
        <v>74</v>
      </c>
      <c r="AX498" t="s">
        <v>74</v>
      </c>
      <c r="AY498" t="s">
        <v>74</v>
      </c>
      <c r="AZ498" t="s">
        <v>74</v>
      </c>
      <c r="BA498" t="s">
        <v>74</v>
      </c>
      <c r="BB498" t="s">
        <v>74</v>
      </c>
      <c r="BC498" t="s">
        <v>74</v>
      </c>
      <c r="BD498">
        <v>2252563</v>
      </c>
      <c r="BE498" t="s">
        <v>8898</v>
      </c>
      <c r="BF498" t="str">
        <f>HYPERLINK("http://dx.doi.org/10.1080/10589759.2023.2252563","http://dx.doi.org/10.1080/10589759.2023.2252563")</f>
        <v>http://dx.doi.org/10.1080/10589759.2023.2252563</v>
      </c>
      <c r="BG498" t="s">
        <v>74</v>
      </c>
      <c r="BH498" t="s">
        <v>74</v>
      </c>
      <c r="BI498">
        <v>16</v>
      </c>
      <c r="BJ498" t="s">
        <v>6852</v>
      </c>
      <c r="BK498" t="s">
        <v>102</v>
      </c>
      <c r="BL498" t="s">
        <v>1594</v>
      </c>
      <c r="BM498" t="s">
        <v>8899</v>
      </c>
      <c r="BN498" t="s">
        <v>74</v>
      </c>
      <c r="BO498" t="s">
        <v>74</v>
      </c>
      <c r="BP498" t="s">
        <v>74</v>
      </c>
      <c r="BQ498" t="s">
        <v>74</v>
      </c>
      <c r="BR498" t="s">
        <v>105</v>
      </c>
      <c r="BS498" t="s">
        <v>8900</v>
      </c>
      <c r="BT498" t="str">
        <f>HYPERLINK("https%3A%2F%2Fwww.webofscience.com%2Fwos%2Fwoscc%2Ffull-record%2FWOS:001057800400001","View Full Record in Web of Science")</f>
        <v>View Full Record in Web of Science</v>
      </c>
    </row>
    <row r="499" spans="1:72" x14ac:dyDescent="0.15">
      <c r="A499" t="s">
        <v>72</v>
      </c>
      <c r="B499" t="s">
        <v>8901</v>
      </c>
      <c r="C499" t="s">
        <v>74</v>
      </c>
      <c r="D499" t="s">
        <v>74</v>
      </c>
      <c r="E499" t="s">
        <v>74</v>
      </c>
      <c r="F499" t="s">
        <v>8902</v>
      </c>
      <c r="G499" t="s">
        <v>74</v>
      </c>
      <c r="H499" t="s">
        <v>74</v>
      </c>
      <c r="I499" t="s">
        <v>8903</v>
      </c>
      <c r="J499" t="s">
        <v>8904</v>
      </c>
      <c r="K499" t="s">
        <v>74</v>
      </c>
      <c r="L499" t="s">
        <v>74</v>
      </c>
      <c r="M499" t="s">
        <v>78</v>
      </c>
      <c r="N499" t="s">
        <v>5492</v>
      </c>
      <c r="O499" t="s">
        <v>74</v>
      </c>
      <c r="P499" t="s">
        <v>74</v>
      </c>
      <c r="Q499" t="s">
        <v>74</v>
      </c>
      <c r="R499" t="s">
        <v>74</v>
      </c>
      <c r="S499" t="s">
        <v>74</v>
      </c>
      <c r="T499" t="s">
        <v>8905</v>
      </c>
      <c r="U499" t="s">
        <v>8906</v>
      </c>
      <c r="V499" t="s">
        <v>8907</v>
      </c>
      <c r="W499" t="s">
        <v>8908</v>
      </c>
      <c r="X499" t="s">
        <v>8909</v>
      </c>
      <c r="Y499" t="s">
        <v>8910</v>
      </c>
      <c r="Z499" t="s">
        <v>8911</v>
      </c>
      <c r="AA499" t="s">
        <v>74</v>
      </c>
      <c r="AB499" t="s">
        <v>8912</v>
      </c>
      <c r="AC499" t="s">
        <v>8913</v>
      </c>
      <c r="AD499" t="s">
        <v>8914</v>
      </c>
      <c r="AE499" t="s">
        <v>8915</v>
      </c>
      <c r="AF499" t="s">
        <v>74</v>
      </c>
      <c r="AG499">
        <v>34</v>
      </c>
      <c r="AH499">
        <v>0</v>
      </c>
      <c r="AI499">
        <v>0</v>
      </c>
      <c r="AJ499">
        <v>1</v>
      </c>
      <c r="AK499">
        <v>1</v>
      </c>
      <c r="AL499" t="s">
        <v>1188</v>
      </c>
      <c r="AM499" t="s">
        <v>93</v>
      </c>
      <c r="AN499" t="s">
        <v>1189</v>
      </c>
      <c r="AO499" t="s">
        <v>8916</v>
      </c>
      <c r="AP499" t="s">
        <v>8917</v>
      </c>
      <c r="AQ499" t="s">
        <v>74</v>
      </c>
      <c r="AR499" t="s">
        <v>8918</v>
      </c>
      <c r="AS499" t="s">
        <v>8919</v>
      </c>
      <c r="AT499" t="s">
        <v>8778</v>
      </c>
      <c r="AU499">
        <v>2023</v>
      </c>
      <c r="AV499" t="s">
        <v>74</v>
      </c>
      <c r="AW499" t="s">
        <v>74</v>
      </c>
      <c r="AX499" t="s">
        <v>74</v>
      </c>
      <c r="AY499" t="s">
        <v>74</v>
      </c>
      <c r="AZ499" t="s">
        <v>74</v>
      </c>
      <c r="BA499" t="s">
        <v>74</v>
      </c>
      <c r="BB499" t="s">
        <v>74</v>
      </c>
      <c r="BC499" t="s">
        <v>74</v>
      </c>
      <c r="BD499" t="s">
        <v>74</v>
      </c>
      <c r="BE499" t="s">
        <v>8920</v>
      </c>
      <c r="BF499" t="str">
        <f>HYPERLINK("http://dx.doi.org/10.1080/19434472.2023.2245011","http://dx.doi.org/10.1080/19434472.2023.2245011")</f>
        <v>http://dx.doi.org/10.1080/19434472.2023.2245011</v>
      </c>
      <c r="BG499" t="s">
        <v>74</v>
      </c>
      <c r="BH499" t="s">
        <v>8608</v>
      </c>
      <c r="BI499">
        <v>19</v>
      </c>
      <c r="BJ499" t="s">
        <v>6893</v>
      </c>
      <c r="BK499" t="s">
        <v>211</v>
      </c>
      <c r="BL499" t="s">
        <v>6894</v>
      </c>
      <c r="BM499" t="s">
        <v>8921</v>
      </c>
      <c r="BN499" t="s">
        <v>74</v>
      </c>
      <c r="BO499" t="s">
        <v>74</v>
      </c>
      <c r="BP499" t="s">
        <v>74</v>
      </c>
      <c r="BQ499" t="s">
        <v>74</v>
      </c>
      <c r="BR499" t="s">
        <v>105</v>
      </c>
      <c r="BS499" t="s">
        <v>8922</v>
      </c>
      <c r="BT499" t="str">
        <f>HYPERLINK("https%3A%2F%2Fwww.webofscience.com%2Fwos%2Fwoscc%2Ffull-record%2FWOS:001061998200001","View Full Record in Web of Science")</f>
        <v>View Full Record in Web of Science</v>
      </c>
    </row>
    <row r="500" spans="1:72" x14ac:dyDescent="0.15">
      <c r="A500" t="s">
        <v>72</v>
      </c>
      <c r="B500" t="s">
        <v>8923</v>
      </c>
      <c r="C500" t="s">
        <v>74</v>
      </c>
      <c r="D500" t="s">
        <v>74</v>
      </c>
      <c r="E500" t="s">
        <v>74</v>
      </c>
      <c r="F500" t="s">
        <v>8924</v>
      </c>
      <c r="G500" t="s">
        <v>74</v>
      </c>
      <c r="H500" t="s">
        <v>74</v>
      </c>
      <c r="I500" t="s">
        <v>8925</v>
      </c>
      <c r="J500" t="s">
        <v>7195</v>
      </c>
      <c r="K500" t="s">
        <v>74</v>
      </c>
      <c r="L500" t="s">
        <v>74</v>
      </c>
      <c r="M500" t="s">
        <v>78</v>
      </c>
      <c r="N500" t="s">
        <v>171</v>
      </c>
      <c r="O500" t="s">
        <v>74</v>
      </c>
      <c r="P500" t="s">
        <v>74</v>
      </c>
      <c r="Q500" t="s">
        <v>74</v>
      </c>
      <c r="R500" t="s">
        <v>74</v>
      </c>
      <c r="S500" t="s">
        <v>74</v>
      </c>
      <c r="T500" t="s">
        <v>8926</v>
      </c>
      <c r="U500" t="s">
        <v>8927</v>
      </c>
      <c r="V500" t="s">
        <v>8928</v>
      </c>
      <c r="W500" t="s">
        <v>8929</v>
      </c>
      <c r="X500" t="s">
        <v>8930</v>
      </c>
      <c r="Y500" t="s">
        <v>8931</v>
      </c>
      <c r="Z500" t="s">
        <v>8932</v>
      </c>
      <c r="AA500" t="s">
        <v>74</v>
      </c>
      <c r="AB500" t="s">
        <v>74</v>
      </c>
      <c r="AC500" t="s">
        <v>74</v>
      </c>
      <c r="AD500" t="s">
        <v>74</v>
      </c>
      <c r="AE500" t="s">
        <v>74</v>
      </c>
      <c r="AF500" t="s">
        <v>74</v>
      </c>
      <c r="AG500">
        <v>114</v>
      </c>
      <c r="AH500">
        <v>0</v>
      </c>
      <c r="AI500">
        <v>0</v>
      </c>
      <c r="AJ500">
        <v>2</v>
      </c>
      <c r="AK500">
        <v>2</v>
      </c>
      <c r="AL500" t="s">
        <v>92</v>
      </c>
      <c r="AM500" t="s">
        <v>93</v>
      </c>
      <c r="AN500" t="s">
        <v>94</v>
      </c>
      <c r="AO500" t="s">
        <v>7203</v>
      </c>
      <c r="AP500" t="s">
        <v>7204</v>
      </c>
      <c r="AQ500" t="s">
        <v>74</v>
      </c>
      <c r="AR500" t="s">
        <v>7205</v>
      </c>
      <c r="AS500" t="s">
        <v>7206</v>
      </c>
      <c r="AT500" t="s">
        <v>7207</v>
      </c>
      <c r="AU500">
        <v>2023</v>
      </c>
      <c r="AV500">
        <v>19</v>
      </c>
      <c r="AW500">
        <v>8</v>
      </c>
      <c r="AX500" t="s">
        <v>74</v>
      </c>
      <c r="AY500" t="s">
        <v>74</v>
      </c>
      <c r="AZ500" t="s">
        <v>74</v>
      </c>
      <c r="BA500" t="s">
        <v>74</v>
      </c>
      <c r="BB500">
        <v>543</v>
      </c>
      <c r="BC500">
        <v>553</v>
      </c>
      <c r="BD500" t="s">
        <v>74</v>
      </c>
      <c r="BE500" t="s">
        <v>8933</v>
      </c>
      <c r="BF500" t="str">
        <f>HYPERLINK("http://dx.doi.org/10.1080/17425255.2023.2252333","http://dx.doi.org/10.1080/17425255.2023.2252333")</f>
        <v>http://dx.doi.org/10.1080/17425255.2023.2252333</v>
      </c>
      <c r="BG500" t="s">
        <v>74</v>
      </c>
      <c r="BH500" t="s">
        <v>8608</v>
      </c>
      <c r="BI500">
        <v>11</v>
      </c>
      <c r="BJ500" t="s">
        <v>7209</v>
      </c>
      <c r="BK500" t="s">
        <v>102</v>
      </c>
      <c r="BL500" t="s">
        <v>7209</v>
      </c>
      <c r="BM500" t="s">
        <v>7210</v>
      </c>
      <c r="BN500">
        <v>37620287</v>
      </c>
      <c r="BO500" t="s">
        <v>74</v>
      </c>
      <c r="BP500" t="s">
        <v>74</v>
      </c>
      <c r="BQ500" t="s">
        <v>74</v>
      </c>
      <c r="BR500" t="s">
        <v>105</v>
      </c>
      <c r="BS500" t="s">
        <v>8934</v>
      </c>
      <c r="BT500" t="str">
        <f>HYPERLINK("https%3A%2F%2Fwww.webofscience.com%2Fwos%2Fwoscc%2Ffull-record%2FWOS:001060479700001","View Full Record in Web of Science")</f>
        <v>View Full Record in Web of Science</v>
      </c>
    </row>
    <row r="501" spans="1:72" x14ac:dyDescent="0.15">
      <c r="A501" t="s">
        <v>72</v>
      </c>
      <c r="B501" t="s">
        <v>8935</v>
      </c>
      <c r="C501" t="s">
        <v>74</v>
      </c>
      <c r="D501" t="s">
        <v>74</v>
      </c>
      <c r="E501" t="s">
        <v>74</v>
      </c>
      <c r="F501" t="s">
        <v>8936</v>
      </c>
      <c r="G501" t="s">
        <v>74</v>
      </c>
      <c r="H501" t="s">
        <v>74</v>
      </c>
      <c r="I501" t="s">
        <v>8937</v>
      </c>
      <c r="J501" t="s">
        <v>8938</v>
      </c>
      <c r="K501" t="s">
        <v>74</v>
      </c>
      <c r="L501" t="s">
        <v>74</v>
      </c>
      <c r="M501" t="s">
        <v>78</v>
      </c>
      <c r="N501" t="s">
        <v>5492</v>
      </c>
      <c r="O501" t="s">
        <v>74</v>
      </c>
      <c r="P501" t="s">
        <v>74</v>
      </c>
      <c r="Q501" t="s">
        <v>74</v>
      </c>
      <c r="R501" t="s">
        <v>74</v>
      </c>
      <c r="S501" t="s">
        <v>74</v>
      </c>
      <c r="T501" t="s">
        <v>8939</v>
      </c>
      <c r="U501" t="s">
        <v>74</v>
      </c>
      <c r="V501" t="s">
        <v>8940</v>
      </c>
      <c r="W501" t="s">
        <v>8941</v>
      </c>
      <c r="X501" t="s">
        <v>8942</v>
      </c>
      <c r="Y501" t="s">
        <v>8943</v>
      </c>
      <c r="Z501" t="s">
        <v>8944</v>
      </c>
      <c r="AA501" t="s">
        <v>74</v>
      </c>
      <c r="AB501" t="s">
        <v>74</v>
      </c>
      <c r="AC501" t="s">
        <v>8945</v>
      </c>
      <c r="AD501" t="s">
        <v>8945</v>
      </c>
      <c r="AE501" t="s">
        <v>8945</v>
      </c>
      <c r="AF501" t="s">
        <v>74</v>
      </c>
      <c r="AG501">
        <v>74</v>
      </c>
      <c r="AH501">
        <v>0</v>
      </c>
      <c r="AI501">
        <v>0</v>
      </c>
      <c r="AJ501">
        <v>0</v>
      </c>
      <c r="AK501">
        <v>0</v>
      </c>
      <c r="AL501" t="s">
        <v>1188</v>
      </c>
      <c r="AM501" t="s">
        <v>93</v>
      </c>
      <c r="AN501" t="s">
        <v>1189</v>
      </c>
      <c r="AO501" t="s">
        <v>8946</v>
      </c>
      <c r="AP501" t="s">
        <v>8947</v>
      </c>
      <c r="AQ501" t="s">
        <v>74</v>
      </c>
      <c r="AR501" t="s">
        <v>8948</v>
      </c>
      <c r="AS501" t="s">
        <v>8949</v>
      </c>
      <c r="AT501" t="s">
        <v>8778</v>
      </c>
      <c r="AU501">
        <v>2023</v>
      </c>
      <c r="AV501" t="s">
        <v>74</v>
      </c>
      <c r="AW501" t="s">
        <v>74</v>
      </c>
      <c r="AX501" t="s">
        <v>74</v>
      </c>
      <c r="AY501" t="s">
        <v>74</v>
      </c>
      <c r="AZ501" t="s">
        <v>74</v>
      </c>
      <c r="BA501" t="s">
        <v>74</v>
      </c>
      <c r="BB501" t="s">
        <v>74</v>
      </c>
      <c r="BC501" t="s">
        <v>74</v>
      </c>
      <c r="BD501" t="s">
        <v>74</v>
      </c>
      <c r="BE501" t="s">
        <v>8950</v>
      </c>
      <c r="BF501" t="str">
        <f>HYPERLINK("http://dx.doi.org/10.1080/07075332.2023.2254309","http://dx.doi.org/10.1080/07075332.2023.2254309")</f>
        <v>http://dx.doi.org/10.1080/07075332.2023.2254309</v>
      </c>
      <c r="BG501" t="s">
        <v>74</v>
      </c>
      <c r="BH501" t="s">
        <v>8608</v>
      </c>
      <c r="BI501">
        <v>18</v>
      </c>
      <c r="BJ501" t="s">
        <v>6263</v>
      </c>
      <c r="BK501" t="s">
        <v>6264</v>
      </c>
      <c r="BL501" t="s">
        <v>6263</v>
      </c>
      <c r="BM501" t="s">
        <v>8951</v>
      </c>
      <c r="BN501" t="s">
        <v>74</v>
      </c>
      <c r="BO501" t="s">
        <v>74</v>
      </c>
      <c r="BP501" t="s">
        <v>74</v>
      </c>
      <c r="BQ501" t="s">
        <v>74</v>
      </c>
      <c r="BR501" t="s">
        <v>105</v>
      </c>
      <c r="BS501" t="s">
        <v>8952</v>
      </c>
      <c r="BT501" t="str">
        <f>HYPERLINK("https%3A%2F%2Fwww.webofscience.com%2Fwos%2Fwoscc%2Ffull-record%2FWOS:001063980800001","View Full Record in Web of Science")</f>
        <v>View Full Record in Web of Science</v>
      </c>
    </row>
    <row r="502" spans="1:72" x14ac:dyDescent="0.15">
      <c r="A502" t="s">
        <v>72</v>
      </c>
      <c r="B502" t="s">
        <v>8953</v>
      </c>
      <c r="C502" t="s">
        <v>74</v>
      </c>
      <c r="D502" t="s">
        <v>74</v>
      </c>
      <c r="E502" t="s">
        <v>74</v>
      </c>
      <c r="F502" t="s">
        <v>8954</v>
      </c>
      <c r="G502" t="s">
        <v>74</v>
      </c>
      <c r="H502" t="s">
        <v>74</v>
      </c>
      <c r="I502" t="s">
        <v>8955</v>
      </c>
      <c r="J502" t="s">
        <v>8956</v>
      </c>
      <c r="K502" t="s">
        <v>74</v>
      </c>
      <c r="L502" t="s">
        <v>74</v>
      </c>
      <c r="M502" t="s">
        <v>78</v>
      </c>
      <c r="N502" t="s">
        <v>79</v>
      </c>
      <c r="O502" t="s">
        <v>74</v>
      </c>
      <c r="P502" t="s">
        <v>74</v>
      </c>
      <c r="Q502" t="s">
        <v>74</v>
      </c>
      <c r="R502" t="s">
        <v>74</v>
      </c>
      <c r="S502" t="s">
        <v>74</v>
      </c>
      <c r="T502" t="s">
        <v>8957</v>
      </c>
      <c r="U502" t="s">
        <v>8958</v>
      </c>
      <c r="V502" t="s">
        <v>8959</v>
      </c>
      <c r="W502" t="s">
        <v>8960</v>
      </c>
      <c r="X502" t="s">
        <v>8961</v>
      </c>
      <c r="Y502" t="s">
        <v>8962</v>
      </c>
      <c r="Z502" t="s">
        <v>8963</v>
      </c>
      <c r="AA502" t="s">
        <v>74</v>
      </c>
      <c r="AB502" t="s">
        <v>74</v>
      </c>
      <c r="AC502" t="s">
        <v>8964</v>
      </c>
      <c r="AD502" t="s">
        <v>8964</v>
      </c>
      <c r="AE502" t="s">
        <v>8965</v>
      </c>
      <c r="AF502" t="s">
        <v>74</v>
      </c>
      <c r="AG502">
        <v>33</v>
      </c>
      <c r="AH502">
        <v>0</v>
      </c>
      <c r="AI502">
        <v>0</v>
      </c>
      <c r="AJ502">
        <v>0</v>
      </c>
      <c r="AK502">
        <v>0</v>
      </c>
      <c r="AL502" t="s">
        <v>92</v>
      </c>
      <c r="AM502" t="s">
        <v>93</v>
      </c>
      <c r="AN502" t="s">
        <v>94</v>
      </c>
      <c r="AO502" t="s">
        <v>8966</v>
      </c>
      <c r="AP502" t="s">
        <v>8967</v>
      </c>
      <c r="AQ502" t="s">
        <v>74</v>
      </c>
      <c r="AR502" t="s">
        <v>8968</v>
      </c>
      <c r="AS502" t="s">
        <v>8969</v>
      </c>
      <c r="AT502" t="s">
        <v>8970</v>
      </c>
      <c r="AU502">
        <v>2023</v>
      </c>
      <c r="AV502" t="s">
        <v>74</v>
      </c>
      <c r="AW502" t="s">
        <v>74</v>
      </c>
      <c r="AX502" t="s">
        <v>74</v>
      </c>
      <c r="AY502" t="s">
        <v>74</v>
      </c>
      <c r="AZ502" t="s">
        <v>74</v>
      </c>
      <c r="BA502" t="s">
        <v>74</v>
      </c>
      <c r="BB502" t="s">
        <v>74</v>
      </c>
      <c r="BC502" t="s">
        <v>74</v>
      </c>
      <c r="BD502" t="s">
        <v>8971</v>
      </c>
      <c r="BE502" t="s">
        <v>8972</v>
      </c>
      <c r="BF502" t="str">
        <f>HYPERLINK("http://dx.doi.org/10.1080/00268976.2023.2251611","http://dx.doi.org/10.1080/00268976.2023.2251611")</f>
        <v>http://dx.doi.org/10.1080/00268976.2023.2251611</v>
      </c>
      <c r="BG502" t="s">
        <v>74</v>
      </c>
      <c r="BH502" t="s">
        <v>74</v>
      </c>
      <c r="BI502">
        <v>6</v>
      </c>
      <c r="BJ502" t="s">
        <v>8973</v>
      </c>
      <c r="BK502" t="s">
        <v>102</v>
      </c>
      <c r="BL502" t="s">
        <v>8974</v>
      </c>
      <c r="BM502" t="s">
        <v>8975</v>
      </c>
      <c r="BN502" t="s">
        <v>74</v>
      </c>
      <c r="BO502" t="s">
        <v>74</v>
      </c>
      <c r="BP502" t="s">
        <v>74</v>
      </c>
      <c r="BQ502" t="s">
        <v>74</v>
      </c>
      <c r="BR502" t="s">
        <v>105</v>
      </c>
      <c r="BS502" t="s">
        <v>8976</v>
      </c>
      <c r="BT502" t="str">
        <f>HYPERLINK("https%3A%2F%2Fwww.webofscience.com%2Fwos%2Fwoscc%2Ffull-record%2FWOS:001058363300001","View Full Record in Web of Science")</f>
        <v>View Full Record in Web of Science</v>
      </c>
    </row>
    <row r="503" spans="1:72" x14ac:dyDescent="0.15">
      <c r="A503" t="s">
        <v>72</v>
      </c>
      <c r="B503" t="s">
        <v>8977</v>
      </c>
      <c r="C503" t="s">
        <v>74</v>
      </c>
      <c r="D503" t="s">
        <v>74</v>
      </c>
      <c r="E503" t="s">
        <v>74</v>
      </c>
      <c r="F503" t="s">
        <v>8978</v>
      </c>
      <c r="G503" t="s">
        <v>74</v>
      </c>
      <c r="H503" t="s">
        <v>74</v>
      </c>
      <c r="I503" t="s">
        <v>8979</v>
      </c>
      <c r="J503" t="s">
        <v>6564</v>
      </c>
      <c r="K503" t="s">
        <v>74</v>
      </c>
      <c r="L503" t="s">
        <v>74</v>
      </c>
      <c r="M503" t="s">
        <v>78</v>
      </c>
      <c r="N503" t="s">
        <v>5492</v>
      </c>
      <c r="O503" t="s">
        <v>74</v>
      </c>
      <c r="P503" t="s">
        <v>74</v>
      </c>
      <c r="Q503" t="s">
        <v>74</v>
      </c>
      <c r="R503" t="s">
        <v>74</v>
      </c>
      <c r="S503" t="s">
        <v>74</v>
      </c>
      <c r="T503" t="s">
        <v>8980</v>
      </c>
      <c r="U503" t="s">
        <v>8981</v>
      </c>
      <c r="V503" t="s">
        <v>8982</v>
      </c>
      <c r="W503" t="s">
        <v>8983</v>
      </c>
      <c r="X503" t="s">
        <v>8984</v>
      </c>
      <c r="Y503" t="s">
        <v>8985</v>
      </c>
      <c r="Z503" t="s">
        <v>8986</v>
      </c>
      <c r="AA503" t="s">
        <v>74</v>
      </c>
      <c r="AB503" t="s">
        <v>74</v>
      </c>
      <c r="AC503" t="s">
        <v>74</v>
      </c>
      <c r="AD503" t="s">
        <v>74</v>
      </c>
      <c r="AE503" t="s">
        <v>74</v>
      </c>
      <c r="AF503" t="s">
        <v>74</v>
      </c>
      <c r="AG503">
        <v>57</v>
      </c>
      <c r="AH503">
        <v>0</v>
      </c>
      <c r="AI503">
        <v>0</v>
      </c>
      <c r="AJ503">
        <v>5</v>
      </c>
      <c r="AK503">
        <v>5</v>
      </c>
      <c r="AL503" t="s">
        <v>92</v>
      </c>
      <c r="AM503" t="s">
        <v>93</v>
      </c>
      <c r="AN503" t="s">
        <v>94</v>
      </c>
      <c r="AO503" t="s">
        <v>6575</v>
      </c>
      <c r="AP503" t="s">
        <v>6576</v>
      </c>
      <c r="AQ503" t="s">
        <v>74</v>
      </c>
      <c r="AR503" t="s">
        <v>6577</v>
      </c>
      <c r="AS503" t="s">
        <v>6578</v>
      </c>
      <c r="AT503" t="s">
        <v>8987</v>
      </c>
      <c r="AU503">
        <v>2023</v>
      </c>
      <c r="AV503" t="s">
        <v>74</v>
      </c>
      <c r="AW503" t="s">
        <v>74</v>
      </c>
      <c r="AX503" t="s">
        <v>74</v>
      </c>
      <c r="AY503" t="s">
        <v>74</v>
      </c>
      <c r="AZ503" t="s">
        <v>74</v>
      </c>
      <c r="BA503" t="s">
        <v>74</v>
      </c>
      <c r="BB503" t="s">
        <v>74</v>
      </c>
      <c r="BC503" t="s">
        <v>74</v>
      </c>
      <c r="BD503" t="s">
        <v>74</v>
      </c>
      <c r="BE503" t="s">
        <v>8988</v>
      </c>
      <c r="BF503" t="str">
        <f>HYPERLINK("http://dx.doi.org/10.1080/14786419.2023.2253974","http://dx.doi.org/10.1080/14786419.2023.2253974")</f>
        <v>http://dx.doi.org/10.1080/14786419.2023.2253974</v>
      </c>
      <c r="BG503" t="s">
        <v>74</v>
      </c>
      <c r="BH503" t="s">
        <v>8608</v>
      </c>
      <c r="BI503">
        <v>7</v>
      </c>
      <c r="BJ503" t="s">
        <v>6580</v>
      </c>
      <c r="BK503" t="s">
        <v>102</v>
      </c>
      <c r="BL503" t="s">
        <v>6581</v>
      </c>
      <c r="BM503" t="s">
        <v>8989</v>
      </c>
      <c r="BN503">
        <v>37671677</v>
      </c>
      <c r="BO503" t="s">
        <v>74</v>
      </c>
      <c r="BP503" t="s">
        <v>74</v>
      </c>
      <c r="BQ503" t="s">
        <v>74</v>
      </c>
      <c r="BR503" t="s">
        <v>105</v>
      </c>
      <c r="BS503" t="s">
        <v>8990</v>
      </c>
      <c r="BT503" t="str">
        <f>HYPERLINK("https%3A%2F%2Fwww.webofscience.com%2Fwos%2Fwoscc%2Ffull-record%2FWOS:001063082000001","View Full Record in Web of Science")</f>
        <v>View Full Record in Web of Science</v>
      </c>
    </row>
    <row r="504" spans="1:72" x14ac:dyDescent="0.15">
      <c r="A504" t="s">
        <v>72</v>
      </c>
      <c r="B504" t="s">
        <v>8991</v>
      </c>
      <c r="C504" t="s">
        <v>74</v>
      </c>
      <c r="D504" t="s">
        <v>74</v>
      </c>
      <c r="E504" t="s">
        <v>74</v>
      </c>
      <c r="F504" t="s">
        <v>8992</v>
      </c>
      <c r="G504" t="s">
        <v>74</v>
      </c>
      <c r="H504" t="s">
        <v>74</v>
      </c>
      <c r="I504" t="s">
        <v>8993</v>
      </c>
      <c r="J504" t="s">
        <v>6921</v>
      </c>
      <c r="K504" t="s">
        <v>74</v>
      </c>
      <c r="L504" t="s">
        <v>74</v>
      </c>
      <c r="M504" t="s">
        <v>78</v>
      </c>
      <c r="N504" t="s">
        <v>5492</v>
      </c>
      <c r="O504" t="s">
        <v>74</v>
      </c>
      <c r="P504" t="s">
        <v>74</v>
      </c>
      <c r="Q504" t="s">
        <v>74</v>
      </c>
      <c r="R504" t="s">
        <v>74</v>
      </c>
      <c r="S504" t="s">
        <v>74</v>
      </c>
      <c r="T504" t="s">
        <v>8994</v>
      </c>
      <c r="U504" t="s">
        <v>8995</v>
      </c>
      <c r="V504" t="s">
        <v>8996</v>
      </c>
      <c r="W504" t="s">
        <v>8997</v>
      </c>
      <c r="X504" t="s">
        <v>8998</v>
      </c>
      <c r="Y504" t="s">
        <v>8999</v>
      </c>
      <c r="Z504" t="s">
        <v>9000</v>
      </c>
      <c r="AA504" t="s">
        <v>9001</v>
      </c>
      <c r="AB504" t="s">
        <v>9002</v>
      </c>
      <c r="AC504" t="s">
        <v>9003</v>
      </c>
      <c r="AD504" t="s">
        <v>9003</v>
      </c>
      <c r="AE504" t="s">
        <v>9004</v>
      </c>
      <c r="AF504" t="s">
        <v>74</v>
      </c>
      <c r="AG504">
        <v>37</v>
      </c>
      <c r="AH504">
        <v>0</v>
      </c>
      <c r="AI504">
        <v>0</v>
      </c>
      <c r="AJ504">
        <v>0</v>
      </c>
      <c r="AK504">
        <v>0</v>
      </c>
      <c r="AL504" t="s">
        <v>92</v>
      </c>
      <c r="AM504" t="s">
        <v>93</v>
      </c>
      <c r="AN504" t="s">
        <v>94</v>
      </c>
      <c r="AO504" t="s">
        <v>6929</v>
      </c>
      <c r="AP504" t="s">
        <v>6930</v>
      </c>
      <c r="AQ504" t="s">
        <v>74</v>
      </c>
      <c r="AR504" t="s">
        <v>6931</v>
      </c>
      <c r="AS504" t="s">
        <v>6932</v>
      </c>
      <c r="AT504" t="s">
        <v>8987</v>
      </c>
      <c r="AU504">
        <v>2023</v>
      </c>
      <c r="AV504" t="s">
        <v>74</v>
      </c>
      <c r="AW504" t="s">
        <v>74</v>
      </c>
      <c r="AX504" t="s">
        <v>74</v>
      </c>
      <c r="AY504" t="s">
        <v>74</v>
      </c>
      <c r="AZ504" t="s">
        <v>74</v>
      </c>
      <c r="BA504" t="s">
        <v>74</v>
      </c>
      <c r="BB504" t="s">
        <v>74</v>
      </c>
      <c r="BC504" t="s">
        <v>74</v>
      </c>
      <c r="BD504" t="s">
        <v>74</v>
      </c>
      <c r="BE504" t="s">
        <v>9005</v>
      </c>
      <c r="BF504" t="str">
        <f>HYPERLINK("http://dx.doi.org/10.1080/0284186X.2023.2249225","http://dx.doi.org/10.1080/0284186X.2023.2249225")</f>
        <v>http://dx.doi.org/10.1080/0284186X.2023.2249225</v>
      </c>
      <c r="BG504" t="s">
        <v>74</v>
      </c>
      <c r="BH504" t="s">
        <v>8608</v>
      </c>
      <c r="BI504">
        <v>10</v>
      </c>
      <c r="BJ504" t="s">
        <v>1353</v>
      </c>
      <c r="BK504" t="s">
        <v>102</v>
      </c>
      <c r="BL504" t="s">
        <v>1353</v>
      </c>
      <c r="BM504" t="s">
        <v>9006</v>
      </c>
      <c r="BN504">
        <v>37646150</v>
      </c>
      <c r="BO504" t="s">
        <v>5486</v>
      </c>
      <c r="BP504" t="s">
        <v>74</v>
      </c>
      <c r="BQ504" t="s">
        <v>74</v>
      </c>
      <c r="BR504" t="s">
        <v>105</v>
      </c>
      <c r="BS504" t="s">
        <v>9007</v>
      </c>
      <c r="BT504" t="str">
        <f>HYPERLINK("https%3A%2F%2Fwww.webofscience.com%2Fwos%2Fwoscc%2Ffull-record%2FWOS:001061465800001","View Full Record in Web of Science")</f>
        <v>View Full Record in Web of Science</v>
      </c>
    </row>
    <row r="505" spans="1:72" x14ac:dyDescent="0.15">
      <c r="A505" t="s">
        <v>72</v>
      </c>
      <c r="B505" t="s">
        <v>9008</v>
      </c>
      <c r="C505" t="s">
        <v>74</v>
      </c>
      <c r="D505" t="s">
        <v>74</v>
      </c>
      <c r="E505" t="s">
        <v>74</v>
      </c>
      <c r="F505" t="s">
        <v>9009</v>
      </c>
      <c r="G505" t="s">
        <v>74</v>
      </c>
      <c r="H505" t="s">
        <v>74</v>
      </c>
      <c r="I505" t="s">
        <v>9010</v>
      </c>
      <c r="J505" t="s">
        <v>9011</v>
      </c>
      <c r="K505" t="s">
        <v>74</v>
      </c>
      <c r="L505" t="s">
        <v>74</v>
      </c>
      <c r="M505" t="s">
        <v>78</v>
      </c>
      <c r="N505" t="s">
        <v>5492</v>
      </c>
      <c r="O505" t="s">
        <v>74</v>
      </c>
      <c r="P505" t="s">
        <v>74</v>
      </c>
      <c r="Q505" t="s">
        <v>74</v>
      </c>
      <c r="R505" t="s">
        <v>74</v>
      </c>
      <c r="S505" t="s">
        <v>74</v>
      </c>
      <c r="T505" t="s">
        <v>9012</v>
      </c>
      <c r="U505" t="s">
        <v>9013</v>
      </c>
      <c r="V505" t="s">
        <v>9014</v>
      </c>
      <c r="W505" t="s">
        <v>9015</v>
      </c>
      <c r="X505" t="s">
        <v>9016</v>
      </c>
      <c r="Y505" t="s">
        <v>9017</v>
      </c>
      <c r="Z505" t="s">
        <v>9018</v>
      </c>
      <c r="AA505" t="s">
        <v>74</v>
      </c>
      <c r="AB505" t="s">
        <v>74</v>
      </c>
      <c r="AC505" t="s">
        <v>74</v>
      </c>
      <c r="AD505" t="s">
        <v>74</v>
      </c>
      <c r="AE505" t="s">
        <v>74</v>
      </c>
      <c r="AF505" t="s">
        <v>74</v>
      </c>
      <c r="AG505">
        <v>32</v>
      </c>
      <c r="AH505">
        <v>0</v>
      </c>
      <c r="AI505">
        <v>0</v>
      </c>
      <c r="AJ505">
        <v>0</v>
      </c>
      <c r="AK505">
        <v>0</v>
      </c>
      <c r="AL505" t="s">
        <v>92</v>
      </c>
      <c r="AM505" t="s">
        <v>93</v>
      </c>
      <c r="AN505" t="s">
        <v>94</v>
      </c>
      <c r="AO505" t="s">
        <v>9019</v>
      </c>
      <c r="AP505" t="s">
        <v>9020</v>
      </c>
      <c r="AQ505" t="s">
        <v>74</v>
      </c>
      <c r="AR505" t="s">
        <v>9011</v>
      </c>
      <c r="AS505" t="s">
        <v>9021</v>
      </c>
      <c r="AT505" t="s">
        <v>8987</v>
      </c>
      <c r="AU505">
        <v>2023</v>
      </c>
      <c r="AV505" t="s">
        <v>74</v>
      </c>
      <c r="AW505" t="s">
        <v>74</v>
      </c>
      <c r="AX505" t="s">
        <v>74</v>
      </c>
      <c r="AY505" t="s">
        <v>74</v>
      </c>
      <c r="AZ505" t="s">
        <v>74</v>
      </c>
      <c r="BA505" t="s">
        <v>74</v>
      </c>
      <c r="BB505" t="s">
        <v>74</v>
      </c>
      <c r="BC505" t="s">
        <v>74</v>
      </c>
      <c r="BD505" t="s">
        <v>74</v>
      </c>
      <c r="BE505" t="s">
        <v>9022</v>
      </c>
      <c r="BF505" t="str">
        <f>HYPERLINK("http://dx.doi.org/10.1080/17597269.2023.2250637","http://dx.doi.org/10.1080/17597269.2023.2250637")</f>
        <v>http://dx.doi.org/10.1080/17597269.2023.2250637</v>
      </c>
      <c r="BG505" t="s">
        <v>74</v>
      </c>
      <c r="BH505" t="s">
        <v>8608</v>
      </c>
      <c r="BI505">
        <v>11</v>
      </c>
      <c r="BJ505" t="s">
        <v>3976</v>
      </c>
      <c r="BK505" t="s">
        <v>102</v>
      </c>
      <c r="BL505" t="s">
        <v>3976</v>
      </c>
      <c r="BM505" t="s">
        <v>9023</v>
      </c>
      <c r="BN505" t="s">
        <v>74</v>
      </c>
      <c r="BO505" t="s">
        <v>74</v>
      </c>
      <c r="BP505" t="s">
        <v>74</v>
      </c>
      <c r="BQ505" t="s">
        <v>74</v>
      </c>
      <c r="BR505" t="s">
        <v>105</v>
      </c>
      <c r="BS505" t="s">
        <v>9024</v>
      </c>
      <c r="BT505" t="str">
        <f>HYPERLINK("https%3A%2F%2Fwww.webofscience.com%2Fwos%2Fwoscc%2Ffull-record%2FWOS:001061457300001","View Full Record in Web of Science")</f>
        <v>View Full Record in Web of Science</v>
      </c>
    </row>
    <row r="506" spans="1:72" x14ac:dyDescent="0.15">
      <c r="A506" t="s">
        <v>72</v>
      </c>
      <c r="B506" t="s">
        <v>9025</v>
      </c>
      <c r="C506" t="s">
        <v>74</v>
      </c>
      <c r="D506" t="s">
        <v>74</v>
      </c>
      <c r="E506" t="s">
        <v>74</v>
      </c>
      <c r="F506" t="s">
        <v>9026</v>
      </c>
      <c r="G506" t="s">
        <v>74</v>
      </c>
      <c r="H506" t="s">
        <v>74</v>
      </c>
      <c r="I506" t="s">
        <v>9027</v>
      </c>
      <c r="J506" t="s">
        <v>9028</v>
      </c>
      <c r="K506" t="s">
        <v>74</v>
      </c>
      <c r="L506" t="s">
        <v>74</v>
      </c>
      <c r="M506" t="s">
        <v>78</v>
      </c>
      <c r="N506" t="s">
        <v>171</v>
      </c>
      <c r="O506" t="s">
        <v>74</v>
      </c>
      <c r="P506" t="s">
        <v>74</v>
      </c>
      <c r="Q506" t="s">
        <v>74</v>
      </c>
      <c r="R506" t="s">
        <v>74</v>
      </c>
      <c r="S506" t="s">
        <v>74</v>
      </c>
      <c r="T506" t="s">
        <v>9029</v>
      </c>
      <c r="U506" t="s">
        <v>9030</v>
      </c>
      <c r="V506" t="s">
        <v>9031</v>
      </c>
      <c r="W506" t="s">
        <v>9032</v>
      </c>
      <c r="X506" t="s">
        <v>9033</v>
      </c>
      <c r="Y506" t="s">
        <v>9034</v>
      </c>
      <c r="Z506" t="s">
        <v>9035</v>
      </c>
      <c r="AA506" t="s">
        <v>74</v>
      </c>
      <c r="AB506" t="s">
        <v>74</v>
      </c>
      <c r="AC506" t="s">
        <v>9036</v>
      </c>
      <c r="AD506" t="s">
        <v>9037</v>
      </c>
      <c r="AE506" t="s">
        <v>9038</v>
      </c>
      <c r="AF506" t="s">
        <v>74</v>
      </c>
      <c r="AG506">
        <v>67</v>
      </c>
      <c r="AH506">
        <v>0</v>
      </c>
      <c r="AI506">
        <v>0</v>
      </c>
      <c r="AJ506">
        <v>3</v>
      </c>
      <c r="AK506">
        <v>3</v>
      </c>
      <c r="AL506" t="s">
        <v>92</v>
      </c>
      <c r="AM506" t="s">
        <v>93</v>
      </c>
      <c r="AN506" t="s">
        <v>94</v>
      </c>
      <c r="AO506" t="s">
        <v>9039</v>
      </c>
      <c r="AP506" t="s">
        <v>9040</v>
      </c>
      <c r="AQ506" t="s">
        <v>74</v>
      </c>
      <c r="AR506" t="s">
        <v>9041</v>
      </c>
      <c r="AS506" t="s">
        <v>9042</v>
      </c>
      <c r="AT506" t="s">
        <v>9043</v>
      </c>
      <c r="AU506">
        <v>2023</v>
      </c>
      <c r="AV506" t="s">
        <v>74</v>
      </c>
      <c r="AW506" t="s">
        <v>74</v>
      </c>
      <c r="AX506" t="s">
        <v>74</v>
      </c>
      <c r="AY506" t="s">
        <v>74</v>
      </c>
      <c r="AZ506" t="s">
        <v>74</v>
      </c>
      <c r="BA506" t="s">
        <v>74</v>
      </c>
      <c r="BB506" t="s">
        <v>74</v>
      </c>
      <c r="BC506" t="s">
        <v>74</v>
      </c>
      <c r="BD506">
        <v>2248886</v>
      </c>
      <c r="BE506" t="s">
        <v>9044</v>
      </c>
      <c r="BF506" t="str">
        <f>HYPERLINK("http://dx.doi.org/10.1080/09638288.2023.2248886","http://dx.doi.org/10.1080/09638288.2023.2248886")</f>
        <v>http://dx.doi.org/10.1080/09638288.2023.2248886</v>
      </c>
      <c r="BG506" t="s">
        <v>74</v>
      </c>
      <c r="BH506" t="s">
        <v>74</v>
      </c>
      <c r="BI506">
        <v>23</v>
      </c>
      <c r="BJ506" t="s">
        <v>7824</v>
      </c>
      <c r="BK506" t="s">
        <v>123</v>
      </c>
      <c r="BL506" t="s">
        <v>7824</v>
      </c>
      <c r="BM506" t="s">
        <v>9045</v>
      </c>
      <c r="BN506">
        <v>37639546</v>
      </c>
      <c r="BO506" t="s">
        <v>74</v>
      </c>
      <c r="BP506" t="s">
        <v>74</v>
      </c>
      <c r="BQ506" t="s">
        <v>74</v>
      </c>
      <c r="BR506" t="s">
        <v>105</v>
      </c>
      <c r="BS506" t="s">
        <v>9046</v>
      </c>
      <c r="BT506" t="str">
        <f>HYPERLINK("https%3A%2F%2Fwww.webofscience.com%2Fwos%2Fwoscc%2Ffull-record%2FWOS:001057476000001","View Full Record in Web of Science")</f>
        <v>View Full Record in Web of Science</v>
      </c>
    </row>
    <row r="507" spans="1:72" x14ac:dyDescent="0.15">
      <c r="A507" t="s">
        <v>72</v>
      </c>
      <c r="B507" t="s">
        <v>9047</v>
      </c>
      <c r="C507" t="s">
        <v>74</v>
      </c>
      <c r="D507" t="s">
        <v>74</v>
      </c>
      <c r="E507" t="s">
        <v>74</v>
      </c>
      <c r="F507" t="s">
        <v>9048</v>
      </c>
      <c r="G507" t="s">
        <v>74</v>
      </c>
      <c r="H507" t="s">
        <v>74</v>
      </c>
      <c r="I507" t="s">
        <v>9049</v>
      </c>
      <c r="J507" t="s">
        <v>9050</v>
      </c>
      <c r="K507" t="s">
        <v>74</v>
      </c>
      <c r="L507" t="s">
        <v>74</v>
      </c>
      <c r="M507" t="s">
        <v>78</v>
      </c>
      <c r="N507" t="s">
        <v>5492</v>
      </c>
      <c r="O507" t="s">
        <v>74</v>
      </c>
      <c r="P507" t="s">
        <v>74</v>
      </c>
      <c r="Q507" t="s">
        <v>74</v>
      </c>
      <c r="R507" t="s">
        <v>74</v>
      </c>
      <c r="S507" t="s">
        <v>74</v>
      </c>
      <c r="T507" t="s">
        <v>9051</v>
      </c>
      <c r="U507" t="s">
        <v>74</v>
      </c>
      <c r="V507" t="s">
        <v>9052</v>
      </c>
      <c r="W507" t="s">
        <v>9053</v>
      </c>
      <c r="X507" t="s">
        <v>74</v>
      </c>
      <c r="Y507" t="s">
        <v>9054</v>
      </c>
      <c r="Z507" t="s">
        <v>9055</v>
      </c>
      <c r="AA507" t="s">
        <v>74</v>
      </c>
      <c r="AB507" t="s">
        <v>9056</v>
      </c>
      <c r="AC507" t="s">
        <v>74</v>
      </c>
      <c r="AD507" t="s">
        <v>74</v>
      </c>
      <c r="AE507" t="s">
        <v>74</v>
      </c>
      <c r="AF507" t="s">
        <v>74</v>
      </c>
      <c r="AG507">
        <v>21</v>
      </c>
      <c r="AH507">
        <v>0</v>
      </c>
      <c r="AI507">
        <v>0</v>
      </c>
      <c r="AJ507">
        <v>0</v>
      </c>
      <c r="AK507">
        <v>0</v>
      </c>
      <c r="AL507" t="s">
        <v>92</v>
      </c>
      <c r="AM507" t="s">
        <v>93</v>
      </c>
      <c r="AN507" t="s">
        <v>94</v>
      </c>
      <c r="AO507" t="s">
        <v>9057</v>
      </c>
      <c r="AP507" t="s">
        <v>9058</v>
      </c>
      <c r="AQ507" t="s">
        <v>74</v>
      </c>
      <c r="AR507" t="s">
        <v>9059</v>
      </c>
      <c r="AS507" t="s">
        <v>9060</v>
      </c>
      <c r="AT507" t="s">
        <v>9061</v>
      </c>
      <c r="AU507">
        <v>2023</v>
      </c>
      <c r="AV507" t="s">
        <v>74</v>
      </c>
      <c r="AW507" t="s">
        <v>74</v>
      </c>
      <c r="AX507" t="s">
        <v>74</v>
      </c>
      <c r="AY507" t="s">
        <v>74</v>
      </c>
      <c r="AZ507" t="s">
        <v>74</v>
      </c>
      <c r="BA507" t="s">
        <v>74</v>
      </c>
      <c r="BB507" t="s">
        <v>74</v>
      </c>
      <c r="BC507" t="s">
        <v>74</v>
      </c>
      <c r="BD507" t="s">
        <v>74</v>
      </c>
      <c r="BE507" t="s">
        <v>9062</v>
      </c>
      <c r="BF507" t="str">
        <f>HYPERLINK("http://dx.doi.org/10.1080/24701475.2023.2249363","http://dx.doi.org/10.1080/24701475.2023.2249363")</f>
        <v>http://dx.doi.org/10.1080/24701475.2023.2249363</v>
      </c>
      <c r="BG507" t="s">
        <v>74</v>
      </c>
      <c r="BH507" t="s">
        <v>8608</v>
      </c>
      <c r="BI507">
        <v>14</v>
      </c>
      <c r="BJ507" t="s">
        <v>7911</v>
      </c>
      <c r="BK507" t="s">
        <v>211</v>
      </c>
      <c r="BL507" t="s">
        <v>7911</v>
      </c>
      <c r="BM507" t="s">
        <v>9063</v>
      </c>
      <c r="BN507" t="s">
        <v>74</v>
      </c>
      <c r="BO507" t="s">
        <v>74</v>
      </c>
      <c r="BP507" t="s">
        <v>74</v>
      </c>
      <c r="BQ507" t="s">
        <v>74</v>
      </c>
      <c r="BR507" t="s">
        <v>105</v>
      </c>
      <c r="BS507" t="s">
        <v>9064</v>
      </c>
      <c r="BT507" t="str">
        <f>HYPERLINK("https%3A%2F%2Fwww.webofscience.com%2Fwos%2Fwoscc%2Ffull-record%2FWOS:001058191400001","View Full Record in Web of Science")</f>
        <v>View Full Record in Web of Science</v>
      </c>
    </row>
    <row r="508" spans="1:72" x14ac:dyDescent="0.15">
      <c r="A508" t="s">
        <v>72</v>
      </c>
      <c r="B508" t="s">
        <v>9065</v>
      </c>
      <c r="C508" t="s">
        <v>74</v>
      </c>
      <c r="D508" t="s">
        <v>74</v>
      </c>
      <c r="E508" t="s">
        <v>74</v>
      </c>
      <c r="F508" t="s">
        <v>9066</v>
      </c>
      <c r="G508" t="s">
        <v>74</v>
      </c>
      <c r="H508" t="s">
        <v>74</v>
      </c>
      <c r="I508" t="s">
        <v>9067</v>
      </c>
      <c r="J508" t="s">
        <v>9068</v>
      </c>
      <c r="K508" t="s">
        <v>74</v>
      </c>
      <c r="L508" t="s">
        <v>74</v>
      </c>
      <c r="M508" t="s">
        <v>78</v>
      </c>
      <c r="N508" t="s">
        <v>5492</v>
      </c>
      <c r="O508" t="s">
        <v>74</v>
      </c>
      <c r="P508" t="s">
        <v>74</v>
      </c>
      <c r="Q508" t="s">
        <v>74</v>
      </c>
      <c r="R508" t="s">
        <v>74</v>
      </c>
      <c r="S508" t="s">
        <v>74</v>
      </c>
      <c r="T508" t="s">
        <v>9069</v>
      </c>
      <c r="U508" t="s">
        <v>9070</v>
      </c>
      <c r="V508" t="s">
        <v>9071</v>
      </c>
      <c r="W508" t="s">
        <v>9072</v>
      </c>
      <c r="X508" t="s">
        <v>9073</v>
      </c>
      <c r="Y508" t="s">
        <v>9074</v>
      </c>
      <c r="Z508" t="s">
        <v>9075</v>
      </c>
      <c r="AA508" t="s">
        <v>74</v>
      </c>
      <c r="AB508" t="s">
        <v>74</v>
      </c>
      <c r="AC508" t="s">
        <v>74</v>
      </c>
      <c r="AD508" t="s">
        <v>74</v>
      </c>
      <c r="AE508" t="s">
        <v>74</v>
      </c>
      <c r="AF508" t="s">
        <v>74</v>
      </c>
      <c r="AG508">
        <v>36</v>
      </c>
      <c r="AH508">
        <v>0</v>
      </c>
      <c r="AI508">
        <v>0</v>
      </c>
      <c r="AJ508">
        <v>0</v>
      </c>
      <c r="AK508">
        <v>0</v>
      </c>
      <c r="AL508" t="s">
        <v>184</v>
      </c>
      <c r="AM508" t="s">
        <v>185</v>
      </c>
      <c r="AN508" t="s">
        <v>186</v>
      </c>
      <c r="AO508" t="s">
        <v>9076</v>
      </c>
      <c r="AP508" t="s">
        <v>9077</v>
      </c>
      <c r="AQ508" t="s">
        <v>74</v>
      </c>
      <c r="AR508" t="s">
        <v>9078</v>
      </c>
      <c r="AS508" t="s">
        <v>9079</v>
      </c>
      <c r="AT508" t="s">
        <v>9061</v>
      </c>
      <c r="AU508">
        <v>2023</v>
      </c>
      <c r="AV508" t="s">
        <v>74</v>
      </c>
      <c r="AW508" t="s">
        <v>74</v>
      </c>
      <c r="AX508" t="s">
        <v>74</v>
      </c>
      <c r="AY508" t="s">
        <v>74</v>
      </c>
      <c r="AZ508" t="s">
        <v>74</v>
      </c>
      <c r="BA508" t="s">
        <v>74</v>
      </c>
      <c r="BB508" t="s">
        <v>74</v>
      </c>
      <c r="BC508" t="s">
        <v>74</v>
      </c>
      <c r="BD508" t="s">
        <v>74</v>
      </c>
      <c r="BE508" t="s">
        <v>9080</v>
      </c>
      <c r="BF508" t="str">
        <f>HYPERLINK("http://dx.doi.org/10.1080/10407790.2023.2252601","http://dx.doi.org/10.1080/10407790.2023.2252601")</f>
        <v>http://dx.doi.org/10.1080/10407790.2023.2252601</v>
      </c>
      <c r="BG508" t="s">
        <v>74</v>
      </c>
      <c r="BH508" t="s">
        <v>8608</v>
      </c>
      <c r="BI508">
        <v>13</v>
      </c>
      <c r="BJ508" t="s">
        <v>9081</v>
      </c>
      <c r="BK508" t="s">
        <v>102</v>
      </c>
      <c r="BL508" t="s">
        <v>9081</v>
      </c>
      <c r="BM508" t="s">
        <v>9082</v>
      </c>
      <c r="BN508" t="s">
        <v>74</v>
      </c>
      <c r="BO508" t="s">
        <v>74</v>
      </c>
      <c r="BP508" t="s">
        <v>74</v>
      </c>
      <c r="BQ508" t="s">
        <v>74</v>
      </c>
      <c r="BR508" t="s">
        <v>105</v>
      </c>
      <c r="BS508" t="s">
        <v>9083</v>
      </c>
      <c r="BT508" t="str">
        <f>HYPERLINK("https%3A%2F%2Fwww.webofscience.com%2Fwos%2Fwoscc%2Ffull-record%2FWOS:001058845200001","View Full Record in Web of Science")</f>
        <v>View Full Record in Web of Science</v>
      </c>
    </row>
    <row r="509" spans="1:72" x14ac:dyDescent="0.15">
      <c r="A509" t="s">
        <v>72</v>
      </c>
      <c r="B509" t="s">
        <v>9084</v>
      </c>
      <c r="C509" t="s">
        <v>74</v>
      </c>
      <c r="D509" t="s">
        <v>74</v>
      </c>
      <c r="E509" t="s">
        <v>74</v>
      </c>
      <c r="F509" t="s">
        <v>9085</v>
      </c>
      <c r="G509" t="s">
        <v>74</v>
      </c>
      <c r="H509" t="s">
        <v>74</v>
      </c>
      <c r="I509" t="s">
        <v>9086</v>
      </c>
      <c r="J509" t="s">
        <v>9087</v>
      </c>
      <c r="K509" t="s">
        <v>74</v>
      </c>
      <c r="L509" t="s">
        <v>74</v>
      </c>
      <c r="M509" t="s">
        <v>78</v>
      </c>
      <c r="N509" t="s">
        <v>79</v>
      </c>
      <c r="O509" t="s">
        <v>74</v>
      </c>
      <c r="P509" t="s">
        <v>74</v>
      </c>
      <c r="Q509" t="s">
        <v>74</v>
      </c>
      <c r="R509" t="s">
        <v>74</v>
      </c>
      <c r="S509" t="s">
        <v>74</v>
      </c>
      <c r="T509" t="s">
        <v>9088</v>
      </c>
      <c r="U509" t="s">
        <v>9089</v>
      </c>
      <c r="V509" t="s">
        <v>9090</v>
      </c>
      <c r="W509" t="s">
        <v>9091</v>
      </c>
      <c r="X509" t="s">
        <v>9092</v>
      </c>
      <c r="Y509" t="s">
        <v>9093</v>
      </c>
      <c r="Z509" t="s">
        <v>9094</v>
      </c>
      <c r="AA509" t="s">
        <v>74</v>
      </c>
      <c r="AB509" t="s">
        <v>74</v>
      </c>
      <c r="AC509" t="s">
        <v>74</v>
      </c>
      <c r="AD509" t="s">
        <v>74</v>
      </c>
      <c r="AE509" t="s">
        <v>74</v>
      </c>
      <c r="AF509" t="s">
        <v>74</v>
      </c>
      <c r="AG509">
        <v>56</v>
      </c>
      <c r="AH509">
        <v>0</v>
      </c>
      <c r="AI509">
        <v>0</v>
      </c>
      <c r="AJ509">
        <v>2</v>
      </c>
      <c r="AK509">
        <v>2</v>
      </c>
      <c r="AL509" t="s">
        <v>184</v>
      </c>
      <c r="AM509" t="s">
        <v>185</v>
      </c>
      <c r="AN509" t="s">
        <v>186</v>
      </c>
      <c r="AO509" t="s">
        <v>9095</v>
      </c>
      <c r="AP509" t="s">
        <v>9096</v>
      </c>
      <c r="AQ509" t="s">
        <v>74</v>
      </c>
      <c r="AR509" t="s">
        <v>9097</v>
      </c>
      <c r="AS509" t="s">
        <v>9098</v>
      </c>
      <c r="AT509" t="s">
        <v>9043</v>
      </c>
      <c r="AU509">
        <v>2023</v>
      </c>
      <c r="AV509" t="s">
        <v>74</v>
      </c>
      <c r="AW509" t="s">
        <v>74</v>
      </c>
      <c r="AX509" t="s">
        <v>74</v>
      </c>
      <c r="AY509" t="s">
        <v>74</v>
      </c>
      <c r="AZ509" t="s">
        <v>74</v>
      </c>
      <c r="BA509" t="s">
        <v>74</v>
      </c>
      <c r="BB509" t="s">
        <v>74</v>
      </c>
      <c r="BC509" t="s">
        <v>74</v>
      </c>
      <c r="BD509">
        <v>2253108</v>
      </c>
      <c r="BE509" t="s">
        <v>9099</v>
      </c>
      <c r="BF509" t="str">
        <f>HYPERLINK("http://dx.doi.org/10.1080/10934529.2023.2253108","http://dx.doi.org/10.1080/10934529.2023.2253108")</f>
        <v>http://dx.doi.org/10.1080/10934529.2023.2253108</v>
      </c>
      <c r="BG509" t="s">
        <v>74</v>
      </c>
      <c r="BH509" t="s">
        <v>74</v>
      </c>
      <c r="BI509">
        <v>8</v>
      </c>
      <c r="BJ509" t="s">
        <v>9100</v>
      </c>
      <c r="BK509" t="s">
        <v>102</v>
      </c>
      <c r="BL509" t="s">
        <v>9101</v>
      </c>
      <c r="BM509" t="s">
        <v>9102</v>
      </c>
      <c r="BN509">
        <v>37651265</v>
      </c>
      <c r="BO509" t="s">
        <v>74</v>
      </c>
      <c r="BP509" t="s">
        <v>74</v>
      </c>
      <c r="BQ509" t="s">
        <v>74</v>
      </c>
      <c r="BR509" t="s">
        <v>105</v>
      </c>
      <c r="BS509" t="s">
        <v>9103</v>
      </c>
      <c r="BT509" t="str">
        <f>HYPERLINK("https%3A%2F%2Fwww.webofscience.com%2Fwos%2Fwoscc%2Ffull-record%2FWOS:001059455200001","View Full Record in Web of Science")</f>
        <v>View Full Record in Web of Science</v>
      </c>
    </row>
    <row r="510" spans="1:72" x14ac:dyDescent="0.15">
      <c r="A510" t="s">
        <v>72</v>
      </c>
      <c r="B510" t="s">
        <v>9104</v>
      </c>
      <c r="C510" t="s">
        <v>74</v>
      </c>
      <c r="D510" t="s">
        <v>74</v>
      </c>
      <c r="E510" t="s">
        <v>74</v>
      </c>
      <c r="F510" t="s">
        <v>9105</v>
      </c>
      <c r="G510" t="s">
        <v>74</v>
      </c>
      <c r="H510" t="s">
        <v>74</v>
      </c>
      <c r="I510" t="s">
        <v>9106</v>
      </c>
      <c r="J510" t="s">
        <v>9107</v>
      </c>
      <c r="K510" t="s">
        <v>74</v>
      </c>
      <c r="L510" t="s">
        <v>74</v>
      </c>
      <c r="M510" t="s">
        <v>78</v>
      </c>
      <c r="N510" t="s">
        <v>79</v>
      </c>
      <c r="O510" t="s">
        <v>74</v>
      </c>
      <c r="P510" t="s">
        <v>74</v>
      </c>
      <c r="Q510" t="s">
        <v>74</v>
      </c>
      <c r="R510" t="s">
        <v>74</v>
      </c>
      <c r="S510" t="s">
        <v>74</v>
      </c>
      <c r="T510" t="s">
        <v>9108</v>
      </c>
      <c r="U510" t="s">
        <v>9109</v>
      </c>
      <c r="V510" t="s">
        <v>9110</v>
      </c>
      <c r="W510" t="s">
        <v>9111</v>
      </c>
      <c r="X510" t="s">
        <v>9112</v>
      </c>
      <c r="Y510" t="s">
        <v>9113</v>
      </c>
      <c r="Z510" t="s">
        <v>9114</v>
      </c>
      <c r="AA510" t="s">
        <v>9115</v>
      </c>
      <c r="AB510" t="s">
        <v>9116</v>
      </c>
      <c r="AC510" t="s">
        <v>74</v>
      </c>
      <c r="AD510" t="s">
        <v>74</v>
      </c>
      <c r="AE510" t="s">
        <v>74</v>
      </c>
      <c r="AF510" t="s">
        <v>74</v>
      </c>
      <c r="AG510">
        <v>29</v>
      </c>
      <c r="AH510">
        <v>0</v>
      </c>
      <c r="AI510">
        <v>0</v>
      </c>
      <c r="AJ510">
        <v>0</v>
      </c>
      <c r="AK510">
        <v>0</v>
      </c>
      <c r="AL510" t="s">
        <v>1188</v>
      </c>
      <c r="AM510" t="s">
        <v>93</v>
      </c>
      <c r="AN510" t="s">
        <v>1189</v>
      </c>
      <c r="AO510" t="s">
        <v>9117</v>
      </c>
      <c r="AP510" t="s">
        <v>9118</v>
      </c>
      <c r="AQ510" t="s">
        <v>74</v>
      </c>
      <c r="AR510" t="s">
        <v>9119</v>
      </c>
      <c r="AS510" t="s">
        <v>9120</v>
      </c>
      <c r="AT510" t="s">
        <v>9121</v>
      </c>
      <c r="AU510">
        <v>2023</v>
      </c>
      <c r="AV510" t="s">
        <v>74</v>
      </c>
      <c r="AW510" t="s">
        <v>74</v>
      </c>
      <c r="AX510" t="s">
        <v>74</v>
      </c>
      <c r="AY510" t="s">
        <v>74</v>
      </c>
      <c r="AZ510" t="s">
        <v>74</v>
      </c>
      <c r="BA510" t="s">
        <v>74</v>
      </c>
      <c r="BB510" t="s">
        <v>74</v>
      </c>
      <c r="BC510" t="s">
        <v>74</v>
      </c>
      <c r="BD510" t="s">
        <v>74</v>
      </c>
      <c r="BE510" t="s">
        <v>9122</v>
      </c>
      <c r="BF510" t="str">
        <f>HYPERLINK("http://dx.doi.org/10.1080/09581596.2023.2250539","http://dx.doi.org/10.1080/09581596.2023.2250539")</f>
        <v>http://dx.doi.org/10.1080/09581596.2023.2250539</v>
      </c>
      <c r="BG510" t="s">
        <v>74</v>
      </c>
      <c r="BH510" t="s">
        <v>74</v>
      </c>
      <c r="BI510">
        <v>14</v>
      </c>
      <c r="BJ510" t="s">
        <v>9123</v>
      </c>
      <c r="BK510" t="s">
        <v>272</v>
      </c>
      <c r="BL510" t="s">
        <v>9124</v>
      </c>
      <c r="BM510" t="s">
        <v>9125</v>
      </c>
      <c r="BN510" t="s">
        <v>74</v>
      </c>
      <c r="BO510" t="s">
        <v>74</v>
      </c>
      <c r="BP510" t="s">
        <v>74</v>
      </c>
      <c r="BQ510" t="s">
        <v>74</v>
      </c>
      <c r="BR510" t="s">
        <v>105</v>
      </c>
      <c r="BS510" t="s">
        <v>9126</v>
      </c>
      <c r="BT510" t="str">
        <f>HYPERLINK("https%3A%2F%2Fwww.webofscience.com%2Fwos%2Fwoscc%2Ffull-record%2FWOS:001054589100001","View Full Record in Web of Science")</f>
        <v>View Full Record in Web of Science</v>
      </c>
    </row>
    <row r="511" spans="1:72" x14ac:dyDescent="0.15">
      <c r="A511" t="s">
        <v>72</v>
      </c>
      <c r="B511" t="s">
        <v>9127</v>
      </c>
      <c r="C511" t="s">
        <v>74</v>
      </c>
      <c r="D511" t="s">
        <v>74</v>
      </c>
      <c r="E511" t="s">
        <v>74</v>
      </c>
      <c r="F511" t="s">
        <v>9128</v>
      </c>
      <c r="G511" t="s">
        <v>74</v>
      </c>
      <c r="H511" t="s">
        <v>74</v>
      </c>
      <c r="I511" t="s">
        <v>9129</v>
      </c>
      <c r="J511" t="s">
        <v>9130</v>
      </c>
      <c r="K511" t="s">
        <v>74</v>
      </c>
      <c r="L511" t="s">
        <v>74</v>
      </c>
      <c r="M511" t="s">
        <v>78</v>
      </c>
      <c r="N511" t="s">
        <v>2650</v>
      </c>
      <c r="O511" t="s">
        <v>74</v>
      </c>
      <c r="P511" t="s">
        <v>74</v>
      </c>
      <c r="Q511" t="s">
        <v>74</v>
      </c>
      <c r="R511" t="s">
        <v>74</v>
      </c>
      <c r="S511" t="s">
        <v>74</v>
      </c>
      <c r="T511" t="s">
        <v>9131</v>
      </c>
      <c r="U511" t="s">
        <v>74</v>
      </c>
      <c r="V511" t="s">
        <v>9132</v>
      </c>
      <c r="W511" t="s">
        <v>9133</v>
      </c>
      <c r="X511" t="s">
        <v>9134</v>
      </c>
      <c r="Y511" t="s">
        <v>9135</v>
      </c>
      <c r="Z511" t="s">
        <v>9136</v>
      </c>
      <c r="AA511" t="s">
        <v>74</v>
      </c>
      <c r="AB511" t="s">
        <v>74</v>
      </c>
      <c r="AC511" t="s">
        <v>74</v>
      </c>
      <c r="AD511" t="s">
        <v>74</v>
      </c>
      <c r="AE511" t="s">
        <v>74</v>
      </c>
      <c r="AF511" t="s">
        <v>74</v>
      </c>
      <c r="AG511">
        <v>31</v>
      </c>
      <c r="AH511">
        <v>0</v>
      </c>
      <c r="AI511">
        <v>0</v>
      </c>
      <c r="AJ511">
        <v>0</v>
      </c>
      <c r="AK511">
        <v>0</v>
      </c>
      <c r="AL511" t="s">
        <v>1188</v>
      </c>
      <c r="AM511" t="s">
        <v>93</v>
      </c>
      <c r="AN511" t="s">
        <v>1189</v>
      </c>
      <c r="AO511" t="s">
        <v>9137</v>
      </c>
      <c r="AP511" t="s">
        <v>9138</v>
      </c>
      <c r="AQ511" t="s">
        <v>74</v>
      </c>
      <c r="AR511" t="s">
        <v>9139</v>
      </c>
      <c r="AS511" t="s">
        <v>9140</v>
      </c>
      <c r="AT511" t="s">
        <v>9121</v>
      </c>
      <c r="AU511">
        <v>2023</v>
      </c>
      <c r="AV511" t="s">
        <v>74</v>
      </c>
      <c r="AW511" t="s">
        <v>74</v>
      </c>
      <c r="AX511" t="s">
        <v>74</v>
      </c>
      <c r="AY511" t="s">
        <v>74</v>
      </c>
      <c r="AZ511" t="s">
        <v>74</v>
      </c>
      <c r="BA511" t="s">
        <v>74</v>
      </c>
      <c r="BB511" t="s">
        <v>74</v>
      </c>
      <c r="BC511" t="s">
        <v>74</v>
      </c>
      <c r="BD511">
        <v>2249142</v>
      </c>
      <c r="BE511" t="s">
        <v>9141</v>
      </c>
      <c r="BF511" t="str">
        <f>HYPERLINK("http://dx.doi.org/10.1080/23276665.2023.2249142","http://dx.doi.org/10.1080/23276665.2023.2249142")</f>
        <v>http://dx.doi.org/10.1080/23276665.2023.2249142</v>
      </c>
      <c r="BG511" t="s">
        <v>74</v>
      </c>
      <c r="BH511" t="s">
        <v>74</v>
      </c>
      <c r="BI511">
        <v>12</v>
      </c>
      <c r="BJ511" t="s">
        <v>7004</v>
      </c>
      <c r="BK511" t="s">
        <v>211</v>
      </c>
      <c r="BL511" t="s">
        <v>7004</v>
      </c>
      <c r="BM511" t="s">
        <v>9142</v>
      </c>
      <c r="BN511" t="s">
        <v>74</v>
      </c>
      <c r="BO511" t="s">
        <v>5391</v>
      </c>
      <c r="BP511" t="s">
        <v>74</v>
      </c>
      <c r="BQ511" t="s">
        <v>74</v>
      </c>
      <c r="BR511" t="s">
        <v>105</v>
      </c>
      <c r="BS511" t="s">
        <v>9143</v>
      </c>
      <c r="BT511" t="str">
        <f>HYPERLINK("https%3A%2F%2Fwww.webofscience.com%2Fwos%2Fwoscc%2Ffull-record%2FWOS:001054756000001","View Full Record in Web of Science")</f>
        <v>View Full Record in Web of Science</v>
      </c>
    </row>
    <row r="512" spans="1:72" x14ac:dyDescent="0.15">
      <c r="A512" t="s">
        <v>72</v>
      </c>
      <c r="B512" t="s">
        <v>9144</v>
      </c>
      <c r="C512" t="s">
        <v>74</v>
      </c>
      <c r="D512" t="s">
        <v>74</v>
      </c>
      <c r="E512" t="s">
        <v>74</v>
      </c>
      <c r="F512" t="s">
        <v>9145</v>
      </c>
      <c r="G512" t="s">
        <v>74</v>
      </c>
      <c r="H512" t="s">
        <v>74</v>
      </c>
      <c r="I512" t="s">
        <v>9146</v>
      </c>
      <c r="J512" t="s">
        <v>9147</v>
      </c>
      <c r="K512" t="s">
        <v>74</v>
      </c>
      <c r="L512" t="s">
        <v>74</v>
      </c>
      <c r="M512" t="s">
        <v>78</v>
      </c>
      <c r="N512" t="s">
        <v>5492</v>
      </c>
      <c r="O512" t="s">
        <v>74</v>
      </c>
      <c r="P512" t="s">
        <v>74</v>
      </c>
      <c r="Q512" t="s">
        <v>74</v>
      </c>
      <c r="R512" t="s">
        <v>74</v>
      </c>
      <c r="S512" t="s">
        <v>74</v>
      </c>
      <c r="T512" t="s">
        <v>9148</v>
      </c>
      <c r="U512" t="s">
        <v>9149</v>
      </c>
      <c r="V512" t="s">
        <v>9150</v>
      </c>
      <c r="W512" t="s">
        <v>9151</v>
      </c>
      <c r="X512" t="s">
        <v>9152</v>
      </c>
      <c r="Y512" t="s">
        <v>9153</v>
      </c>
      <c r="Z512" t="s">
        <v>9154</v>
      </c>
      <c r="AA512" t="s">
        <v>74</v>
      </c>
      <c r="AB512" t="s">
        <v>9155</v>
      </c>
      <c r="AC512" t="s">
        <v>9156</v>
      </c>
      <c r="AD512" t="s">
        <v>9157</v>
      </c>
      <c r="AE512" t="s">
        <v>9158</v>
      </c>
      <c r="AF512" t="s">
        <v>74</v>
      </c>
      <c r="AG512">
        <v>72</v>
      </c>
      <c r="AH512">
        <v>0</v>
      </c>
      <c r="AI512">
        <v>0</v>
      </c>
      <c r="AJ512">
        <v>1</v>
      </c>
      <c r="AK512">
        <v>1</v>
      </c>
      <c r="AL512" t="s">
        <v>184</v>
      </c>
      <c r="AM512" t="s">
        <v>185</v>
      </c>
      <c r="AN512" t="s">
        <v>186</v>
      </c>
      <c r="AO512" t="s">
        <v>9159</v>
      </c>
      <c r="AP512" t="s">
        <v>9160</v>
      </c>
      <c r="AQ512" t="s">
        <v>74</v>
      </c>
      <c r="AR512" t="s">
        <v>9161</v>
      </c>
      <c r="AS512" t="s">
        <v>9162</v>
      </c>
      <c r="AT512" t="s">
        <v>9163</v>
      </c>
      <c r="AU512">
        <v>2023</v>
      </c>
      <c r="AV512" t="s">
        <v>74</v>
      </c>
      <c r="AW512" t="s">
        <v>74</v>
      </c>
      <c r="AX512" t="s">
        <v>74</v>
      </c>
      <c r="AY512" t="s">
        <v>74</v>
      </c>
      <c r="AZ512" t="s">
        <v>74</v>
      </c>
      <c r="BA512" t="s">
        <v>74</v>
      </c>
      <c r="BB512" t="s">
        <v>74</v>
      </c>
      <c r="BC512" t="s">
        <v>74</v>
      </c>
      <c r="BD512" t="s">
        <v>74</v>
      </c>
      <c r="BE512" t="s">
        <v>9164</v>
      </c>
      <c r="BF512" t="str">
        <f>HYPERLINK("http://dx.doi.org/10.1080/01490400.2023.2253232","http://dx.doi.org/10.1080/01490400.2023.2253232")</f>
        <v>http://dx.doi.org/10.1080/01490400.2023.2253232</v>
      </c>
      <c r="BG512" t="s">
        <v>74</v>
      </c>
      <c r="BH512" t="s">
        <v>8608</v>
      </c>
      <c r="BI512">
        <v>24</v>
      </c>
      <c r="BJ512" t="s">
        <v>7966</v>
      </c>
      <c r="BK512" t="s">
        <v>272</v>
      </c>
      <c r="BL512" t="s">
        <v>7967</v>
      </c>
      <c r="BM512" t="s">
        <v>9165</v>
      </c>
      <c r="BN512" t="s">
        <v>74</v>
      </c>
      <c r="BO512" t="s">
        <v>74</v>
      </c>
      <c r="BP512" t="s">
        <v>74</v>
      </c>
      <c r="BQ512" t="s">
        <v>74</v>
      </c>
      <c r="BR512" t="s">
        <v>105</v>
      </c>
      <c r="BS512" t="s">
        <v>9166</v>
      </c>
      <c r="BT512" t="str">
        <f>HYPERLINK("https%3A%2F%2Fwww.webofscience.com%2Fwos%2Fwoscc%2Ffull-record%2FWOS:001065028400001","View Full Record in Web of Science")</f>
        <v>View Full Record in Web of Science</v>
      </c>
    </row>
    <row r="513" spans="1:72" x14ac:dyDescent="0.15">
      <c r="A513" t="s">
        <v>72</v>
      </c>
      <c r="B513" t="s">
        <v>9167</v>
      </c>
      <c r="C513" t="s">
        <v>74</v>
      </c>
      <c r="D513" t="s">
        <v>74</v>
      </c>
      <c r="E513" t="s">
        <v>74</v>
      </c>
      <c r="F513" t="s">
        <v>9168</v>
      </c>
      <c r="G513" t="s">
        <v>74</v>
      </c>
      <c r="H513" t="s">
        <v>74</v>
      </c>
      <c r="I513" t="s">
        <v>9169</v>
      </c>
      <c r="J513" t="s">
        <v>7632</v>
      </c>
      <c r="K513" t="s">
        <v>74</v>
      </c>
      <c r="L513" t="s">
        <v>74</v>
      </c>
      <c r="M513" t="s">
        <v>78</v>
      </c>
      <c r="N513" t="s">
        <v>5492</v>
      </c>
      <c r="O513" t="s">
        <v>74</v>
      </c>
      <c r="P513" t="s">
        <v>74</v>
      </c>
      <c r="Q513" t="s">
        <v>74</v>
      </c>
      <c r="R513" t="s">
        <v>74</v>
      </c>
      <c r="S513" t="s">
        <v>74</v>
      </c>
      <c r="T513" t="s">
        <v>9170</v>
      </c>
      <c r="U513" t="s">
        <v>9171</v>
      </c>
      <c r="V513" t="s">
        <v>9172</v>
      </c>
      <c r="W513" t="s">
        <v>9173</v>
      </c>
      <c r="X513" t="s">
        <v>9174</v>
      </c>
      <c r="Y513" t="s">
        <v>9175</v>
      </c>
      <c r="Z513" t="s">
        <v>9176</v>
      </c>
      <c r="AA513" t="s">
        <v>74</v>
      </c>
      <c r="AB513" t="s">
        <v>74</v>
      </c>
      <c r="AC513" t="s">
        <v>9177</v>
      </c>
      <c r="AD513" t="s">
        <v>9178</v>
      </c>
      <c r="AE513" t="s">
        <v>9179</v>
      </c>
      <c r="AF513" t="s">
        <v>74</v>
      </c>
      <c r="AG513">
        <v>128</v>
      </c>
      <c r="AH513">
        <v>0</v>
      </c>
      <c r="AI513">
        <v>0</v>
      </c>
      <c r="AJ513">
        <v>0</v>
      </c>
      <c r="AK513">
        <v>0</v>
      </c>
      <c r="AL513" t="s">
        <v>184</v>
      </c>
      <c r="AM513" t="s">
        <v>185</v>
      </c>
      <c r="AN513" t="s">
        <v>186</v>
      </c>
      <c r="AO513" t="s">
        <v>7642</v>
      </c>
      <c r="AP513" t="s">
        <v>7643</v>
      </c>
      <c r="AQ513" t="s">
        <v>74</v>
      </c>
      <c r="AR513" t="s">
        <v>7644</v>
      </c>
      <c r="AS513" t="s">
        <v>7645</v>
      </c>
      <c r="AT513" t="s">
        <v>9180</v>
      </c>
      <c r="AU513">
        <v>2023</v>
      </c>
      <c r="AV513" t="s">
        <v>74</v>
      </c>
      <c r="AW513" t="s">
        <v>74</v>
      </c>
      <c r="AX513" t="s">
        <v>74</v>
      </c>
      <c r="AY513" t="s">
        <v>74</v>
      </c>
      <c r="AZ513" t="s">
        <v>74</v>
      </c>
      <c r="BA513" t="s">
        <v>74</v>
      </c>
      <c r="BB513" t="s">
        <v>74</v>
      </c>
      <c r="BC513" t="s">
        <v>74</v>
      </c>
      <c r="BD513" t="s">
        <v>74</v>
      </c>
      <c r="BE513" t="s">
        <v>9181</v>
      </c>
      <c r="BF513" t="str">
        <f>HYPERLINK("http://dx.doi.org/10.1080/07391102.2023.2252901","http://dx.doi.org/10.1080/07391102.2023.2252901")</f>
        <v>http://dx.doi.org/10.1080/07391102.2023.2252901</v>
      </c>
      <c r="BG513" t="s">
        <v>74</v>
      </c>
      <c r="BH513" t="s">
        <v>8608</v>
      </c>
      <c r="BI513">
        <v>22</v>
      </c>
      <c r="BJ513" t="s">
        <v>7647</v>
      </c>
      <c r="BK513" t="s">
        <v>102</v>
      </c>
      <c r="BL513" t="s">
        <v>7647</v>
      </c>
      <c r="BM513" t="s">
        <v>9182</v>
      </c>
      <c r="BN513">
        <v>37655736</v>
      </c>
      <c r="BO513" t="s">
        <v>5486</v>
      </c>
      <c r="BP513" t="s">
        <v>74</v>
      </c>
      <c r="BQ513" t="s">
        <v>74</v>
      </c>
      <c r="BR513" t="s">
        <v>105</v>
      </c>
      <c r="BS513" t="s">
        <v>9183</v>
      </c>
      <c r="BT513" t="str">
        <f>HYPERLINK("https%3A%2F%2Fwww.webofscience.com%2Fwos%2Fwoscc%2Ffull-record%2FWOS:001060146200001","View Full Record in Web of Science")</f>
        <v>View Full Record in Web of Science</v>
      </c>
    </row>
    <row r="514" spans="1:72" x14ac:dyDescent="0.15">
      <c r="A514" t="s">
        <v>72</v>
      </c>
      <c r="B514" t="s">
        <v>9184</v>
      </c>
      <c r="C514" t="s">
        <v>74</v>
      </c>
      <c r="D514" t="s">
        <v>74</v>
      </c>
      <c r="E514" t="s">
        <v>74</v>
      </c>
      <c r="F514" t="s">
        <v>9185</v>
      </c>
      <c r="G514" t="s">
        <v>74</v>
      </c>
      <c r="H514" t="s">
        <v>74</v>
      </c>
      <c r="I514" t="s">
        <v>9186</v>
      </c>
      <c r="J514" t="s">
        <v>9187</v>
      </c>
      <c r="K514" t="s">
        <v>74</v>
      </c>
      <c r="L514" t="s">
        <v>74</v>
      </c>
      <c r="M514" t="s">
        <v>78</v>
      </c>
      <c r="N514" t="s">
        <v>5492</v>
      </c>
      <c r="O514" t="s">
        <v>74</v>
      </c>
      <c r="P514" t="s">
        <v>74</v>
      </c>
      <c r="Q514" t="s">
        <v>74</v>
      </c>
      <c r="R514" t="s">
        <v>74</v>
      </c>
      <c r="S514" t="s">
        <v>74</v>
      </c>
      <c r="T514" t="s">
        <v>9188</v>
      </c>
      <c r="U514" t="s">
        <v>9189</v>
      </c>
      <c r="V514" t="s">
        <v>9190</v>
      </c>
      <c r="W514" t="s">
        <v>9191</v>
      </c>
      <c r="X514" t="s">
        <v>9192</v>
      </c>
      <c r="Y514" t="s">
        <v>9193</v>
      </c>
      <c r="Z514" t="s">
        <v>9194</v>
      </c>
      <c r="AA514" t="s">
        <v>74</v>
      </c>
      <c r="AB514" t="s">
        <v>74</v>
      </c>
      <c r="AC514" t="s">
        <v>9195</v>
      </c>
      <c r="AD514" t="s">
        <v>9196</v>
      </c>
      <c r="AE514" t="s">
        <v>9197</v>
      </c>
      <c r="AF514" t="s">
        <v>74</v>
      </c>
      <c r="AG514">
        <v>25</v>
      </c>
      <c r="AH514">
        <v>0</v>
      </c>
      <c r="AI514">
        <v>0</v>
      </c>
      <c r="AJ514">
        <v>0</v>
      </c>
      <c r="AK514">
        <v>0</v>
      </c>
      <c r="AL514" t="s">
        <v>1188</v>
      </c>
      <c r="AM514" t="s">
        <v>93</v>
      </c>
      <c r="AN514" t="s">
        <v>1189</v>
      </c>
      <c r="AO514" t="s">
        <v>9198</v>
      </c>
      <c r="AP514" t="s">
        <v>9199</v>
      </c>
      <c r="AQ514" t="s">
        <v>74</v>
      </c>
      <c r="AR514" t="s">
        <v>9200</v>
      </c>
      <c r="AS514" t="s">
        <v>9201</v>
      </c>
      <c r="AT514" t="s">
        <v>9180</v>
      </c>
      <c r="AU514">
        <v>2023</v>
      </c>
      <c r="AV514" t="s">
        <v>74</v>
      </c>
      <c r="AW514" t="s">
        <v>74</v>
      </c>
      <c r="AX514" t="s">
        <v>74</v>
      </c>
      <c r="AY514" t="s">
        <v>74</v>
      </c>
      <c r="AZ514" t="s">
        <v>74</v>
      </c>
      <c r="BA514" t="s">
        <v>74</v>
      </c>
      <c r="BB514" t="s">
        <v>74</v>
      </c>
      <c r="BC514" t="s">
        <v>74</v>
      </c>
      <c r="BD514" t="s">
        <v>74</v>
      </c>
      <c r="BE514" t="s">
        <v>9202</v>
      </c>
      <c r="BF514" t="str">
        <f>HYPERLINK("http://dx.doi.org/10.1080/17405629.2023.2250125","http://dx.doi.org/10.1080/17405629.2023.2250125")</f>
        <v>http://dx.doi.org/10.1080/17405629.2023.2250125</v>
      </c>
      <c r="BG514" t="s">
        <v>74</v>
      </c>
      <c r="BH514" t="s">
        <v>8608</v>
      </c>
      <c r="BI514">
        <v>11</v>
      </c>
      <c r="BJ514" t="s">
        <v>9203</v>
      </c>
      <c r="BK514" t="s">
        <v>272</v>
      </c>
      <c r="BL514" t="s">
        <v>1691</v>
      </c>
      <c r="BM514" t="s">
        <v>9204</v>
      </c>
      <c r="BN514" t="s">
        <v>74</v>
      </c>
      <c r="BO514" t="s">
        <v>74</v>
      </c>
      <c r="BP514" t="s">
        <v>74</v>
      </c>
      <c r="BQ514" t="s">
        <v>74</v>
      </c>
      <c r="BR514" t="s">
        <v>105</v>
      </c>
      <c r="BS514" t="s">
        <v>9205</v>
      </c>
      <c r="BT514" t="str">
        <f>HYPERLINK("https%3A%2F%2Fwww.webofscience.com%2Fwos%2Fwoscc%2Ffull-record%2FWOS:001060180000001","View Full Record in Web of Science")</f>
        <v>View Full Record in Web of Science</v>
      </c>
    </row>
    <row r="515" spans="1:72" x14ac:dyDescent="0.15">
      <c r="A515" t="s">
        <v>72</v>
      </c>
      <c r="B515" t="s">
        <v>9206</v>
      </c>
      <c r="C515" t="s">
        <v>74</v>
      </c>
      <c r="D515" t="s">
        <v>74</v>
      </c>
      <c r="E515" t="s">
        <v>74</v>
      </c>
      <c r="F515" t="s">
        <v>9207</v>
      </c>
      <c r="G515" t="s">
        <v>74</v>
      </c>
      <c r="H515" t="s">
        <v>74</v>
      </c>
      <c r="I515" t="s">
        <v>9208</v>
      </c>
      <c r="J515" t="s">
        <v>9209</v>
      </c>
      <c r="K515" t="s">
        <v>74</v>
      </c>
      <c r="L515" t="s">
        <v>74</v>
      </c>
      <c r="M515" t="s">
        <v>78</v>
      </c>
      <c r="N515" t="s">
        <v>5492</v>
      </c>
      <c r="O515" t="s">
        <v>74</v>
      </c>
      <c r="P515" t="s">
        <v>74</v>
      </c>
      <c r="Q515" t="s">
        <v>74</v>
      </c>
      <c r="R515" t="s">
        <v>74</v>
      </c>
      <c r="S515" t="s">
        <v>74</v>
      </c>
      <c r="T515" t="s">
        <v>74</v>
      </c>
      <c r="U515" t="s">
        <v>9210</v>
      </c>
      <c r="V515" t="s">
        <v>9211</v>
      </c>
      <c r="W515" t="s">
        <v>9212</v>
      </c>
      <c r="X515" t="s">
        <v>9213</v>
      </c>
      <c r="Y515" t="s">
        <v>9214</v>
      </c>
      <c r="Z515" t="s">
        <v>9215</v>
      </c>
      <c r="AA515" t="s">
        <v>74</v>
      </c>
      <c r="AB515" t="s">
        <v>74</v>
      </c>
      <c r="AC515" t="s">
        <v>74</v>
      </c>
      <c r="AD515" t="s">
        <v>74</v>
      </c>
      <c r="AE515" t="s">
        <v>74</v>
      </c>
      <c r="AF515" t="s">
        <v>74</v>
      </c>
      <c r="AG515">
        <v>50</v>
      </c>
      <c r="AH515">
        <v>0</v>
      </c>
      <c r="AI515">
        <v>0</v>
      </c>
      <c r="AJ515">
        <v>0</v>
      </c>
      <c r="AK515">
        <v>0</v>
      </c>
      <c r="AL515" t="s">
        <v>1188</v>
      </c>
      <c r="AM515" t="s">
        <v>93</v>
      </c>
      <c r="AN515" t="s">
        <v>1189</v>
      </c>
      <c r="AO515" t="s">
        <v>9216</v>
      </c>
      <c r="AP515" t="s">
        <v>9217</v>
      </c>
      <c r="AQ515" t="s">
        <v>74</v>
      </c>
      <c r="AR515" t="s">
        <v>9218</v>
      </c>
      <c r="AS515" t="s">
        <v>9219</v>
      </c>
      <c r="AT515" t="s">
        <v>9180</v>
      </c>
      <c r="AU515">
        <v>2023</v>
      </c>
      <c r="AV515" t="s">
        <v>74</v>
      </c>
      <c r="AW515" t="s">
        <v>74</v>
      </c>
      <c r="AX515" t="s">
        <v>74</v>
      </c>
      <c r="AY515" t="s">
        <v>74</v>
      </c>
      <c r="AZ515" t="s">
        <v>74</v>
      </c>
      <c r="BA515" t="s">
        <v>74</v>
      </c>
      <c r="BB515" t="s">
        <v>74</v>
      </c>
      <c r="BC515" t="s">
        <v>74</v>
      </c>
      <c r="BD515" t="s">
        <v>74</v>
      </c>
      <c r="BE515" t="s">
        <v>9220</v>
      </c>
      <c r="BF515" t="str">
        <f>HYPERLINK("http://dx.doi.org/10.1080/08850607.2023.2241307","http://dx.doi.org/10.1080/08850607.2023.2241307")</f>
        <v>http://dx.doi.org/10.1080/08850607.2023.2241307</v>
      </c>
      <c r="BG515" t="s">
        <v>74</v>
      </c>
      <c r="BH515" t="s">
        <v>8608</v>
      </c>
      <c r="BI515">
        <v>16</v>
      </c>
      <c r="BJ515" t="s">
        <v>5507</v>
      </c>
      <c r="BK515" t="s">
        <v>211</v>
      </c>
      <c r="BL515" t="s">
        <v>5507</v>
      </c>
      <c r="BM515" t="s">
        <v>9221</v>
      </c>
      <c r="BN515" t="s">
        <v>74</v>
      </c>
      <c r="BO515" t="s">
        <v>74</v>
      </c>
      <c r="BP515" t="s">
        <v>74</v>
      </c>
      <c r="BQ515" t="s">
        <v>74</v>
      </c>
      <c r="BR515" t="s">
        <v>105</v>
      </c>
      <c r="BS515" t="s">
        <v>9222</v>
      </c>
      <c r="BT515" t="str">
        <f>HYPERLINK("https%3A%2F%2Fwww.webofscience.com%2Fwos%2Fwoscc%2Ffull-record%2FWOS:001060337400001","View Full Record in Web of Science")</f>
        <v>View Full Record in Web of Science</v>
      </c>
    </row>
    <row r="516" spans="1:72" x14ac:dyDescent="0.15">
      <c r="A516" t="s">
        <v>72</v>
      </c>
      <c r="B516" t="s">
        <v>9223</v>
      </c>
      <c r="C516" t="s">
        <v>74</v>
      </c>
      <c r="D516" t="s">
        <v>74</v>
      </c>
      <c r="E516" t="s">
        <v>74</v>
      </c>
      <c r="F516" t="s">
        <v>9224</v>
      </c>
      <c r="G516" t="s">
        <v>74</v>
      </c>
      <c r="H516" t="s">
        <v>74</v>
      </c>
      <c r="I516" t="s">
        <v>9225</v>
      </c>
      <c r="J516" t="s">
        <v>9226</v>
      </c>
      <c r="K516" t="s">
        <v>74</v>
      </c>
      <c r="L516" t="s">
        <v>74</v>
      </c>
      <c r="M516" t="s">
        <v>78</v>
      </c>
      <c r="N516" t="s">
        <v>5492</v>
      </c>
      <c r="O516" t="s">
        <v>74</v>
      </c>
      <c r="P516" t="s">
        <v>74</v>
      </c>
      <c r="Q516" t="s">
        <v>74</v>
      </c>
      <c r="R516" t="s">
        <v>74</v>
      </c>
      <c r="S516" t="s">
        <v>74</v>
      </c>
      <c r="T516" t="s">
        <v>9227</v>
      </c>
      <c r="U516" t="s">
        <v>9228</v>
      </c>
      <c r="V516" t="s">
        <v>9229</v>
      </c>
      <c r="W516" t="s">
        <v>9230</v>
      </c>
      <c r="X516" t="s">
        <v>9231</v>
      </c>
      <c r="Y516" t="s">
        <v>9232</v>
      </c>
      <c r="Z516" t="s">
        <v>9233</v>
      </c>
      <c r="AA516" t="s">
        <v>74</v>
      </c>
      <c r="AB516" t="s">
        <v>74</v>
      </c>
      <c r="AC516" t="s">
        <v>74</v>
      </c>
      <c r="AD516" t="s">
        <v>74</v>
      </c>
      <c r="AE516" t="s">
        <v>74</v>
      </c>
      <c r="AF516" t="s">
        <v>74</v>
      </c>
      <c r="AG516">
        <v>52</v>
      </c>
      <c r="AH516">
        <v>0</v>
      </c>
      <c r="AI516">
        <v>0</v>
      </c>
      <c r="AJ516">
        <v>1</v>
      </c>
      <c r="AK516">
        <v>1</v>
      </c>
      <c r="AL516" t="s">
        <v>1188</v>
      </c>
      <c r="AM516" t="s">
        <v>93</v>
      </c>
      <c r="AN516" t="s">
        <v>1189</v>
      </c>
      <c r="AO516" t="s">
        <v>9234</v>
      </c>
      <c r="AP516" t="s">
        <v>9235</v>
      </c>
      <c r="AQ516" t="s">
        <v>74</v>
      </c>
      <c r="AR516" t="s">
        <v>9236</v>
      </c>
      <c r="AS516" t="s">
        <v>9237</v>
      </c>
      <c r="AT516" t="s">
        <v>9180</v>
      </c>
      <c r="AU516">
        <v>2023</v>
      </c>
      <c r="AV516" t="s">
        <v>74</v>
      </c>
      <c r="AW516" t="s">
        <v>74</v>
      </c>
      <c r="AX516" t="s">
        <v>74</v>
      </c>
      <c r="AY516" t="s">
        <v>74</v>
      </c>
      <c r="AZ516" t="s">
        <v>74</v>
      </c>
      <c r="BA516" t="s">
        <v>74</v>
      </c>
      <c r="BB516" t="s">
        <v>74</v>
      </c>
      <c r="BC516" t="s">
        <v>74</v>
      </c>
      <c r="BD516" t="s">
        <v>74</v>
      </c>
      <c r="BE516" t="s">
        <v>9238</v>
      </c>
      <c r="BF516" t="str">
        <f>HYPERLINK("http://dx.doi.org/10.1080/01924788.2023.2249741","http://dx.doi.org/10.1080/01924788.2023.2249741")</f>
        <v>http://dx.doi.org/10.1080/01924788.2023.2249741</v>
      </c>
      <c r="BG516" t="s">
        <v>74</v>
      </c>
      <c r="BH516" t="s">
        <v>8608</v>
      </c>
      <c r="BI516">
        <v>14</v>
      </c>
      <c r="BJ516" t="s">
        <v>9239</v>
      </c>
      <c r="BK516" t="s">
        <v>211</v>
      </c>
      <c r="BL516" t="s">
        <v>9240</v>
      </c>
      <c r="BM516" t="s">
        <v>9241</v>
      </c>
      <c r="BN516" t="s">
        <v>74</v>
      </c>
      <c r="BO516" t="s">
        <v>74</v>
      </c>
      <c r="BP516" t="s">
        <v>74</v>
      </c>
      <c r="BQ516" t="s">
        <v>74</v>
      </c>
      <c r="BR516" t="s">
        <v>105</v>
      </c>
      <c r="BS516" t="s">
        <v>9242</v>
      </c>
      <c r="BT516" t="str">
        <f>HYPERLINK("https%3A%2F%2Fwww.webofscience.com%2Fwos%2Fwoscc%2Ffull-record%2FWOS:001060185800001","View Full Record in Web of Science")</f>
        <v>View Full Record in Web of Science</v>
      </c>
    </row>
    <row r="517" spans="1:72" x14ac:dyDescent="0.15">
      <c r="A517" t="s">
        <v>72</v>
      </c>
      <c r="B517" t="s">
        <v>9243</v>
      </c>
      <c r="C517" t="s">
        <v>74</v>
      </c>
      <c r="D517" t="s">
        <v>74</v>
      </c>
      <c r="E517" t="s">
        <v>74</v>
      </c>
      <c r="F517" t="s">
        <v>9244</v>
      </c>
      <c r="G517" t="s">
        <v>74</v>
      </c>
      <c r="H517" t="s">
        <v>74</v>
      </c>
      <c r="I517" t="s">
        <v>9245</v>
      </c>
      <c r="J517" t="s">
        <v>9246</v>
      </c>
      <c r="K517" t="s">
        <v>74</v>
      </c>
      <c r="L517" t="s">
        <v>74</v>
      </c>
      <c r="M517" t="s">
        <v>78</v>
      </c>
      <c r="N517" t="s">
        <v>79</v>
      </c>
      <c r="O517" t="s">
        <v>74</v>
      </c>
      <c r="P517" t="s">
        <v>74</v>
      </c>
      <c r="Q517" t="s">
        <v>74</v>
      </c>
      <c r="R517" t="s">
        <v>74</v>
      </c>
      <c r="S517" t="s">
        <v>74</v>
      </c>
      <c r="T517" t="s">
        <v>9247</v>
      </c>
      <c r="U517" t="s">
        <v>9248</v>
      </c>
      <c r="V517" t="s">
        <v>9249</v>
      </c>
      <c r="W517" t="s">
        <v>9250</v>
      </c>
      <c r="X517" t="s">
        <v>9251</v>
      </c>
      <c r="Y517" t="s">
        <v>9252</v>
      </c>
      <c r="Z517" t="s">
        <v>9253</v>
      </c>
      <c r="AA517" t="s">
        <v>74</v>
      </c>
      <c r="AB517" t="s">
        <v>74</v>
      </c>
      <c r="AC517" t="s">
        <v>74</v>
      </c>
      <c r="AD517" t="s">
        <v>74</v>
      </c>
      <c r="AE517" t="s">
        <v>74</v>
      </c>
      <c r="AF517" t="s">
        <v>74</v>
      </c>
      <c r="AG517">
        <v>20</v>
      </c>
      <c r="AH517">
        <v>0</v>
      </c>
      <c r="AI517">
        <v>0</v>
      </c>
      <c r="AJ517">
        <v>0</v>
      </c>
      <c r="AK517">
        <v>0</v>
      </c>
      <c r="AL517" t="s">
        <v>184</v>
      </c>
      <c r="AM517" t="s">
        <v>185</v>
      </c>
      <c r="AN517" t="s">
        <v>186</v>
      </c>
      <c r="AO517" t="s">
        <v>9254</v>
      </c>
      <c r="AP517" t="s">
        <v>9255</v>
      </c>
      <c r="AQ517" t="s">
        <v>74</v>
      </c>
      <c r="AR517" t="s">
        <v>9256</v>
      </c>
      <c r="AS517" t="s">
        <v>9257</v>
      </c>
      <c r="AT517" t="s">
        <v>9258</v>
      </c>
      <c r="AU517">
        <v>2023</v>
      </c>
      <c r="AV517" t="s">
        <v>74</v>
      </c>
      <c r="AW517" t="s">
        <v>74</v>
      </c>
      <c r="AX517" t="s">
        <v>74</v>
      </c>
      <c r="AY517" t="s">
        <v>74</v>
      </c>
      <c r="AZ517" t="s">
        <v>74</v>
      </c>
      <c r="BA517" t="s">
        <v>74</v>
      </c>
      <c r="BB517" t="s">
        <v>74</v>
      </c>
      <c r="BC517" t="s">
        <v>74</v>
      </c>
      <c r="BD517">
        <v>2249167</v>
      </c>
      <c r="BE517" t="s">
        <v>9259</v>
      </c>
      <c r="BF517" t="str">
        <f>HYPERLINK("http://dx.doi.org/10.1080/13803395.2023.2249167","http://dx.doi.org/10.1080/13803395.2023.2249167")</f>
        <v>http://dx.doi.org/10.1080/13803395.2023.2249167</v>
      </c>
      <c r="BG517" t="s">
        <v>74</v>
      </c>
      <c r="BH517" t="s">
        <v>74</v>
      </c>
      <c r="BI517">
        <v>7</v>
      </c>
      <c r="BJ517" t="s">
        <v>9260</v>
      </c>
      <c r="BK517" t="s">
        <v>123</v>
      </c>
      <c r="BL517" t="s">
        <v>9261</v>
      </c>
      <c r="BM517" t="s">
        <v>9262</v>
      </c>
      <c r="BN517">
        <v>37621191</v>
      </c>
      <c r="BO517" t="s">
        <v>887</v>
      </c>
      <c r="BP517" t="s">
        <v>74</v>
      </c>
      <c r="BQ517" t="s">
        <v>74</v>
      </c>
      <c r="BR517" t="s">
        <v>105</v>
      </c>
      <c r="BS517" t="s">
        <v>9263</v>
      </c>
      <c r="BT517" t="str">
        <f>HYPERLINK("https%3A%2F%2Fwww.webofscience.com%2Fwos%2Fwoscc%2Ffull-record%2FWOS:001054747600001","View Full Record in Web of Science")</f>
        <v>View Full Record in Web of Science</v>
      </c>
    </row>
    <row r="518" spans="1:72" x14ac:dyDescent="0.15">
      <c r="A518" t="s">
        <v>72</v>
      </c>
      <c r="B518" t="s">
        <v>9264</v>
      </c>
      <c r="C518" t="s">
        <v>74</v>
      </c>
      <c r="D518" t="s">
        <v>74</v>
      </c>
      <c r="E518" t="s">
        <v>74</v>
      </c>
      <c r="F518" t="s">
        <v>9265</v>
      </c>
      <c r="G518" t="s">
        <v>74</v>
      </c>
      <c r="H518" t="s">
        <v>74</v>
      </c>
      <c r="I518" t="s">
        <v>9266</v>
      </c>
      <c r="J518" t="s">
        <v>9267</v>
      </c>
      <c r="K518" t="s">
        <v>74</v>
      </c>
      <c r="L518" t="s">
        <v>74</v>
      </c>
      <c r="M518" t="s">
        <v>78</v>
      </c>
      <c r="N518" t="s">
        <v>5492</v>
      </c>
      <c r="O518" t="s">
        <v>74</v>
      </c>
      <c r="P518" t="s">
        <v>74</v>
      </c>
      <c r="Q518" t="s">
        <v>74</v>
      </c>
      <c r="R518" t="s">
        <v>74</v>
      </c>
      <c r="S518" t="s">
        <v>74</v>
      </c>
      <c r="T518" t="s">
        <v>9268</v>
      </c>
      <c r="U518" t="s">
        <v>9269</v>
      </c>
      <c r="V518" t="s">
        <v>9270</v>
      </c>
      <c r="W518" t="s">
        <v>9271</v>
      </c>
      <c r="X518" t="s">
        <v>9272</v>
      </c>
      <c r="Y518" t="s">
        <v>9273</v>
      </c>
      <c r="Z518" t="s">
        <v>9274</v>
      </c>
      <c r="AA518" t="s">
        <v>74</v>
      </c>
      <c r="AB518" t="s">
        <v>74</v>
      </c>
      <c r="AC518" t="s">
        <v>9275</v>
      </c>
      <c r="AD518" t="s">
        <v>9276</v>
      </c>
      <c r="AE518" t="s">
        <v>9277</v>
      </c>
      <c r="AF518" t="s">
        <v>74</v>
      </c>
      <c r="AG518">
        <v>46</v>
      </c>
      <c r="AH518">
        <v>0</v>
      </c>
      <c r="AI518">
        <v>0</v>
      </c>
      <c r="AJ518">
        <v>1</v>
      </c>
      <c r="AK518">
        <v>1</v>
      </c>
      <c r="AL518" t="s">
        <v>92</v>
      </c>
      <c r="AM518" t="s">
        <v>93</v>
      </c>
      <c r="AN518" t="s">
        <v>94</v>
      </c>
      <c r="AO518" t="s">
        <v>9278</v>
      </c>
      <c r="AP518" t="s">
        <v>9279</v>
      </c>
      <c r="AQ518" t="s">
        <v>74</v>
      </c>
      <c r="AR518" t="s">
        <v>9280</v>
      </c>
      <c r="AS518" t="s">
        <v>9281</v>
      </c>
      <c r="AT518" t="s">
        <v>9180</v>
      </c>
      <c r="AU518">
        <v>2023</v>
      </c>
      <c r="AV518" t="s">
        <v>74</v>
      </c>
      <c r="AW518" t="s">
        <v>74</v>
      </c>
      <c r="AX518" t="s">
        <v>74</v>
      </c>
      <c r="AY518" t="s">
        <v>74</v>
      </c>
      <c r="AZ518" t="s">
        <v>74</v>
      </c>
      <c r="BA518" t="s">
        <v>74</v>
      </c>
      <c r="BB518" t="s">
        <v>74</v>
      </c>
      <c r="BC518" t="s">
        <v>74</v>
      </c>
      <c r="BD518" t="s">
        <v>74</v>
      </c>
      <c r="BE518" t="s">
        <v>9282</v>
      </c>
      <c r="BF518" t="str">
        <f>HYPERLINK("http://dx.doi.org/10.1080/13588265.2023.2253040","http://dx.doi.org/10.1080/13588265.2023.2253040")</f>
        <v>http://dx.doi.org/10.1080/13588265.2023.2253040</v>
      </c>
      <c r="BG518" t="s">
        <v>74</v>
      </c>
      <c r="BH518" t="s">
        <v>8608</v>
      </c>
      <c r="BI518">
        <v>16</v>
      </c>
      <c r="BJ518" t="s">
        <v>9283</v>
      </c>
      <c r="BK518" t="s">
        <v>102</v>
      </c>
      <c r="BL518" t="s">
        <v>1095</v>
      </c>
      <c r="BM518" t="s">
        <v>9284</v>
      </c>
      <c r="BN518" t="s">
        <v>74</v>
      </c>
      <c r="BO518" t="s">
        <v>74</v>
      </c>
      <c r="BP518" t="s">
        <v>74</v>
      </c>
      <c r="BQ518" t="s">
        <v>74</v>
      </c>
      <c r="BR518" t="s">
        <v>105</v>
      </c>
      <c r="BS518" t="s">
        <v>9285</v>
      </c>
      <c r="BT518" t="str">
        <f>HYPERLINK("https%3A%2F%2Fwww.webofscience.com%2Fwos%2Fwoscc%2Ffull-record%2FWOS:001064699700001","View Full Record in Web of Science")</f>
        <v>View Full Record in Web of Science</v>
      </c>
    </row>
    <row r="519" spans="1:72" x14ac:dyDescent="0.15">
      <c r="A519" t="s">
        <v>72</v>
      </c>
      <c r="B519" t="s">
        <v>9286</v>
      </c>
      <c r="C519" t="s">
        <v>74</v>
      </c>
      <c r="D519" t="s">
        <v>74</v>
      </c>
      <c r="E519" t="s">
        <v>74</v>
      </c>
      <c r="F519" t="s">
        <v>9287</v>
      </c>
      <c r="G519" t="s">
        <v>74</v>
      </c>
      <c r="H519" t="s">
        <v>74</v>
      </c>
      <c r="I519" t="s">
        <v>9288</v>
      </c>
      <c r="J519" t="s">
        <v>5614</v>
      </c>
      <c r="K519" t="s">
        <v>74</v>
      </c>
      <c r="L519" t="s">
        <v>74</v>
      </c>
      <c r="M519" t="s">
        <v>78</v>
      </c>
      <c r="N519" t="s">
        <v>5492</v>
      </c>
      <c r="O519" t="s">
        <v>74</v>
      </c>
      <c r="P519" t="s">
        <v>74</v>
      </c>
      <c r="Q519" t="s">
        <v>74</v>
      </c>
      <c r="R519" t="s">
        <v>74</v>
      </c>
      <c r="S519" t="s">
        <v>74</v>
      </c>
      <c r="T519" t="s">
        <v>9289</v>
      </c>
      <c r="U519" t="s">
        <v>9290</v>
      </c>
      <c r="V519" t="s">
        <v>9291</v>
      </c>
      <c r="W519" t="s">
        <v>9292</v>
      </c>
      <c r="X519" t="s">
        <v>9293</v>
      </c>
      <c r="Y519" t="s">
        <v>9294</v>
      </c>
      <c r="Z519" t="s">
        <v>9295</v>
      </c>
      <c r="AA519" t="s">
        <v>74</v>
      </c>
      <c r="AB519" t="s">
        <v>74</v>
      </c>
      <c r="AC519" t="s">
        <v>9296</v>
      </c>
      <c r="AD519" t="s">
        <v>9296</v>
      </c>
      <c r="AE519" t="s">
        <v>9296</v>
      </c>
      <c r="AF519" t="s">
        <v>74</v>
      </c>
      <c r="AG519">
        <v>38</v>
      </c>
      <c r="AH519">
        <v>0</v>
      </c>
      <c r="AI519">
        <v>0</v>
      </c>
      <c r="AJ519">
        <v>0</v>
      </c>
      <c r="AK519">
        <v>0</v>
      </c>
      <c r="AL519" t="s">
        <v>92</v>
      </c>
      <c r="AM519" t="s">
        <v>93</v>
      </c>
      <c r="AN519" t="s">
        <v>94</v>
      </c>
      <c r="AO519" t="s">
        <v>5625</v>
      </c>
      <c r="AP519" t="s">
        <v>5626</v>
      </c>
      <c r="AQ519" t="s">
        <v>74</v>
      </c>
      <c r="AR519" t="s">
        <v>5627</v>
      </c>
      <c r="AS519" t="s">
        <v>5628</v>
      </c>
      <c r="AT519" t="s">
        <v>9297</v>
      </c>
      <c r="AU519">
        <v>2023</v>
      </c>
      <c r="AV519" t="s">
        <v>74</v>
      </c>
      <c r="AW519" t="s">
        <v>74</v>
      </c>
      <c r="AX519" t="s">
        <v>74</v>
      </c>
      <c r="AY519" t="s">
        <v>74</v>
      </c>
      <c r="AZ519" t="s">
        <v>74</v>
      </c>
      <c r="BA519" t="s">
        <v>74</v>
      </c>
      <c r="BB519" t="s">
        <v>74</v>
      </c>
      <c r="BC519" t="s">
        <v>74</v>
      </c>
      <c r="BD519" t="s">
        <v>74</v>
      </c>
      <c r="BE519" t="s">
        <v>9298</v>
      </c>
      <c r="BF519" t="str">
        <f>HYPERLINK("http://dx.doi.org/10.1080/24754269.2023.2250237","http://dx.doi.org/10.1080/24754269.2023.2250237")</f>
        <v>http://dx.doi.org/10.1080/24754269.2023.2250237</v>
      </c>
      <c r="BG519" t="s">
        <v>74</v>
      </c>
      <c r="BH519" t="s">
        <v>8608</v>
      </c>
      <c r="BI519">
        <v>14</v>
      </c>
      <c r="BJ519" t="s">
        <v>5630</v>
      </c>
      <c r="BK519" t="s">
        <v>211</v>
      </c>
      <c r="BL519" t="s">
        <v>5435</v>
      </c>
      <c r="BM519" t="s">
        <v>9299</v>
      </c>
      <c r="BN519" t="s">
        <v>74</v>
      </c>
      <c r="BO519" t="s">
        <v>126</v>
      </c>
      <c r="BP519" t="s">
        <v>74</v>
      </c>
      <c r="BQ519" t="s">
        <v>74</v>
      </c>
      <c r="BR519" t="s">
        <v>105</v>
      </c>
      <c r="BS519" t="s">
        <v>9300</v>
      </c>
      <c r="BT519" t="str">
        <f>HYPERLINK("https%3A%2F%2Fwww.webofscience.com%2Fwos%2Fwoscc%2Ffull-record%2FWOS:001061467700001","View Full Record in Web of Science")</f>
        <v>View Full Record in Web of Science</v>
      </c>
    </row>
    <row r="520" spans="1:72" x14ac:dyDescent="0.15">
      <c r="A520" t="s">
        <v>72</v>
      </c>
      <c r="B520" t="s">
        <v>9301</v>
      </c>
      <c r="C520" t="s">
        <v>74</v>
      </c>
      <c r="D520" t="s">
        <v>74</v>
      </c>
      <c r="E520" t="s">
        <v>74</v>
      </c>
      <c r="F520" t="s">
        <v>9302</v>
      </c>
      <c r="G520" t="s">
        <v>74</v>
      </c>
      <c r="H520" t="s">
        <v>74</v>
      </c>
      <c r="I520" t="s">
        <v>9303</v>
      </c>
      <c r="J520" t="s">
        <v>9304</v>
      </c>
      <c r="K520" t="s">
        <v>74</v>
      </c>
      <c r="L520" t="s">
        <v>74</v>
      </c>
      <c r="M520" t="s">
        <v>78</v>
      </c>
      <c r="N520" t="s">
        <v>79</v>
      </c>
      <c r="O520" t="s">
        <v>74</v>
      </c>
      <c r="P520" t="s">
        <v>74</v>
      </c>
      <c r="Q520" t="s">
        <v>74</v>
      </c>
      <c r="R520" t="s">
        <v>74</v>
      </c>
      <c r="S520" t="s">
        <v>74</v>
      </c>
      <c r="T520" t="s">
        <v>9305</v>
      </c>
      <c r="U520" t="s">
        <v>9306</v>
      </c>
      <c r="V520" t="s">
        <v>9307</v>
      </c>
      <c r="W520" t="s">
        <v>9308</v>
      </c>
      <c r="X520" t="s">
        <v>9309</v>
      </c>
      <c r="Y520" t="s">
        <v>9310</v>
      </c>
      <c r="Z520" t="s">
        <v>9311</v>
      </c>
      <c r="AA520" t="s">
        <v>74</v>
      </c>
      <c r="AB520" t="s">
        <v>74</v>
      </c>
      <c r="AC520" t="s">
        <v>74</v>
      </c>
      <c r="AD520" t="s">
        <v>74</v>
      </c>
      <c r="AE520" t="s">
        <v>74</v>
      </c>
      <c r="AF520" t="s">
        <v>74</v>
      </c>
      <c r="AG520">
        <v>51</v>
      </c>
      <c r="AH520">
        <v>0</v>
      </c>
      <c r="AI520">
        <v>0</v>
      </c>
      <c r="AJ520">
        <v>2</v>
      </c>
      <c r="AK520">
        <v>2</v>
      </c>
      <c r="AL520" t="s">
        <v>1188</v>
      </c>
      <c r="AM520" t="s">
        <v>93</v>
      </c>
      <c r="AN520" t="s">
        <v>1189</v>
      </c>
      <c r="AO520" t="s">
        <v>9312</v>
      </c>
      <c r="AP520" t="s">
        <v>9313</v>
      </c>
      <c r="AQ520" t="s">
        <v>74</v>
      </c>
      <c r="AR520" t="s">
        <v>9314</v>
      </c>
      <c r="AS520" t="s">
        <v>9315</v>
      </c>
      <c r="AT520" t="s">
        <v>9316</v>
      </c>
      <c r="AU520">
        <v>2023</v>
      </c>
      <c r="AV520" t="s">
        <v>74</v>
      </c>
      <c r="AW520" t="s">
        <v>74</v>
      </c>
      <c r="AX520" t="s">
        <v>74</v>
      </c>
      <c r="AY520" t="s">
        <v>74</v>
      </c>
      <c r="AZ520" t="s">
        <v>74</v>
      </c>
      <c r="BA520" t="s">
        <v>74</v>
      </c>
      <c r="BB520" t="s">
        <v>74</v>
      </c>
      <c r="BC520" t="s">
        <v>74</v>
      </c>
      <c r="BD520">
        <v>2248870</v>
      </c>
      <c r="BE520" t="s">
        <v>9317</v>
      </c>
      <c r="BF520" t="str">
        <f>HYPERLINK("http://dx.doi.org/10.1080/15388220.2023.2248870","http://dx.doi.org/10.1080/15388220.2023.2248870")</f>
        <v>http://dx.doi.org/10.1080/15388220.2023.2248870</v>
      </c>
      <c r="BG520" t="s">
        <v>74</v>
      </c>
      <c r="BH520" t="s">
        <v>74</v>
      </c>
      <c r="BI520">
        <v>14</v>
      </c>
      <c r="BJ520" t="s">
        <v>9318</v>
      </c>
      <c r="BK520" t="s">
        <v>272</v>
      </c>
      <c r="BL520" t="s">
        <v>9319</v>
      </c>
      <c r="BM520" t="s">
        <v>9320</v>
      </c>
      <c r="BN520" t="s">
        <v>74</v>
      </c>
      <c r="BO520" t="s">
        <v>74</v>
      </c>
      <c r="BP520" t="s">
        <v>74</v>
      </c>
      <c r="BQ520" t="s">
        <v>74</v>
      </c>
      <c r="BR520" t="s">
        <v>105</v>
      </c>
      <c r="BS520" t="s">
        <v>9321</v>
      </c>
      <c r="BT520" t="str">
        <f>HYPERLINK("https%3A%2F%2Fwww.webofscience.com%2Fwos%2Fwoscc%2Ffull-record%2FWOS:001053462200001","View Full Record in Web of Science")</f>
        <v>View Full Record in Web of Science</v>
      </c>
    </row>
    <row r="521" spans="1:72" x14ac:dyDescent="0.15">
      <c r="A521" t="s">
        <v>72</v>
      </c>
      <c r="B521" t="s">
        <v>9322</v>
      </c>
      <c r="C521" t="s">
        <v>74</v>
      </c>
      <c r="D521" t="s">
        <v>74</v>
      </c>
      <c r="E521" t="s">
        <v>74</v>
      </c>
      <c r="F521" t="s">
        <v>9323</v>
      </c>
      <c r="G521" t="s">
        <v>74</v>
      </c>
      <c r="H521" t="s">
        <v>74</v>
      </c>
      <c r="I521" t="s">
        <v>9324</v>
      </c>
      <c r="J521" t="s">
        <v>6486</v>
      </c>
      <c r="K521" t="s">
        <v>74</v>
      </c>
      <c r="L521" t="s">
        <v>74</v>
      </c>
      <c r="M521" t="s">
        <v>78</v>
      </c>
      <c r="N521" t="s">
        <v>5492</v>
      </c>
      <c r="O521" t="s">
        <v>74</v>
      </c>
      <c r="P521" t="s">
        <v>74</v>
      </c>
      <c r="Q521" t="s">
        <v>74</v>
      </c>
      <c r="R521" t="s">
        <v>74</v>
      </c>
      <c r="S521" t="s">
        <v>74</v>
      </c>
      <c r="T521" t="s">
        <v>9325</v>
      </c>
      <c r="U521" t="s">
        <v>74</v>
      </c>
      <c r="V521" t="s">
        <v>9326</v>
      </c>
      <c r="W521" t="s">
        <v>9327</v>
      </c>
      <c r="X521" t="s">
        <v>9328</v>
      </c>
      <c r="Y521" t="s">
        <v>9329</v>
      </c>
      <c r="Z521" t="s">
        <v>9330</v>
      </c>
      <c r="AA521" t="s">
        <v>74</v>
      </c>
      <c r="AB521" t="s">
        <v>9331</v>
      </c>
      <c r="AC521" t="s">
        <v>74</v>
      </c>
      <c r="AD521" t="s">
        <v>74</v>
      </c>
      <c r="AE521" t="s">
        <v>74</v>
      </c>
      <c r="AF521" t="s">
        <v>74</v>
      </c>
      <c r="AG521">
        <v>19</v>
      </c>
      <c r="AH521">
        <v>0</v>
      </c>
      <c r="AI521">
        <v>0</v>
      </c>
      <c r="AJ521">
        <v>1</v>
      </c>
      <c r="AK521">
        <v>1</v>
      </c>
      <c r="AL521" t="s">
        <v>184</v>
      </c>
      <c r="AM521" t="s">
        <v>185</v>
      </c>
      <c r="AN521" t="s">
        <v>186</v>
      </c>
      <c r="AO521" t="s">
        <v>6495</v>
      </c>
      <c r="AP521" t="s">
        <v>6496</v>
      </c>
      <c r="AQ521" t="s">
        <v>74</v>
      </c>
      <c r="AR521" t="s">
        <v>6497</v>
      </c>
      <c r="AS521" t="s">
        <v>6498</v>
      </c>
      <c r="AT521" t="s">
        <v>9297</v>
      </c>
      <c r="AU521">
        <v>2023</v>
      </c>
      <c r="AV521" t="s">
        <v>74</v>
      </c>
      <c r="AW521" t="s">
        <v>74</v>
      </c>
      <c r="AX521" t="s">
        <v>74</v>
      </c>
      <c r="AY521" t="s">
        <v>74</v>
      </c>
      <c r="AZ521" t="s">
        <v>74</v>
      </c>
      <c r="BA521" t="s">
        <v>74</v>
      </c>
      <c r="BB521" t="s">
        <v>74</v>
      </c>
      <c r="BC521" t="s">
        <v>74</v>
      </c>
      <c r="BD521" t="s">
        <v>74</v>
      </c>
      <c r="BE521" t="s">
        <v>9332</v>
      </c>
      <c r="BF521" t="str">
        <f>HYPERLINK("http://dx.doi.org/10.1080/09273948.2023.2246543","http://dx.doi.org/10.1080/09273948.2023.2246543")</f>
        <v>http://dx.doi.org/10.1080/09273948.2023.2246543</v>
      </c>
      <c r="BG521" t="s">
        <v>74</v>
      </c>
      <c r="BH521" t="s">
        <v>8608</v>
      </c>
      <c r="BI521">
        <v>6</v>
      </c>
      <c r="BJ521" t="s">
        <v>6501</v>
      </c>
      <c r="BK521" t="s">
        <v>102</v>
      </c>
      <c r="BL521" t="s">
        <v>6501</v>
      </c>
      <c r="BM521" t="s">
        <v>9333</v>
      </c>
      <c r="BN521">
        <v>37652695</v>
      </c>
      <c r="BO521" t="s">
        <v>74</v>
      </c>
      <c r="BP521" t="s">
        <v>74</v>
      </c>
      <c r="BQ521" t="s">
        <v>74</v>
      </c>
      <c r="BR521" t="s">
        <v>105</v>
      </c>
      <c r="BS521" t="s">
        <v>9334</v>
      </c>
      <c r="BT521" t="str">
        <f>HYPERLINK("https%3A%2F%2Fwww.webofscience.com%2Fwos%2Fwoscc%2Ffull-record%2FWOS:001056911000001","View Full Record in Web of Science")</f>
        <v>View Full Record in Web of Science</v>
      </c>
    </row>
    <row r="522" spans="1:72" x14ac:dyDescent="0.15">
      <c r="A522" t="s">
        <v>72</v>
      </c>
      <c r="B522" t="s">
        <v>9335</v>
      </c>
      <c r="C522" t="s">
        <v>74</v>
      </c>
      <c r="D522" t="s">
        <v>74</v>
      </c>
      <c r="E522" t="s">
        <v>74</v>
      </c>
      <c r="F522" t="s">
        <v>9336</v>
      </c>
      <c r="G522" t="s">
        <v>74</v>
      </c>
      <c r="H522" t="s">
        <v>74</v>
      </c>
      <c r="I522" t="s">
        <v>9337</v>
      </c>
      <c r="J522" t="s">
        <v>9338</v>
      </c>
      <c r="K522" t="s">
        <v>74</v>
      </c>
      <c r="L522" t="s">
        <v>74</v>
      </c>
      <c r="M522" t="s">
        <v>78</v>
      </c>
      <c r="N522" t="s">
        <v>79</v>
      </c>
      <c r="O522" t="s">
        <v>74</v>
      </c>
      <c r="P522" t="s">
        <v>74</v>
      </c>
      <c r="Q522" t="s">
        <v>74</v>
      </c>
      <c r="R522" t="s">
        <v>74</v>
      </c>
      <c r="S522" t="s">
        <v>74</v>
      </c>
      <c r="T522" t="s">
        <v>9339</v>
      </c>
      <c r="U522" t="s">
        <v>9340</v>
      </c>
      <c r="V522" t="s">
        <v>9341</v>
      </c>
      <c r="W522" t="s">
        <v>9342</v>
      </c>
      <c r="X522" t="s">
        <v>9343</v>
      </c>
      <c r="Y522" t="s">
        <v>9344</v>
      </c>
      <c r="Z522" t="s">
        <v>9345</v>
      </c>
      <c r="AA522" t="s">
        <v>74</v>
      </c>
      <c r="AB522" t="s">
        <v>74</v>
      </c>
      <c r="AC522" t="s">
        <v>9346</v>
      </c>
      <c r="AD522" t="s">
        <v>1368</v>
      </c>
      <c r="AE522" t="s">
        <v>9347</v>
      </c>
      <c r="AF522" t="s">
        <v>74</v>
      </c>
      <c r="AG522">
        <v>89</v>
      </c>
      <c r="AH522">
        <v>0</v>
      </c>
      <c r="AI522">
        <v>0</v>
      </c>
      <c r="AJ522">
        <v>8</v>
      </c>
      <c r="AK522">
        <v>8</v>
      </c>
      <c r="AL522" t="s">
        <v>1188</v>
      </c>
      <c r="AM522" t="s">
        <v>93</v>
      </c>
      <c r="AN522" t="s">
        <v>1189</v>
      </c>
      <c r="AO522" t="s">
        <v>9348</v>
      </c>
      <c r="AP522" t="s">
        <v>9349</v>
      </c>
      <c r="AQ522" t="s">
        <v>74</v>
      </c>
      <c r="AR522" t="s">
        <v>9350</v>
      </c>
      <c r="AS522" t="s">
        <v>9351</v>
      </c>
      <c r="AT522" t="s">
        <v>9316</v>
      </c>
      <c r="AU522">
        <v>2023</v>
      </c>
      <c r="AV522" t="s">
        <v>74</v>
      </c>
      <c r="AW522" t="s">
        <v>74</v>
      </c>
      <c r="AX522" t="s">
        <v>74</v>
      </c>
      <c r="AY522" t="s">
        <v>74</v>
      </c>
      <c r="AZ522" t="s">
        <v>74</v>
      </c>
      <c r="BA522" t="s">
        <v>74</v>
      </c>
      <c r="BB522" t="s">
        <v>74</v>
      </c>
      <c r="BC522" t="s">
        <v>74</v>
      </c>
      <c r="BD522">
        <v>2251004</v>
      </c>
      <c r="BE522" t="s">
        <v>9352</v>
      </c>
      <c r="BF522" t="str">
        <f>HYPERLINK("http://dx.doi.org/10.1080/10438599.2023.2251004","http://dx.doi.org/10.1080/10438599.2023.2251004")</f>
        <v>http://dx.doi.org/10.1080/10438599.2023.2251004</v>
      </c>
      <c r="BG522" t="s">
        <v>74</v>
      </c>
      <c r="BH522" t="s">
        <v>74</v>
      </c>
      <c r="BI522">
        <v>35</v>
      </c>
      <c r="BJ522" t="s">
        <v>373</v>
      </c>
      <c r="BK522" t="s">
        <v>272</v>
      </c>
      <c r="BL522" t="s">
        <v>295</v>
      </c>
      <c r="BM522" t="s">
        <v>9353</v>
      </c>
      <c r="BN522" t="s">
        <v>74</v>
      </c>
      <c r="BO522" t="s">
        <v>74</v>
      </c>
      <c r="BP522" t="s">
        <v>74</v>
      </c>
      <c r="BQ522" t="s">
        <v>74</v>
      </c>
      <c r="BR522" t="s">
        <v>105</v>
      </c>
      <c r="BS522" t="s">
        <v>9354</v>
      </c>
      <c r="BT522" t="str">
        <f>HYPERLINK("https%3A%2F%2Fwww.webofscience.com%2Fwos%2Fwoscc%2Ffull-record%2FWOS:001054061900001","View Full Record in Web of Science")</f>
        <v>View Full Record in Web of Science</v>
      </c>
    </row>
    <row r="523" spans="1:72" x14ac:dyDescent="0.15">
      <c r="A523" t="s">
        <v>72</v>
      </c>
      <c r="B523" t="s">
        <v>9355</v>
      </c>
      <c r="C523" t="s">
        <v>74</v>
      </c>
      <c r="D523" t="s">
        <v>74</v>
      </c>
      <c r="E523" t="s">
        <v>74</v>
      </c>
      <c r="F523" t="s">
        <v>9356</v>
      </c>
      <c r="G523" t="s">
        <v>74</v>
      </c>
      <c r="H523" t="s">
        <v>74</v>
      </c>
      <c r="I523" t="s">
        <v>9357</v>
      </c>
      <c r="J523" t="s">
        <v>9358</v>
      </c>
      <c r="K523" t="s">
        <v>74</v>
      </c>
      <c r="L523" t="s">
        <v>74</v>
      </c>
      <c r="M523" t="s">
        <v>78</v>
      </c>
      <c r="N523" t="s">
        <v>5492</v>
      </c>
      <c r="O523" t="s">
        <v>74</v>
      </c>
      <c r="P523" t="s">
        <v>74</v>
      </c>
      <c r="Q523" t="s">
        <v>74</v>
      </c>
      <c r="R523" t="s">
        <v>74</v>
      </c>
      <c r="S523" t="s">
        <v>74</v>
      </c>
      <c r="T523" t="s">
        <v>9359</v>
      </c>
      <c r="U523" t="s">
        <v>74</v>
      </c>
      <c r="V523" t="s">
        <v>9360</v>
      </c>
      <c r="W523" t="s">
        <v>9361</v>
      </c>
      <c r="X523" t="s">
        <v>9362</v>
      </c>
      <c r="Y523" t="s">
        <v>9363</v>
      </c>
      <c r="Z523" t="s">
        <v>9364</v>
      </c>
      <c r="AA523" t="s">
        <v>74</v>
      </c>
      <c r="AB523" t="s">
        <v>9365</v>
      </c>
      <c r="AC523" t="s">
        <v>74</v>
      </c>
      <c r="AD523" t="s">
        <v>74</v>
      </c>
      <c r="AE523" t="s">
        <v>74</v>
      </c>
      <c r="AF523" t="s">
        <v>74</v>
      </c>
      <c r="AG523">
        <v>24</v>
      </c>
      <c r="AH523">
        <v>0</v>
      </c>
      <c r="AI523">
        <v>0</v>
      </c>
      <c r="AJ523">
        <v>0</v>
      </c>
      <c r="AK523">
        <v>0</v>
      </c>
      <c r="AL523" t="s">
        <v>92</v>
      </c>
      <c r="AM523" t="s">
        <v>93</v>
      </c>
      <c r="AN523" t="s">
        <v>94</v>
      </c>
      <c r="AO523" t="s">
        <v>9366</v>
      </c>
      <c r="AP523" t="s">
        <v>9367</v>
      </c>
      <c r="AQ523" t="s">
        <v>74</v>
      </c>
      <c r="AR523" t="s">
        <v>9368</v>
      </c>
      <c r="AS523" t="s">
        <v>9369</v>
      </c>
      <c r="AT523" t="s">
        <v>9297</v>
      </c>
      <c r="AU523">
        <v>2023</v>
      </c>
      <c r="AV523" t="s">
        <v>74</v>
      </c>
      <c r="AW523" t="s">
        <v>74</v>
      </c>
      <c r="AX523" t="s">
        <v>74</v>
      </c>
      <c r="AY523" t="s">
        <v>74</v>
      </c>
      <c r="AZ523" t="s">
        <v>74</v>
      </c>
      <c r="BA523" t="s">
        <v>74</v>
      </c>
      <c r="BB523" t="s">
        <v>74</v>
      </c>
      <c r="BC523" t="s">
        <v>74</v>
      </c>
      <c r="BD523" t="s">
        <v>74</v>
      </c>
      <c r="BE523" t="s">
        <v>9370</v>
      </c>
      <c r="BF523" t="str">
        <f>HYPERLINK("http://dx.doi.org/10.1080/17543266.2023.2250820","http://dx.doi.org/10.1080/17543266.2023.2250820")</f>
        <v>http://dx.doi.org/10.1080/17543266.2023.2250820</v>
      </c>
      <c r="BG523" t="s">
        <v>74</v>
      </c>
      <c r="BH523" t="s">
        <v>8608</v>
      </c>
      <c r="BI523">
        <v>7</v>
      </c>
      <c r="BJ523" t="s">
        <v>9371</v>
      </c>
      <c r="BK523" t="s">
        <v>211</v>
      </c>
      <c r="BL523" t="s">
        <v>9372</v>
      </c>
      <c r="BM523" t="s">
        <v>9373</v>
      </c>
      <c r="BN523" t="s">
        <v>74</v>
      </c>
      <c r="BO523" t="s">
        <v>887</v>
      </c>
      <c r="BP523" t="s">
        <v>74</v>
      </c>
      <c r="BQ523" t="s">
        <v>74</v>
      </c>
      <c r="BR523" t="s">
        <v>105</v>
      </c>
      <c r="BS523" t="s">
        <v>9374</v>
      </c>
      <c r="BT523" t="str">
        <f>HYPERLINK("https%3A%2F%2Fwww.webofscience.com%2Fwos%2Fwoscc%2Ffull-record%2FWOS:001058836500001","View Full Record in Web of Science")</f>
        <v>View Full Record in Web of Science</v>
      </c>
    </row>
    <row r="524" spans="1:72" x14ac:dyDescent="0.15">
      <c r="A524" t="s">
        <v>72</v>
      </c>
      <c r="B524" t="s">
        <v>9375</v>
      </c>
      <c r="C524" t="s">
        <v>74</v>
      </c>
      <c r="D524" t="s">
        <v>74</v>
      </c>
      <c r="E524" t="s">
        <v>74</v>
      </c>
      <c r="F524" t="s">
        <v>9376</v>
      </c>
      <c r="G524" t="s">
        <v>74</v>
      </c>
      <c r="H524" t="s">
        <v>74</v>
      </c>
      <c r="I524" t="s">
        <v>9377</v>
      </c>
      <c r="J524" t="s">
        <v>9378</v>
      </c>
      <c r="K524" t="s">
        <v>74</v>
      </c>
      <c r="L524" t="s">
        <v>74</v>
      </c>
      <c r="M524" t="s">
        <v>78</v>
      </c>
      <c r="N524" t="s">
        <v>5492</v>
      </c>
      <c r="O524" t="s">
        <v>74</v>
      </c>
      <c r="P524" t="s">
        <v>74</v>
      </c>
      <c r="Q524" t="s">
        <v>74</v>
      </c>
      <c r="R524" t="s">
        <v>74</v>
      </c>
      <c r="S524" t="s">
        <v>74</v>
      </c>
      <c r="T524" t="s">
        <v>9379</v>
      </c>
      <c r="U524" t="s">
        <v>9380</v>
      </c>
      <c r="V524" t="s">
        <v>9381</v>
      </c>
      <c r="W524" t="s">
        <v>9382</v>
      </c>
      <c r="X524" t="s">
        <v>74</v>
      </c>
      <c r="Y524" t="s">
        <v>9383</v>
      </c>
      <c r="Z524" t="s">
        <v>9384</v>
      </c>
      <c r="AA524" t="s">
        <v>74</v>
      </c>
      <c r="AB524" t="s">
        <v>9385</v>
      </c>
      <c r="AC524" t="s">
        <v>74</v>
      </c>
      <c r="AD524" t="s">
        <v>74</v>
      </c>
      <c r="AE524" t="s">
        <v>74</v>
      </c>
      <c r="AF524" t="s">
        <v>74</v>
      </c>
      <c r="AG524">
        <v>39</v>
      </c>
      <c r="AH524">
        <v>0</v>
      </c>
      <c r="AI524">
        <v>0</v>
      </c>
      <c r="AJ524">
        <v>1</v>
      </c>
      <c r="AK524">
        <v>1</v>
      </c>
      <c r="AL524" t="s">
        <v>92</v>
      </c>
      <c r="AM524" t="s">
        <v>93</v>
      </c>
      <c r="AN524" t="s">
        <v>94</v>
      </c>
      <c r="AO524" t="s">
        <v>9386</v>
      </c>
      <c r="AP524" t="s">
        <v>9387</v>
      </c>
      <c r="AQ524" t="s">
        <v>74</v>
      </c>
      <c r="AR524" t="s">
        <v>9388</v>
      </c>
      <c r="AS524" t="s">
        <v>9389</v>
      </c>
      <c r="AT524" t="s">
        <v>9297</v>
      </c>
      <c r="AU524">
        <v>2023</v>
      </c>
      <c r="AV524" t="s">
        <v>74</v>
      </c>
      <c r="AW524" t="s">
        <v>74</v>
      </c>
      <c r="AX524" t="s">
        <v>74</v>
      </c>
      <c r="AY524" t="s">
        <v>74</v>
      </c>
      <c r="AZ524" t="s">
        <v>74</v>
      </c>
      <c r="BA524" t="s">
        <v>74</v>
      </c>
      <c r="BB524" t="s">
        <v>74</v>
      </c>
      <c r="BC524" t="s">
        <v>74</v>
      </c>
      <c r="BD524" t="s">
        <v>74</v>
      </c>
      <c r="BE524" t="s">
        <v>9390</v>
      </c>
      <c r="BF524" t="str">
        <f>HYPERLINK("http://dx.doi.org/10.1080/0142159X.2023.2249212","http://dx.doi.org/10.1080/0142159X.2023.2249212")</f>
        <v>http://dx.doi.org/10.1080/0142159X.2023.2249212</v>
      </c>
      <c r="BG524" t="s">
        <v>74</v>
      </c>
      <c r="BH524" t="s">
        <v>8608</v>
      </c>
      <c r="BI524">
        <v>9</v>
      </c>
      <c r="BJ524" t="s">
        <v>9391</v>
      </c>
      <c r="BK524" t="s">
        <v>102</v>
      </c>
      <c r="BL524" t="s">
        <v>9392</v>
      </c>
      <c r="BM524" t="s">
        <v>9393</v>
      </c>
      <c r="BN524">
        <v>37634062</v>
      </c>
      <c r="BO524" t="s">
        <v>74</v>
      </c>
      <c r="BP524" t="s">
        <v>74</v>
      </c>
      <c r="BQ524" t="s">
        <v>74</v>
      </c>
      <c r="BR524" t="s">
        <v>105</v>
      </c>
      <c r="BS524" t="s">
        <v>9394</v>
      </c>
      <c r="BT524" t="str">
        <f>HYPERLINK("https%3A%2F%2Fwww.webofscience.com%2Fwos%2Fwoscc%2Ffull-record%2FWOS:001059999500001","View Full Record in Web of Science")</f>
        <v>View Full Record in Web of Science</v>
      </c>
    </row>
    <row r="525" spans="1:72" x14ac:dyDescent="0.15">
      <c r="A525" t="s">
        <v>72</v>
      </c>
      <c r="B525" t="s">
        <v>9395</v>
      </c>
      <c r="C525" t="s">
        <v>74</v>
      </c>
      <c r="D525" t="s">
        <v>74</v>
      </c>
      <c r="E525" t="s">
        <v>74</v>
      </c>
      <c r="F525" t="s">
        <v>9396</v>
      </c>
      <c r="G525" t="s">
        <v>74</v>
      </c>
      <c r="H525" t="s">
        <v>74</v>
      </c>
      <c r="I525" t="s">
        <v>9397</v>
      </c>
      <c r="J525" t="s">
        <v>9398</v>
      </c>
      <c r="K525" t="s">
        <v>74</v>
      </c>
      <c r="L525" t="s">
        <v>74</v>
      </c>
      <c r="M525" t="s">
        <v>78</v>
      </c>
      <c r="N525" t="s">
        <v>5492</v>
      </c>
      <c r="O525" t="s">
        <v>74</v>
      </c>
      <c r="P525" t="s">
        <v>74</v>
      </c>
      <c r="Q525" t="s">
        <v>74</v>
      </c>
      <c r="R525" t="s">
        <v>74</v>
      </c>
      <c r="S525" t="s">
        <v>74</v>
      </c>
      <c r="T525" t="s">
        <v>9399</v>
      </c>
      <c r="U525" t="s">
        <v>9400</v>
      </c>
      <c r="V525" t="s">
        <v>9401</v>
      </c>
      <c r="W525" t="s">
        <v>9402</v>
      </c>
      <c r="X525" t="s">
        <v>9403</v>
      </c>
      <c r="Y525" t="s">
        <v>9404</v>
      </c>
      <c r="Z525" t="s">
        <v>9405</v>
      </c>
      <c r="AA525" t="s">
        <v>9406</v>
      </c>
      <c r="AB525" t="s">
        <v>9407</v>
      </c>
      <c r="AC525" t="s">
        <v>9408</v>
      </c>
      <c r="AD525" t="s">
        <v>9409</v>
      </c>
      <c r="AE525" t="s">
        <v>9410</v>
      </c>
      <c r="AF525" t="s">
        <v>74</v>
      </c>
      <c r="AG525">
        <v>54</v>
      </c>
      <c r="AH525">
        <v>0</v>
      </c>
      <c r="AI525">
        <v>0</v>
      </c>
      <c r="AJ525">
        <v>0</v>
      </c>
      <c r="AK525">
        <v>0</v>
      </c>
      <c r="AL525" t="s">
        <v>92</v>
      </c>
      <c r="AM525" t="s">
        <v>93</v>
      </c>
      <c r="AN525" t="s">
        <v>94</v>
      </c>
      <c r="AO525" t="s">
        <v>9411</v>
      </c>
      <c r="AP525" t="s">
        <v>9412</v>
      </c>
      <c r="AQ525" t="s">
        <v>74</v>
      </c>
      <c r="AR525" t="s">
        <v>9413</v>
      </c>
      <c r="AS525" t="s">
        <v>9414</v>
      </c>
      <c r="AT525" t="s">
        <v>9297</v>
      </c>
      <c r="AU525">
        <v>2023</v>
      </c>
      <c r="AV525" t="s">
        <v>74</v>
      </c>
      <c r="AW525" t="s">
        <v>74</v>
      </c>
      <c r="AX525" t="s">
        <v>74</v>
      </c>
      <c r="AY525" t="s">
        <v>74</v>
      </c>
      <c r="AZ525" t="s">
        <v>74</v>
      </c>
      <c r="BA525" t="s">
        <v>74</v>
      </c>
      <c r="BB525" t="s">
        <v>74</v>
      </c>
      <c r="BC525" t="s">
        <v>74</v>
      </c>
      <c r="BD525" t="s">
        <v>74</v>
      </c>
      <c r="BE525" t="s">
        <v>9415</v>
      </c>
      <c r="BF525" t="str">
        <f>HYPERLINK("http://dx.doi.org/10.1080/02640414.2023.2249756","http://dx.doi.org/10.1080/02640414.2023.2249756")</f>
        <v>http://dx.doi.org/10.1080/02640414.2023.2249756</v>
      </c>
      <c r="BG525" t="s">
        <v>74</v>
      </c>
      <c r="BH525" t="s">
        <v>8608</v>
      </c>
      <c r="BI525">
        <v>8</v>
      </c>
      <c r="BJ525" t="s">
        <v>9416</v>
      </c>
      <c r="BK525" t="s">
        <v>102</v>
      </c>
      <c r="BL525" t="s">
        <v>9416</v>
      </c>
      <c r="BM525" t="s">
        <v>9417</v>
      </c>
      <c r="BN525">
        <v>37615327</v>
      </c>
      <c r="BO525" t="s">
        <v>74</v>
      </c>
      <c r="BP525" t="s">
        <v>74</v>
      </c>
      <c r="BQ525" t="s">
        <v>74</v>
      </c>
      <c r="BR525" t="s">
        <v>105</v>
      </c>
      <c r="BS525" t="s">
        <v>9418</v>
      </c>
      <c r="BT525" t="str">
        <f>HYPERLINK("https%3A%2F%2Fwww.webofscience.com%2Fwos%2Fwoscc%2Ffull-record%2FWOS:001060204000001","View Full Record in Web of Science")</f>
        <v>View Full Record in Web of Science</v>
      </c>
    </row>
    <row r="526" spans="1:72" x14ac:dyDescent="0.15">
      <c r="A526" t="s">
        <v>72</v>
      </c>
      <c r="B526" t="s">
        <v>9419</v>
      </c>
      <c r="C526" t="s">
        <v>74</v>
      </c>
      <c r="D526" t="s">
        <v>74</v>
      </c>
      <c r="E526" t="s">
        <v>74</v>
      </c>
      <c r="F526" t="s">
        <v>9420</v>
      </c>
      <c r="G526" t="s">
        <v>74</v>
      </c>
      <c r="H526" t="s">
        <v>74</v>
      </c>
      <c r="I526" t="s">
        <v>9421</v>
      </c>
      <c r="J526" t="s">
        <v>9422</v>
      </c>
      <c r="K526" t="s">
        <v>74</v>
      </c>
      <c r="L526" t="s">
        <v>74</v>
      </c>
      <c r="M526" t="s">
        <v>78</v>
      </c>
      <c r="N526" t="s">
        <v>171</v>
      </c>
      <c r="O526" t="s">
        <v>74</v>
      </c>
      <c r="P526" t="s">
        <v>74</v>
      </c>
      <c r="Q526" t="s">
        <v>74</v>
      </c>
      <c r="R526" t="s">
        <v>74</v>
      </c>
      <c r="S526" t="s">
        <v>74</v>
      </c>
      <c r="T526" t="s">
        <v>9423</v>
      </c>
      <c r="U526" t="s">
        <v>9424</v>
      </c>
      <c r="V526" t="s">
        <v>9425</v>
      </c>
      <c r="W526" t="s">
        <v>9426</v>
      </c>
      <c r="X526" t="s">
        <v>9427</v>
      </c>
      <c r="Y526" t="s">
        <v>9428</v>
      </c>
      <c r="Z526" t="s">
        <v>9429</v>
      </c>
      <c r="AA526" t="s">
        <v>74</v>
      </c>
      <c r="AB526" t="s">
        <v>9430</v>
      </c>
      <c r="AC526" t="s">
        <v>9431</v>
      </c>
      <c r="AD526" t="s">
        <v>9431</v>
      </c>
      <c r="AE526" t="s">
        <v>9432</v>
      </c>
      <c r="AF526" t="s">
        <v>74</v>
      </c>
      <c r="AG526">
        <v>71</v>
      </c>
      <c r="AH526">
        <v>0</v>
      </c>
      <c r="AI526">
        <v>0</v>
      </c>
      <c r="AJ526">
        <v>2</v>
      </c>
      <c r="AK526">
        <v>2</v>
      </c>
      <c r="AL526" t="s">
        <v>92</v>
      </c>
      <c r="AM526" t="s">
        <v>93</v>
      </c>
      <c r="AN526" t="s">
        <v>94</v>
      </c>
      <c r="AO526" t="s">
        <v>9433</v>
      </c>
      <c r="AP526" t="s">
        <v>9434</v>
      </c>
      <c r="AQ526" t="s">
        <v>74</v>
      </c>
      <c r="AR526" t="s">
        <v>9435</v>
      </c>
      <c r="AS526" t="s">
        <v>9436</v>
      </c>
      <c r="AT526" t="s">
        <v>9316</v>
      </c>
      <c r="AU526">
        <v>2023</v>
      </c>
      <c r="AV526" t="s">
        <v>74</v>
      </c>
      <c r="AW526" t="s">
        <v>74</v>
      </c>
      <c r="AX526" t="s">
        <v>74</v>
      </c>
      <c r="AY526" t="s">
        <v>74</v>
      </c>
      <c r="AZ526" t="s">
        <v>74</v>
      </c>
      <c r="BA526" t="s">
        <v>74</v>
      </c>
      <c r="BB526" t="s">
        <v>74</v>
      </c>
      <c r="BC526" t="s">
        <v>74</v>
      </c>
      <c r="BD526">
        <v>2249410</v>
      </c>
      <c r="BE526" t="s">
        <v>9437</v>
      </c>
      <c r="BF526" t="str">
        <f>HYPERLINK("http://dx.doi.org/10.1080/03036758.2023.2249410","http://dx.doi.org/10.1080/03036758.2023.2249410")</f>
        <v>http://dx.doi.org/10.1080/03036758.2023.2249410</v>
      </c>
      <c r="BG526" t="s">
        <v>74</v>
      </c>
      <c r="BH526" t="s">
        <v>74</v>
      </c>
      <c r="BI526">
        <v>14</v>
      </c>
      <c r="BJ526" t="s">
        <v>352</v>
      </c>
      <c r="BK526" t="s">
        <v>102</v>
      </c>
      <c r="BL526" t="s">
        <v>353</v>
      </c>
      <c r="BM526" t="s">
        <v>9438</v>
      </c>
      <c r="BN526" t="s">
        <v>74</v>
      </c>
      <c r="BO526" t="s">
        <v>887</v>
      </c>
      <c r="BP526" t="s">
        <v>74</v>
      </c>
      <c r="BQ526" t="s">
        <v>74</v>
      </c>
      <c r="BR526" t="s">
        <v>105</v>
      </c>
      <c r="BS526" t="s">
        <v>9439</v>
      </c>
      <c r="BT526" t="str">
        <f>HYPERLINK("https%3A%2F%2Fwww.webofscience.com%2Fwos%2Fwoscc%2Ffull-record%2FWOS:001053984100001","View Full Record in Web of Science")</f>
        <v>View Full Record in Web of Science</v>
      </c>
    </row>
    <row r="527" spans="1:72" x14ac:dyDescent="0.15">
      <c r="A527" t="s">
        <v>72</v>
      </c>
      <c r="B527" t="s">
        <v>9440</v>
      </c>
      <c r="C527" t="s">
        <v>74</v>
      </c>
      <c r="D527" t="s">
        <v>74</v>
      </c>
      <c r="E527" t="s">
        <v>74</v>
      </c>
      <c r="F527" t="s">
        <v>9441</v>
      </c>
      <c r="G527" t="s">
        <v>74</v>
      </c>
      <c r="H527" t="s">
        <v>74</v>
      </c>
      <c r="I527" t="s">
        <v>9442</v>
      </c>
      <c r="J527" t="s">
        <v>9443</v>
      </c>
      <c r="K527" t="s">
        <v>74</v>
      </c>
      <c r="L527" t="s">
        <v>74</v>
      </c>
      <c r="M527" t="s">
        <v>78</v>
      </c>
      <c r="N527" t="s">
        <v>5492</v>
      </c>
      <c r="O527" t="s">
        <v>74</v>
      </c>
      <c r="P527" t="s">
        <v>74</v>
      </c>
      <c r="Q527" t="s">
        <v>74</v>
      </c>
      <c r="R527" t="s">
        <v>74</v>
      </c>
      <c r="S527" t="s">
        <v>74</v>
      </c>
      <c r="T527" t="s">
        <v>9444</v>
      </c>
      <c r="U527" t="s">
        <v>9445</v>
      </c>
      <c r="V527" t="s">
        <v>9446</v>
      </c>
      <c r="W527" t="s">
        <v>9447</v>
      </c>
      <c r="X527" t="s">
        <v>9448</v>
      </c>
      <c r="Y527" t="s">
        <v>9449</v>
      </c>
      <c r="Z527" t="s">
        <v>9450</v>
      </c>
      <c r="AA527" t="s">
        <v>74</v>
      </c>
      <c r="AB527" t="s">
        <v>9451</v>
      </c>
      <c r="AC527" t="s">
        <v>9452</v>
      </c>
      <c r="AD527" t="s">
        <v>9453</v>
      </c>
      <c r="AE527" t="s">
        <v>9454</v>
      </c>
      <c r="AF527" t="s">
        <v>74</v>
      </c>
      <c r="AG527">
        <v>46</v>
      </c>
      <c r="AH527">
        <v>0</v>
      </c>
      <c r="AI527">
        <v>0</v>
      </c>
      <c r="AJ527">
        <v>0</v>
      </c>
      <c r="AK527">
        <v>0</v>
      </c>
      <c r="AL527" t="s">
        <v>92</v>
      </c>
      <c r="AM527" t="s">
        <v>93</v>
      </c>
      <c r="AN527" t="s">
        <v>94</v>
      </c>
      <c r="AO527" t="s">
        <v>9455</v>
      </c>
      <c r="AP527" t="s">
        <v>9456</v>
      </c>
      <c r="AQ527" t="s">
        <v>74</v>
      </c>
      <c r="AR527" t="s">
        <v>9457</v>
      </c>
      <c r="AS527" t="s">
        <v>9458</v>
      </c>
      <c r="AT527" t="s">
        <v>9297</v>
      </c>
      <c r="AU527">
        <v>2023</v>
      </c>
      <c r="AV527" t="s">
        <v>74</v>
      </c>
      <c r="AW527" t="s">
        <v>74</v>
      </c>
      <c r="AX527" t="s">
        <v>74</v>
      </c>
      <c r="AY527" t="s">
        <v>74</v>
      </c>
      <c r="AZ527" t="s">
        <v>74</v>
      </c>
      <c r="BA527" t="s">
        <v>74</v>
      </c>
      <c r="BB527" t="s">
        <v>74</v>
      </c>
      <c r="BC527" t="s">
        <v>74</v>
      </c>
      <c r="BD527" t="s">
        <v>74</v>
      </c>
      <c r="BE527" t="s">
        <v>9459</v>
      </c>
      <c r="BF527" t="str">
        <f>HYPERLINK("http://dx.doi.org/10.1080/00480169.2023.2248930","http://dx.doi.org/10.1080/00480169.2023.2248930")</f>
        <v>http://dx.doi.org/10.1080/00480169.2023.2248930</v>
      </c>
      <c r="BG527" t="s">
        <v>74</v>
      </c>
      <c r="BH527" t="s">
        <v>8608</v>
      </c>
      <c r="BI527">
        <v>9</v>
      </c>
      <c r="BJ527" t="s">
        <v>6127</v>
      </c>
      <c r="BK527" t="s">
        <v>102</v>
      </c>
      <c r="BL527" t="s">
        <v>6127</v>
      </c>
      <c r="BM527" t="s">
        <v>9460</v>
      </c>
      <c r="BN527">
        <v>37589061</v>
      </c>
      <c r="BO527" t="s">
        <v>887</v>
      </c>
      <c r="BP527" t="s">
        <v>74</v>
      </c>
      <c r="BQ527" t="s">
        <v>74</v>
      </c>
      <c r="BR527" t="s">
        <v>105</v>
      </c>
      <c r="BS527" t="s">
        <v>9461</v>
      </c>
      <c r="BT527" t="str">
        <f>HYPERLINK("https%3A%2F%2Fwww.webofscience.com%2Fwos%2Fwoscc%2Ffull-record%2FWOS:001060943900001","View Full Record in Web of Science")</f>
        <v>View Full Record in Web of Science</v>
      </c>
    </row>
    <row r="528" spans="1:72" x14ac:dyDescent="0.15">
      <c r="A528" t="s">
        <v>72</v>
      </c>
      <c r="B528" t="s">
        <v>9462</v>
      </c>
      <c r="C528" t="s">
        <v>74</v>
      </c>
      <c r="D528" t="s">
        <v>74</v>
      </c>
      <c r="E528" t="s">
        <v>74</v>
      </c>
      <c r="F528" t="s">
        <v>9463</v>
      </c>
      <c r="G528" t="s">
        <v>74</v>
      </c>
      <c r="H528" t="s">
        <v>74</v>
      </c>
      <c r="I528" t="s">
        <v>9464</v>
      </c>
      <c r="J528" t="s">
        <v>8638</v>
      </c>
      <c r="K528" t="s">
        <v>74</v>
      </c>
      <c r="L528" t="s">
        <v>74</v>
      </c>
      <c r="M528" t="s">
        <v>78</v>
      </c>
      <c r="N528" t="s">
        <v>79</v>
      </c>
      <c r="O528" t="s">
        <v>74</v>
      </c>
      <c r="P528" t="s">
        <v>74</v>
      </c>
      <c r="Q528" t="s">
        <v>74</v>
      </c>
      <c r="R528" t="s">
        <v>74</v>
      </c>
      <c r="S528" t="s">
        <v>74</v>
      </c>
      <c r="T528" t="s">
        <v>9465</v>
      </c>
      <c r="U528" t="s">
        <v>9466</v>
      </c>
      <c r="V528" t="s">
        <v>9467</v>
      </c>
      <c r="W528" t="s">
        <v>9468</v>
      </c>
      <c r="X528" t="s">
        <v>9469</v>
      </c>
      <c r="Y528" t="s">
        <v>9470</v>
      </c>
      <c r="Z528" t="s">
        <v>9471</v>
      </c>
      <c r="AA528" t="s">
        <v>74</v>
      </c>
      <c r="AB528" t="s">
        <v>74</v>
      </c>
      <c r="AC528" t="s">
        <v>9472</v>
      </c>
      <c r="AD528" t="s">
        <v>9472</v>
      </c>
      <c r="AE528" t="s">
        <v>9472</v>
      </c>
      <c r="AF528" t="s">
        <v>74</v>
      </c>
      <c r="AG528">
        <v>44</v>
      </c>
      <c r="AH528">
        <v>0</v>
      </c>
      <c r="AI528">
        <v>0</v>
      </c>
      <c r="AJ528">
        <v>1</v>
      </c>
      <c r="AK528">
        <v>1</v>
      </c>
      <c r="AL528" t="s">
        <v>184</v>
      </c>
      <c r="AM528" t="s">
        <v>185</v>
      </c>
      <c r="AN528" t="s">
        <v>186</v>
      </c>
      <c r="AO528" t="s">
        <v>8647</v>
      </c>
      <c r="AP528" t="s">
        <v>8648</v>
      </c>
      <c r="AQ528" t="s">
        <v>74</v>
      </c>
      <c r="AR528" t="s">
        <v>8649</v>
      </c>
      <c r="AS528" t="s">
        <v>8650</v>
      </c>
      <c r="AT528" t="s">
        <v>9473</v>
      </c>
      <c r="AU528">
        <v>2023</v>
      </c>
      <c r="AV528" t="s">
        <v>74</v>
      </c>
      <c r="AW528" t="s">
        <v>74</v>
      </c>
      <c r="AX528" t="s">
        <v>74</v>
      </c>
      <c r="AY528" t="s">
        <v>74</v>
      </c>
      <c r="AZ528" t="s">
        <v>74</v>
      </c>
      <c r="BA528" t="s">
        <v>74</v>
      </c>
      <c r="BB528" t="s">
        <v>74</v>
      </c>
      <c r="BC528" t="s">
        <v>74</v>
      </c>
      <c r="BD528">
        <v>2250583</v>
      </c>
      <c r="BE528" t="s">
        <v>9474</v>
      </c>
      <c r="BF528" t="str">
        <f>HYPERLINK("http://dx.doi.org/10.1080/02713683.2023.2250583","http://dx.doi.org/10.1080/02713683.2023.2250583")</f>
        <v>http://dx.doi.org/10.1080/02713683.2023.2250583</v>
      </c>
      <c r="BG528" t="s">
        <v>74</v>
      </c>
      <c r="BH528" t="s">
        <v>74</v>
      </c>
      <c r="BI528">
        <v>12</v>
      </c>
      <c r="BJ528" t="s">
        <v>6501</v>
      </c>
      <c r="BK528" t="s">
        <v>102</v>
      </c>
      <c r="BL528" t="s">
        <v>6501</v>
      </c>
      <c r="BM528" t="s">
        <v>9475</v>
      </c>
      <c r="BN528">
        <v>37615401</v>
      </c>
      <c r="BO528" t="s">
        <v>74</v>
      </c>
      <c r="BP528" t="s">
        <v>74</v>
      </c>
      <c r="BQ528" t="s">
        <v>74</v>
      </c>
      <c r="BR528" t="s">
        <v>105</v>
      </c>
      <c r="BS528" t="s">
        <v>9476</v>
      </c>
      <c r="BT528" t="str">
        <f>HYPERLINK("https%3A%2F%2Fwww.webofscience.com%2Fwos%2Fwoscc%2Ffull-record%2FWOS:001054380300001","View Full Record in Web of Science")</f>
        <v>View Full Record in Web of Science</v>
      </c>
    </row>
    <row r="529" spans="1:72" x14ac:dyDescent="0.15">
      <c r="A529" t="s">
        <v>72</v>
      </c>
      <c r="B529" t="s">
        <v>9477</v>
      </c>
      <c r="C529" t="s">
        <v>74</v>
      </c>
      <c r="D529" t="s">
        <v>74</v>
      </c>
      <c r="E529" t="s">
        <v>74</v>
      </c>
      <c r="F529" t="s">
        <v>9478</v>
      </c>
      <c r="G529" t="s">
        <v>74</v>
      </c>
      <c r="H529" t="s">
        <v>74</v>
      </c>
      <c r="I529" t="s">
        <v>9479</v>
      </c>
      <c r="J529" t="s">
        <v>9480</v>
      </c>
      <c r="K529" t="s">
        <v>74</v>
      </c>
      <c r="L529" t="s">
        <v>74</v>
      </c>
      <c r="M529" t="s">
        <v>78</v>
      </c>
      <c r="N529" t="s">
        <v>79</v>
      </c>
      <c r="O529" t="s">
        <v>74</v>
      </c>
      <c r="P529" t="s">
        <v>74</v>
      </c>
      <c r="Q529" t="s">
        <v>74</v>
      </c>
      <c r="R529" t="s">
        <v>74</v>
      </c>
      <c r="S529" t="s">
        <v>74</v>
      </c>
      <c r="T529" t="s">
        <v>9481</v>
      </c>
      <c r="U529" t="s">
        <v>9482</v>
      </c>
      <c r="V529" t="s">
        <v>9483</v>
      </c>
      <c r="W529" t="s">
        <v>9484</v>
      </c>
      <c r="X529" t="s">
        <v>9485</v>
      </c>
      <c r="Y529" t="s">
        <v>9486</v>
      </c>
      <c r="Z529" t="s">
        <v>9487</v>
      </c>
      <c r="AA529" t="s">
        <v>9488</v>
      </c>
      <c r="AB529" t="s">
        <v>9489</v>
      </c>
      <c r="AC529" t="s">
        <v>9490</v>
      </c>
      <c r="AD529" t="s">
        <v>9491</v>
      </c>
      <c r="AE529" t="s">
        <v>9492</v>
      </c>
      <c r="AF529" t="s">
        <v>74</v>
      </c>
      <c r="AG529">
        <v>88</v>
      </c>
      <c r="AH529">
        <v>0</v>
      </c>
      <c r="AI529">
        <v>0</v>
      </c>
      <c r="AJ529">
        <v>0</v>
      </c>
      <c r="AK529">
        <v>0</v>
      </c>
      <c r="AL529" t="s">
        <v>92</v>
      </c>
      <c r="AM529" t="s">
        <v>93</v>
      </c>
      <c r="AN529" t="s">
        <v>94</v>
      </c>
      <c r="AO529" t="s">
        <v>9493</v>
      </c>
      <c r="AP529" t="s">
        <v>9494</v>
      </c>
      <c r="AQ529" t="s">
        <v>74</v>
      </c>
      <c r="AR529" t="s">
        <v>9495</v>
      </c>
      <c r="AS529" t="s">
        <v>9496</v>
      </c>
      <c r="AT529" t="s">
        <v>9473</v>
      </c>
      <c r="AU529">
        <v>2023</v>
      </c>
      <c r="AV529" t="s">
        <v>74</v>
      </c>
      <c r="AW529" t="s">
        <v>74</v>
      </c>
      <c r="AX529" t="s">
        <v>74</v>
      </c>
      <c r="AY529" t="s">
        <v>74</v>
      </c>
      <c r="AZ529" t="s">
        <v>74</v>
      </c>
      <c r="BA529" t="s">
        <v>74</v>
      </c>
      <c r="BB529" t="s">
        <v>74</v>
      </c>
      <c r="BC529" t="s">
        <v>74</v>
      </c>
      <c r="BD529">
        <v>2251125</v>
      </c>
      <c r="BE529" t="s">
        <v>9497</v>
      </c>
      <c r="BF529" t="str">
        <f>HYPERLINK("http://dx.doi.org/10.1080/17499518.2023.2251125","http://dx.doi.org/10.1080/17499518.2023.2251125")</f>
        <v>http://dx.doi.org/10.1080/17499518.2023.2251125</v>
      </c>
      <c r="BG529" t="s">
        <v>74</v>
      </c>
      <c r="BH529" t="s">
        <v>74</v>
      </c>
      <c r="BI529">
        <v>22</v>
      </c>
      <c r="BJ529" t="s">
        <v>9498</v>
      </c>
      <c r="BK529" t="s">
        <v>102</v>
      </c>
      <c r="BL529" t="s">
        <v>9499</v>
      </c>
      <c r="BM529" t="s">
        <v>9500</v>
      </c>
      <c r="BN529" t="s">
        <v>74</v>
      </c>
      <c r="BO529" t="s">
        <v>74</v>
      </c>
      <c r="BP529" t="s">
        <v>74</v>
      </c>
      <c r="BQ529" t="s">
        <v>74</v>
      </c>
      <c r="BR529" t="s">
        <v>105</v>
      </c>
      <c r="BS529" t="s">
        <v>9501</v>
      </c>
      <c r="BT529" t="str">
        <f>HYPERLINK("https%3A%2F%2Fwww.webofscience.com%2Fwos%2Fwoscc%2Ffull-record%2FWOS:001053987400001","View Full Record in Web of Science")</f>
        <v>View Full Record in Web of Science</v>
      </c>
    </row>
    <row r="530" spans="1:72" x14ac:dyDescent="0.15">
      <c r="A530" t="s">
        <v>72</v>
      </c>
      <c r="B530" t="s">
        <v>9502</v>
      </c>
      <c r="C530" t="s">
        <v>74</v>
      </c>
      <c r="D530" t="s">
        <v>74</v>
      </c>
      <c r="E530" t="s">
        <v>74</v>
      </c>
      <c r="F530" t="s">
        <v>9503</v>
      </c>
      <c r="G530" t="s">
        <v>74</v>
      </c>
      <c r="H530" t="s">
        <v>74</v>
      </c>
      <c r="I530" t="s">
        <v>9504</v>
      </c>
      <c r="J530" t="s">
        <v>9505</v>
      </c>
      <c r="K530" t="s">
        <v>74</v>
      </c>
      <c r="L530" t="s">
        <v>74</v>
      </c>
      <c r="M530" t="s">
        <v>78</v>
      </c>
      <c r="N530" t="s">
        <v>2650</v>
      </c>
      <c r="O530" t="s">
        <v>74</v>
      </c>
      <c r="P530" t="s">
        <v>74</v>
      </c>
      <c r="Q530" t="s">
        <v>74</v>
      </c>
      <c r="R530" t="s">
        <v>74</v>
      </c>
      <c r="S530" t="s">
        <v>74</v>
      </c>
      <c r="T530" t="s">
        <v>74</v>
      </c>
      <c r="U530" t="s">
        <v>74</v>
      </c>
      <c r="V530" t="s">
        <v>74</v>
      </c>
      <c r="W530" t="s">
        <v>9506</v>
      </c>
      <c r="X530" t="s">
        <v>9507</v>
      </c>
      <c r="Y530" t="s">
        <v>9508</v>
      </c>
      <c r="Z530" t="s">
        <v>9509</v>
      </c>
      <c r="AA530" t="s">
        <v>9510</v>
      </c>
      <c r="AB530" t="s">
        <v>74</v>
      </c>
      <c r="AC530" t="s">
        <v>74</v>
      </c>
      <c r="AD530" t="s">
        <v>74</v>
      </c>
      <c r="AE530" t="s">
        <v>74</v>
      </c>
      <c r="AF530" t="s">
        <v>74</v>
      </c>
      <c r="AG530">
        <v>0</v>
      </c>
      <c r="AH530">
        <v>0</v>
      </c>
      <c r="AI530">
        <v>0</v>
      </c>
      <c r="AJ530">
        <v>0</v>
      </c>
      <c r="AK530">
        <v>0</v>
      </c>
      <c r="AL530" t="s">
        <v>1188</v>
      </c>
      <c r="AM530" t="s">
        <v>93</v>
      </c>
      <c r="AN530" t="s">
        <v>1189</v>
      </c>
      <c r="AO530" t="s">
        <v>9511</v>
      </c>
      <c r="AP530" t="s">
        <v>9512</v>
      </c>
      <c r="AQ530" t="s">
        <v>74</v>
      </c>
      <c r="AR530" t="s">
        <v>9513</v>
      </c>
      <c r="AS530" t="s">
        <v>9514</v>
      </c>
      <c r="AT530" t="s">
        <v>9473</v>
      </c>
      <c r="AU530">
        <v>2023</v>
      </c>
      <c r="AV530" t="s">
        <v>74</v>
      </c>
      <c r="AW530" t="s">
        <v>74</v>
      </c>
      <c r="AX530" t="s">
        <v>74</v>
      </c>
      <c r="AY530" t="s">
        <v>74</v>
      </c>
      <c r="AZ530" t="s">
        <v>74</v>
      </c>
      <c r="BA530" t="s">
        <v>74</v>
      </c>
      <c r="BB530" t="s">
        <v>74</v>
      </c>
      <c r="BC530" t="s">
        <v>74</v>
      </c>
      <c r="BD530" t="s">
        <v>74</v>
      </c>
      <c r="BE530" t="s">
        <v>9515</v>
      </c>
      <c r="BF530" t="str">
        <f>HYPERLINK("http://dx.doi.org/10.1080/20403313.2023.2235915","http://dx.doi.org/10.1080/20403313.2023.2235915")</f>
        <v>http://dx.doi.org/10.1080/20403313.2023.2235915</v>
      </c>
      <c r="BG530" t="s">
        <v>74</v>
      </c>
      <c r="BH530" t="s">
        <v>74</v>
      </c>
      <c r="BI530">
        <v>8</v>
      </c>
      <c r="BJ530" t="s">
        <v>8742</v>
      </c>
      <c r="BK530" t="s">
        <v>211</v>
      </c>
      <c r="BL530" t="s">
        <v>6894</v>
      </c>
      <c r="BM530" t="s">
        <v>9516</v>
      </c>
      <c r="BN530" t="s">
        <v>74</v>
      </c>
      <c r="BO530" t="s">
        <v>74</v>
      </c>
      <c r="BP530" t="s">
        <v>74</v>
      </c>
      <c r="BQ530" t="s">
        <v>74</v>
      </c>
      <c r="BR530" t="s">
        <v>105</v>
      </c>
      <c r="BS530" t="s">
        <v>9517</v>
      </c>
      <c r="BT530" t="str">
        <f>HYPERLINK("https%3A%2F%2Fwww.webofscience.com%2Fwos%2Fwoscc%2Ffull-record%2FWOS:001053575300001","View Full Record in Web of Science")</f>
        <v>View Full Record in Web of Science</v>
      </c>
    </row>
    <row r="531" spans="1:72" x14ac:dyDescent="0.15">
      <c r="A531" t="s">
        <v>72</v>
      </c>
      <c r="B531" t="s">
        <v>9518</v>
      </c>
      <c r="C531" t="s">
        <v>74</v>
      </c>
      <c r="D531" t="s">
        <v>74</v>
      </c>
      <c r="E531" t="s">
        <v>74</v>
      </c>
      <c r="F531" t="s">
        <v>9519</v>
      </c>
      <c r="G531" t="s">
        <v>74</v>
      </c>
      <c r="H531" t="s">
        <v>74</v>
      </c>
      <c r="I531" t="s">
        <v>9520</v>
      </c>
      <c r="J531" t="s">
        <v>9521</v>
      </c>
      <c r="K531" t="s">
        <v>74</v>
      </c>
      <c r="L531" t="s">
        <v>74</v>
      </c>
      <c r="M531" t="s">
        <v>78</v>
      </c>
      <c r="N531" t="s">
        <v>171</v>
      </c>
      <c r="O531" t="s">
        <v>74</v>
      </c>
      <c r="P531" t="s">
        <v>74</v>
      </c>
      <c r="Q531" t="s">
        <v>74</v>
      </c>
      <c r="R531" t="s">
        <v>74</v>
      </c>
      <c r="S531" t="s">
        <v>74</v>
      </c>
      <c r="T531" t="s">
        <v>9522</v>
      </c>
      <c r="U531" t="s">
        <v>9523</v>
      </c>
      <c r="V531" t="s">
        <v>9524</v>
      </c>
      <c r="W531" t="s">
        <v>9525</v>
      </c>
      <c r="X531" t="s">
        <v>9526</v>
      </c>
      <c r="Y531" t="s">
        <v>9527</v>
      </c>
      <c r="Z531" t="s">
        <v>9528</v>
      </c>
      <c r="AA531" t="s">
        <v>74</v>
      </c>
      <c r="AB531" t="s">
        <v>9529</v>
      </c>
      <c r="AC531" t="s">
        <v>9530</v>
      </c>
      <c r="AD531" t="s">
        <v>9531</v>
      </c>
      <c r="AE531" t="s">
        <v>9532</v>
      </c>
      <c r="AF531" t="s">
        <v>74</v>
      </c>
      <c r="AG531">
        <v>87</v>
      </c>
      <c r="AH531">
        <v>0</v>
      </c>
      <c r="AI531">
        <v>0</v>
      </c>
      <c r="AJ531">
        <v>1</v>
      </c>
      <c r="AK531">
        <v>1</v>
      </c>
      <c r="AL531" t="s">
        <v>92</v>
      </c>
      <c r="AM531" t="s">
        <v>93</v>
      </c>
      <c r="AN531" t="s">
        <v>94</v>
      </c>
      <c r="AO531" t="s">
        <v>9533</v>
      </c>
      <c r="AP531" t="s">
        <v>9534</v>
      </c>
      <c r="AQ531" t="s">
        <v>74</v>
      </c>
      <c r="AR531" t="s">
        <v>9535</v>
      </c>
      <c r="AS531" t="s">
        <v>9536</v>
      </c>
      <c r="AT531" t="s">
        <v>7207</v>
      </c>
      <c r="AU531">
        <v>2023</v>
      </c>
      <c r="AV531">
        <v>27</v>
      </c>
      <c r="AW531">
        <v>8</v>
      </c>
      <c r="AX531" t="s">
        <v>74</v>
      </c>
      <c r="AY531" t="s">
        <v>74</v>
      </c>
      <c r="AZ531" t="s">
        <v>74</v>
      </c>
      <c r="BA531" t="s">
        <v>74</v>
      </c>
      <c r="BB531">
        <v>657</v>
      </c>
      <c r="BC531">
        <v>664</v>
      </c>
      <c r="BD531" t="s">
        <v>74</v>
      </c>
      <c r="BE531" t="s">
        <v>9537</v>
      </c>
      <c r="BF531" t="str">
        <f>HYPERLINK("http://dx.doi.org/10.1080/14728222.2023.2248375","http://dx.doi.org/10.1080/14728222.2023.2248375")</f>
        <v>http://dx.doi.org/10.1080/14728222.2023.2248375</v>
      </c>
      <c r="BG531" t="s">
        <v>74</v>
      </c>
      <c r="BH531" t="s">
        <v>8608</v>
      </c>
      <c r="BI531">
        <v>8</v>
      </c>
      <c r="BJ531" t="s">
        <v>101</v>
      </c>
      <c r="BK531" t="s">
        <v>102</v>
      </c>
      <c r="BL531" t="s">
        <v>101</v>
      </c>
      <c r="BM531" t="s">
        <v>9538</v>
      </c>
      <c r="BN531">
        <v>37589085</v>
      </c>
      <c r="BO531" t="s">
        <v>74</v>
      </c>
      <c r="BP531" t="s">
        <v>74</v>
      </c>
      <c r="BQ531" t="s">
        <v>74</v>
      </c>
      <c r="BR531" t="s">
        <v>105</v>
      </c>
      <c r="BS531" t="s">
        <v>9539</v>
      </c>
      <c r="BT531" t="str">
        <f>HYPERLINK("https%3A%2F%2Fwww.webofscience.com%2Fwos%2Fwoscc%2Ffull-record%2FWOS:001051727700001","View Full Record in Web of Science")</f>
        <v>View Full Record in Web of Science</v>
      </c>
    </row>
    <row r="532" spans="1:72" x14ac:dyDescent="0.15">
      <c r="A532" t="s">
        <v>72</v>
      </c>
      <c r="B532" t="s">
        <v>9540</v>
      </c>
      <c r="C532" t="s">
        <v>74</v>
      </c>
      <c r="D532" t="s">
        <v>74</v>
      </c>
      <c r="E532" t="s">
        <v>74</v>
      </c>
      <c r="F532" t="s">
        <v>9541</v>
      </c>
      <c r="G532" t="s">
        <v>74</v>
      </c>
      <c r="H532" t="s">
        <v>74</v>
      </c>
      <c r="I532" t="s">
        <v>9542</v>
      </c>
      <c r="J532" t="s">
        <v>9543</v>
      </c>
      <c r="K532" t="s">
        <v>74</v>
      </c>
      <c r="L532" t="s">
        <v>74</v>
      </c>
      <c r="M532" t="s">
        <v>78</v>
      </c>
      <c r="N532" t="s">
        <v>79</v>
      </c>
      <c r="O532" t="s">
        <v>74</v>
      </c>
      <c r="P532" t="s">
        <v>74</v>
      </c>
      <c r="Q532" t="s">
        <v>74</v>
      </c>
      <c r="R532" t="s">
        <v>74</v>
      </c>
      <c r="S532" t="s">
        <v>74</v>
      </c>
      <c r="T532" t="s">
        <v>9544</v>
      </c>
      <c r="U532" t="s">
        <v>9545</v>
      </c>
      <c r="V532" t="s">
        <v>9546</v>
      </c>
      <c r="W532" t="s">
        <v>9547</v>
      </c>
      <c r="X532" t="s">
        <v>9548</v>
      </c>
      <c r="Y532" t="s">
        <v>9549</v>
      </c>
      <c r="Z532" t="s">
        <v>9550</v>
      </c>
      <c r="AA532" t="s">
        <v>74</v>
      </c>
      <c r="AB532" t="s">
        <v>74</v>
      </c>
      <c r="AC532" t="s">
        <v>9551</v>
      </c>
      <c r="AD532" t="s">
        <v>9551</v>
      </c>
      <c r="AE532" t="s">
        <v>9552</v>
      </c>
      <c r="AF532" t="s">
        <v>74</v>
      </c>
      <c r="AG532">
        <v>36</v>
      </c>
      <c r="AH532">
        <v>0</v>
      </c>
      <c r="AI532">
        <v>0</v>
      </c>
      <c r="AJ532">
        <v>0</v>
      </c>
      <c r="AK532">
        <v>0</v>
      </c>
      <c r="AL532" t="s">
        <v>92</v>
      </c>
      <c r="AM532" t="s">
        <v>93</v>
      </c>
      <c r="AN532" t="s">
        <v>94</v>
      </c>
      <c r="AO532" t="s">
        <v>9553</v>
      </c>
      <c r="AP532" t="s">
        <v>9554</v>
      </c>
      <c r="AQ532" t="s">
        <v>74</v>
      </c>
      <c r="AR532" t="s">
        <v>9555</v>
      </c>
      <c r="AS532" t="s">
        <v>9556</v>
      </c>
      <c r="AT532" t="s">
        <v>9473</v>
      </c>
      <c r="AU532">
        <v>2023</v>
      </c>
      <c r="AV532" t="s">
        <v>74</v>
      </c>
      <c r="AW532" t="s">
        <v>74</v>
      </c>
      <c r="AX532" t="s">
        <v>74</v>
      </c>
      <c r="AY532" t="s">
        <v>74</v>
      </c>
      <c r="AZ532" t="s">
        <v>74</v>
      </c>
      <c r="BA532" t="s">
        <v>74</v>
      </c>
      <c r="BB532" t="s">
        <v>74</v>
      </c>
      <c r="BC532" t="s">
        <v>74</v>
      </c>
      <c r="BD532">
        <v>2227148</v>
      </c>
      <c r="BE532" t="s">
        <v>9557</v>
      </c>
      <c r="BF532" t="str">
        <f>HYPERLINK("http://dx.doi.org/10.1080/17565529.2023.2227148","http://dx.doi.org/10.1080/17565529.2023.2227148")</f>
        <v>http://dx.doi.org/10.1080/17565529.2023.2227148</v>
      </c>
      <c r="BG532" t="s">
        <v>74</v>
      </c>
      <c r="BH532" t="s">
        <v>74</v>
      </c>
      <c r="BI532">
        <v>11</v>
      </c>
      <c r="BJ532" t="s">
        <v>9558</v>
      </c>
      <c r="BK532" t="s">
        <v>272</v>
      </c>
      <c r="BL532" t="s">
        <v>9559</v>
      </c>
      <c r="BM532" t="s">
        <v>9560</v>
      </c>
      <c r="BN532" t="s">
        <v>74</v>
      </c>
      <c r="BO532" t="s">
        <v>74</v>
      </c>
      <c r="BP532" t="s">
        <v>74</v>
      </c>
      <c r="BQ532" t="s">
        <v>74</v>
      </c>
      <c r="BR532" t="s">
        <v>105</v>
      </c>
      <c r="BS532" t="s">
        <v>9561</v>
      </c>
      <c r="BT532" t="str">
        <f>HYPERLINK("https%3A%2F%2Fwww.webofscience.com%2Fwos%2Fwoscc%2Ffull-record%2FWOS:001057754000001","View Full Record in Web of Science")</f>
        <v>View Full Record in Web of Science</v>
      </c>
    </row>
    <row r="533" spans="1:72" x14ac:dyDescent="0.15">
      <c r="A533" t="s">
        <v>72</v>
      </c>
      <c r="B533" t="s">
        <v>9562</v>
      </c>
      <c r="C533" t="s">
        <v>74</v>
      </c>
      <c r="D533" t="s">
        <v>74</v>
      </c>
      <c r="E533" t="s">
        <v>74</v>
      </c>
      <c r="F533" t="s">
        <v>9563</v>
      </c>
      <c r="G533" t="s">
        <v>74</v>
      </c>
      <c r="H533" t="s">
        <v>74</v>
      </c>
      <c r="I533" t="s">
        <v>9564</v>
      </c>
      <c r="J533" t="s">
        <v>9565</v>
      </c>
      <c r="K533" t="s">
        <v>74</v>
      </c>
      <c r="L533" t="s">
        <v>74</v>
      </c>
      <c r="M533" t="s">
        <v>78</v>
      </c>
      <c r="N533" t="s">
        <v>3443</v>
      </c>
      <c r="O533" t="s">
        <v>74</v>
      </c>
      <c r="P533" t="s">
        <v>74</v>
      </c>
      <c r="Q533" t="s">
        <v>74</v>
      </c>
      <c r="R533" t="s">
        <v>74</v>
      </c>
      <c r="S533" t="s">
        <v>74</v>
      </c>
      <c r="T533" t="s">
        <v>74</v>
      </c>
      <c r="U533" t="s">
        <v>74</v>
      </c>
      <c r="V533" t="s">
        <v>74</v>
      </c>
      <c r="W533" t="s">
        <v>9566</v>
      </c>
      <c r="X533" t="s">
        <v>9567</v>
      </c>
      <c r="Y533" t="s">
        <v>9568</v>
      </c>
      <c r="Z533" t="s">
        <v>9569</v>
      </c>
      <c r="AA533" t="s">
        <v>74</v>
      </c>
      <c r="AB533" t="s">
        <v>74</v>
      </c>
      <c r="AC533" t="s">
        <v>74</v>
      </c>
      <c r="AD533" t="s">
        <v>74</v>
      </c>
      <c r="AE533" t="s">
        <v>74</v>
      </c>
      <c r="AF533" t="s">
        <v>74</v>
      </c>
      <c r="AG533">
        <v>1</v>
      </c>
      <c r="AH533">
        <v>0</v>
      </c>
      <c r="AI533">
        <v>0</v>
      </c>
      <c r="AJ533">
        <v>0</v>
      </c>
      <c r="AK533">
        <v>0</v>
      </c>
      <c r="AL533" t="s">
        <v>1188</v>
      </c>
      <c r="AM533" t="s">
        <v>93</v>
      </c>
      <c r="AN533" t="s">
        <v>1189</v>
      </c>
      <c r="AO533" t="s">
        <v>9570</v>
      </c>
      <c r="AP533" t="s">
        <v>9571</v>
      </c>
      <c r="AQ533" t="s">
        <v>74</v>
      </c>
      <c r="AR533" t="s">
        <v>9572</v>
      </c>
      <c r="AS533" t="s">
        <v>9573</v>
      </c>
      <c r="AT533" t="s">
        <v>9574</v>
      </c>
      <c r="AU533">
        <v>2023</v>
      </c>
      <c r="AV533" t="s">
        <v>74</v>
      </c>
      <c r="AW533" t="s">
        <v>74</v>
      </c>
      <c r="AX533" t="s">
        <v>74</v>
      </c>
      <c r="AY533" t="s">
        <v>74</v>
      </c>
      <c r="AZ533" t="s">
        <v>74</v>
      </c>
      <c r="BA533" t="s">
        <v>74</v>
      </c>
      <c r="BB533" t="s">
        <v>74</v>
      </c>
      <c r="BC533" t="s">
        <v>74</v>
      </c>
      <c r="BD533" t="s">
        <v>74</v>
      </c>
      <c r="BE533" t="s">
        <v>9575</v>
      </c>
      <c r="BF533" t="str">
        <f>HYPERLINK("http://dx.doi.org/10.1080/13569783.2023.2248891","http://dx.doi.org/10.1080/13569783.2023.2248891")</f>
        <v>http://dx.doi.org/10.1080/13569783.2023.2248891</v>
      </c>
      <c r="BG533" t="s">
        <v>74</v>
      </c>
      <c r="BH533" t="s">
        <v>74</v>
      </c>
      <c r="BI533">
        <v>2</v>
      </c>
      <c r="BJ533" t="s">
        <v>9576</v>
      </c>
      <c r="BK533" t="s">
        <v>7170</v>
      </c>
      <c r="BL533" t="s">
        <v>9576</v>
      </c>
      <c r="BM533" t="s">
        <v>9577</v>
      </c>
      <c r="BN533" t="s">
        <v>74</v>
      </c>
      <c r="BO533" t="s">
        <v>74</v>
      </c>
      <c r="BP533" t="s">
        <v>74</v>
      </c>
      <c r="BQ533" t="s">
        <v>74</v>
      </c>
      <c r="BR533" t="s">
        <v>105</v>
      </c>
      <c r="BS533" t="s">
        <v>9578</v>
      </c>
      <c r="BT533" t="str">
        <f>HYPERLINK("https%3A%2F%2Fwww.webofscience.com%2Fwos%2Fwoscc%2Ffull-record%2FWOS:001053590600001","View Full Record in Web of Science")</f>
        <v>View Full Record in Web of Science</v>
      </c>
    </row>
    <row r="534" spans="1:72" x14ac:dyDescent="0.15">
      <c r="A534" t="s">
        <v>72</v>
      </c>
      <c r="B534" t="s">
        <v>9579</v>
      </c>
      <c r="C534" t="s">
        <v>74</v>
      </c>
      <c r="D534" t="s">
        <v>74</v>
      </c>
      <c r="E534" t="s">
        <v>74</v>
      </c>
      <c r="F534" t="s">
        <v>9580</v>
      </c>
      <c r="G534" t="s">
        <v>74</v>
      </c>
      <c r="H534" t="s">
        <v>74</v>
      </c>
      <c r="I534" t="s">
        <v>9581</v>
      </c>
      <c r="J534" t="s">
        <v>9582</v>
      </c>
      <c r="K534" t="s">
        <v>74</v>
      </c>
      <c r="L534" t="s">
        <v>74</v>
      </c>
      <c r="M534" t="s">
        <v>78</v>
      </c>
      <c r="N534" t="s">
        <v>5492</v>
      </c>
      <c r="O534" t="s">
        <v>74</v>
      </c>
      <c r="P534" t="s">
        <v>74</v>
      </c>
      <c r="Q534" t="s">
        <v>74</v>
      </c>
      <c r="R534" t="s">
        <v>74</v>
      </c>
      <c r="S534" t="s">
        <v>74</v>
      </c>
      <c r="T534" t="s">
        <v>9583</v>
      </c>
      <c r="U534" t="s">
        <v>9584</v>
      </c>
      <c r="V534" t="s">
        <v>9585</v>
      </c>
      <c r="W534" t="s">
        <v>9586</v>
      </c>
      <c r="X534" t="s">
        <v>9587</v>
      </c>
      <c r="Y534" t="s">
        <v>9588</v>
      </c>
      <c r="Z534" t="s">
        <v>9589</v>
      </c>
      <c r="AA534" t="s">
        <v>74</v>
      </c>
      <c r="AB534" t="s">
        <v>9590</v>
      </c>
      <c r="AC534" t="s">
        <v>74</v>
      </c>
      <c r="AD534" t="s">
        <v>74</v>
      </c>
      <c r="AE534" t="s">
        <v>74</v>
      </c>
      <c r="AF534" t="s">
        <v>74</v>
      </c>
      <c r="AG534">
        <v>85</v>
      </c>
      <c r="AH534">
        <v>0</v>
      </c>
      <c r="AI534">
        <v>0</v>
      </c>
      <c r="AJ534">
        <v>0</v>
      </c>
      <c r="AK534">
        <v>0</v>
      </c>
      <c r="AL534" t="s">
        <v>1188</v>
      </c>
      <c r="AM534" t="s">
        <v>93</v>
      </c>
      <c r="AN534" t="s">
        <v>1189</v>
      </c>
      <c r="AO534" t="s">
        <v>9591</v>
      </c>
      <c r="AP534" t="s">
        <v>9592</v>
      </c>
      <c r="AQ534" t="s">
        <v>74</v>
      </c>
      <c r="AR534" t="s">
        <v>9593</v>
      </c>
      <c r="AS534" t="s">
        <v>9594</v>
      </c>
      <c r="AT534" t="s">
        <v>9595</v>
      </c>
      <c r="AU534">
        <v>2023</v>
      </c>
      <c r="AV534" t="s">
        <v>74</v>
      </c>
      <c r="AW534" t="s">
        <v>74</v>
      </c>
      <c r="AX534" t="s">
        <v>74</v>
      </c>
      <c r="AY534" t="s">
        <v>74</v>
      </c>
      <c r="AZ534" t="s">
        <v>74</v>
      </c>
      <c r="BA534" t="s">
        <v>74</v>
      </c>
      <c r="BB534" t="s">
        <v>74</v>
      </c>
      <c r="BC534" t="s">
        <v>74</v>
      </c>
      <c r="BD534" t="s">
        <v>74</v>
      </c>
      <c r="BE534" t="s">
        <v>9596</v>
      </c>
      <c r="BF534" t="str">
        <f>HYPERLINK("http://dx.doi.org/10.1080/10926755.2023.2250773","http://dx.doi.org/10.1080/10926755.2023.2250773")</f>
        <v>http://dx.doi.org/10.1080/10926755.2023.2250773</v>
      </c>
      <c r="BG534" t="s">
        <v>74</v>
      </c>
      <c r="BH534" t="s">
        <v>8608</v>
      </c>
      <c r="BI534">
        <v>30</v>
      </c>
      <c r="BJ534" t="s">
        <v>5869</v>
      </c>
      <c r="BK534" t="s">
        <v>211</v>
      </c>
      <c r="BL534" t="s">
        <v>5869</v>
      </c>
      <c r="BM534" t="s">
        <v>9597</v>
      </c>
      <c r="BN534" t="s">
        <v>74</v>
      </c>
      <c r="BO534" t="s">
        <v>74</v>
      </c>
      <c r="BP534" t="s">
        <v>74</v>
      </c>
      <c r="BQ534" t="s">
        <v>74</v>
      </c>
      <c r="BR534" t="s">
        <v>105</v>
      </c>
      <c r="BS534" t="s">
        <v>9598</v>
      </c>
      <c r="BT534" t="str">
        <f>HYPERLINK("https%3A%2F%2Fwww.webofscience.com%2Fwos%2Fwoscc%2Ffull-record%2FWOS:001060351400001","View Full Record in Web of Science")</f>
        <v>View Full Record in Web of Science</v>
      </c>
    </row>
    <row r="535" spans="1:72" x14ac:dyDescent="0.15">
      <c r="A535" t="s">
        <v>72</v>
      </c>
      <c r="B535" t="s">
        <v>9599</v>
      </c>
      <c r="C535" t="s">
        <v>74</v>
      </c>
      <c r="D535" t="s">
        <v>74</v>
      </c>
      <c r="E535" t="s">
        <v>74</v>
      </c>
      <c r="F535" t="s">
        <v>9600</v>
      </c>
      <c r="G535" t="s">
        <v>74</v>
      </c>
      <c r="H535" t="s">
        <v>74</v>
      </c>
      <c r="I535" t="s">
        <v>9601</v>
      </c>
      <c r="J535" t="s">
        <v>9602</v>
      </c>
      <c r="K535" t="s">
        <v>74</v>
      </c>
      <c r="L535" t="s">
        <v>74</v>
      </c>
      <c r="M535" t="s">
        <v>78</v>
      </c>
      <c r="N535" t="s">
        <v>5492</v>
      </c>
      <c r="O535" t="s">
        <v>74</v>
      </c>
      <c r="P535" t="s">
        <v>74</v>
      </c>
      <c r="Q535" t="s">
        <v>74</v>
      </c>
      <c r="R535" t="s">
        <v>74</v>
      </c>
      <c r="S535" t="s">
        <v>74</v>
      </c>
      <c r="T535" t="s">
        <v>9603</v>
      </c>
      <c r="U535" t="s">
        <v>9604</v>
      </c>
      <c r="V535" t="s">
        <v>9605</v>
      </c>
      <c r="W535" t="s">
        <v>9606</v>
      </c>
      <c r="X535" t="s">
        <v>9607</v>
      </c>
      <c r="Y535" t="s">
        <v>9608</v>
      </c>
      <c r="Z535" t="s">
        <v>9609</v>
      </c>
      <c r="AA535" t="s">
        <v>74</v>
      </c>
      <c r="AB535" t="s">
        <v>74</v>
      </c>
      <c r="AC535" t="s">
        <v>74</v>
      </c>
      <c r="AD535" t="s">
        <v>74</v>
      </c>
      <c r="AE535" t="s">
        <v>74</v>
      </c>
      <c r="AF535" t="s">
        <v>74</v>
      </c>
      <c r="AG535">
        <v>48</v>
      </c>
      <c r="AH535">
        <v>0</v>
      </c>
      <c r="AI535">
        <v>0</v>
      </c>
      <c r="AJ535">
        <v>0</v>
      </c>
      <c r="AK535">
        <v>0</v>
      </c>
      <c r="AL535" t="s">
        <v>1188</v>
      </c>
      <c r="AM535" t="s">
        <v>93</v>
      </c>
      <c r="AN535" t="s">
        <v>1189</v>
      </c>
      <c r="AO535" t="s">
        <v>9610</v>
      </c>
      <c r="AP535" t="s">
        <v>9611</v>
      </c>
      <c r="AQ535" t="s">
        <v>74</v>
      </c>
      <c r="AR535" t="s">
        <v>9612</v>
      </c>
      <c r="AS535" t="s">
        <v>9613</v>
      </c>
      <c r="AT535" t="s">
        <v>9595</v>
      </c>
      <c r="AU535">
        <v>2023</v>
      </c>
      <c r="AV535" t="s">
        <v>74</v>
      </c>
      <c r="AW535" t="s">
        <v>74</v>
      </c>
      <c r="AX535" t="s">
        <v>74</v>
      </c>
      <c r="AY535" t="s">
        <v>74</v>
      </c>
      <c r="AZ535" t="s">
        <v>74</v>
      </c>
      <c r="BA535" t="s">
        <v>74</v>
      </c>
      <c r="BB535" t="s">
        <v>74</v>
      </c>
      <c r="BC535" t="s">
        <v>74</v>
      </c>
      <c r="BD535" t="s">
        <v>74</v>
      </c>
      <c r="BE535" t="s">
        <v>9614</v>
      </c>
      <c r="BF535" t="str">
        <f>HYPERLINK("http://dx.doi.org/10.1080/10570314.2023.2244454","http://dx.doi.org/10.1080/10570314.2023.2244454")</f>
        <v>http://dx.doi.org/10.1080/10570314.2023.2244454</v>
      </c>
      <c r="BG535" t="s">
        <v>74</v>
      </c>
      <c r="BH535" t="s">
        <v>8608</v>
      </c>
      <c r="BI535">
        <v>22</v>
      </c>
      <c r="BJ535" t="s">
        <v>7911</v>
      </c>
      <c r="BK535" t="s">
        <v>211</v>
      </c>
      <c r="BL535" t="s">
        <v>7911</v>
      </c>
      <c r="BM535" t="s">
        <v>9615</v>
      </c>
      <c r="BN535" t="s">
        <v>74</v>
      </c>
      <c r="BO535" t="s">
        <v>74</v>
      </c>
      <c r="BP535" t="s">
        <v>74</v>
      </c>
      <c r="BQ535" t="s">
        <v>74</v>
      </c>
      <c r="BR535" t="s">
        <v>105</v>
      </c>
      <c r="BS535" t="s">
        <v>9616</v>
      </c>
      <c r="BT535" t="str">
        <f>HYPERLINK("https%3A%2F%2Fwww.webofscience.com%2Fwos%2Fwoscc%2Ffull-record%2FWOS:001052356300001","View Full Record in Web of Science")</f>
        <v>View Full Record in Web of Science</v>
      </c>
    </row>
    <row r="536" spans="1:72" x14ac:dyDescent="0.15">
      <c r="A536" t="s">
        <v>72</v>
      </c>
      <c r="B536" t="s">
        <v>9617</v>
      </c>
      <c r="C536" t="s">
        <v>74</v>
      </c>
      <c r="D536" t="s">
        <v>74</v>
      </c>
      <c r="E536" t="s">
        <v>74</v>
      </c>
      <c r="F536" t="s">
        <v>9618</v>
      </c>
      <c r="G536" t="s">
        <v>74</v>
      </c>
      <c r="H536" t="s">
        <v>74</v>
      </c>
      <c r="I536" t="s">
        <v>9619</v>
      </c>
      <c r="J536" t="s">
        <v>9620</v>
      </c>
      <c r="K536" t="s">
        <v>74</v>
      </c>
      <c r="L536" t="s">
        <v>74</v>
      </c>
      <c r="M536" t="s">
        <v>78</v>
      </c>
      <c r="N536" t="s">
        <v>6253</v>
      </c>
      <c r="O536" t="s">
        <v>74</v>
      </c>
      <c r="P536" t="s">
        <v>74</v>
      </c>
      <c r="Q536" t="s">
        <v>74</v>
      </c>
      <c r="R536" t="s">
        <v>74</v>
      </c>
      <c r="S536" t="s">
        <v>74</v>
      </c>
      <c r="T536" t="s">
        <v>74</v>
      </c>
      <c r="U536" t="s">
        <v>74</v>
      </c>
      <c r="V536" t="s">
        <v>74</v>
      </c>
      <c r="W536" t="s">
        <v>9621</v>
      </c>
      <c r="X536" t="s">
        <v>8195</v>
      </c>
      <c r="Y536" t="s">
        <v>9622</v>
      </c>
      <c r="Z536" t="s">
        <v>9623</v>
      </c>
      <c r="AA536" t="s">
        <v>74</v>
      </c>
      <c r="AB536" t="s">
        <v>74</v>
      </c>
      <c r="AC536" t="s">
        <v>74</v>
      </c>
      <c r="AD536" t="s">
        <v>74</v>
      </c>
      <c r="AE536" t="s">
        <v>74</v>
      </c>
      <c r="AF536" t="s">
        <v>74</v>
      </c>
      <c r="AG536">
        <v>1</v>
      </c>
      <c r="AH536">
        <v>0</v>
      </c>
      <c r="AI536">
        <v>0</v>
      </c>
      <c r="AJ536">
        <v>0</v>
      </c>
      <c r="AK536">
        <v>0</v>
      </c>
      <c r="AL536" t="s">
        <v>1188</v>
      </c>
      <c r="AM536" t="s">
        <v>93</v>
      </c>
      <c r="AN536" t="s">
        <v>1189</v>
      </c>
      <c r="AO536" t="s">
        <v>9624</v>
      </c>
      <c r="AP536" t="s">
        <v>9625</v>
      </c>
      <c r="AQ536" t="s">
        <v>74</v>
      </c>
      <c r="AR536" t="s">
        <v>9626</v>
      </c>
      <c r="AS536" t="s">
        <v>9627</v>
      </c>
      <c r="AT536" t="s">
        <v>9595</v>
      </c>
      <c r="AU536">
        <v>2023</v>
      </c>
      <c r="AV536" t="s">
        <v>74</v>
      </c>
      <c r="AW536" t="s">
        <v>74</v>
      </c>
      <c r="AX536" t="s">
        <v>74</v>
      </c>
      <c r="AY536" t="s">
        <v>74</v>
      </c>
      <c r="AZ536" t="s">
        <v>74</v>
      </c>
      <c r="BA536" t="s">
        <v>74</v>
      </c>
      <c r="BB536" t="s">
        <v>74</v>
      </c>
      <c r="BC536" t="s">
        <v>74</v>
      </c>
      <c r="BD536" t="s">
        <v>74</v>
      </c>
      <c r="BE536" t="s">
        <v>9628</v>
      </c>
      <c r="BF536" t="str">
        <f>HYPERLINK("http://dx.doi.org/10.1080/02665433.2023.2248731","http://dx.doi.org/10.1080/02665433.2023.2248731")</f>
        <v>http://dx.doi.org/10.1080/02665433.2023.2248731</v>
      </c>
      <c r="BG536" t="s">
        <v>74</v>
      </c>
      <c r="BH536" t="s">
        <v>8608</v>
      </c>
      <c r="BI536">
        <v>2</v>
      </c>
      <c r="BJ536" t="s">
        <v>9629</v>
      </c>
      <c r="BK536" t="s">
        <v>7170</v>
      </c>
      <c r="BL536" t="s">
        <v>9630</v>
      </c>
      <c r="BM536" t="s">
        <v>9631</v>
      </c>
      <c r="BN536" t="s">
        <v>74</v>
      </c>
      <c r="BO536" t="s">
        <v>74</v>
      </c>
      <c r="BP536" t="s">
        <v>74</v>
      </c>
      <c r="BQ536" t="s">
        <v>74</v>
      </c>
      <c r="BR536" t="s">
        <v>105</v>
      </c>
      <c r="BS536" t="s">
        <v>9632</v>
      </c>
      <c r="BT536" t="str">
        <f>HYPERLINK("https%3A%2F%2Fwww.webofscience.com%2Fwos%2Fwoscc%2Ffull-record%2FWOS:001052715100001","View Full Record in Web of Science")</f>
        <v>View Full Record in Web of Science</v>
      </c>
    </row>
    <row r="537" spans="1:72" x14ac:dyDescent="0.15">
      <c r="A537" t="s">
        <v>72</v>
      </c>
      <c r="B537" t="s">
        <v>9633</v>
      </c>
      <c r="C537" t="s">
        <v>74</v>
      </c>
      <c r="D537" t="s">
        <v>74</v>
      </c>
      <c r="E537" t="s">
        <v>74</v>
      </c>
      <c r="F537" t="s">
        <v>9634</v>
      </c>
      <c r="G537" t="s">
        <v>74</v>
      </c>
      <c r="H537" t="s">
        <v>74</v>
      </c>
      <c r="I537" t="s">
        <v>9635</v>
      </c>
      <c r="J537" t="s">
        <v>9636</v>
      </c>
      <c r="K537" t="s">
        <v>74</v>
      </c>
      <c r="L537" t="s">
        <v>74</v>
      </c>
      <c r="M537" t="s">
        <v>78</v>
      </c>
      <c r="N537" t="s">
        <v>9637</v>
      </c>
      <c r="O537" t="s">
        <v>74</v>
      </c>
      <c r="P537" t="s">
        <v>74</v>
      </c>
      <c r="Q537" t="s">
        <v>74</v>
      </c>
      <c r="R537" t="s">
        <v>74</v>
      </c>
      <c r="S537" t="s">
        <v>74</v>
      </c>
      <c r="T537" t="s">
        <v>9638</v>
      </c>
      <c r="U537" t="s">
        <v>9639</v>
      </c>
      <c r="V537" t="s">
        <v>9640</v>
      </c>
      <c r="W537" t="s">
        <v>9641</v>
      </c>
      <c r="X537" t="s">
        <v>9642</v>
      </c>
      <c r="Y537" t="s">
        <v>9643</v>
      </c>
      <c r="Z537" t="s">
        <v>9644</v>
      </c>
      <c r="AA537" t="s">
        <v>74</v>
      </c>
      <c r="AB537" t="s">
        <v>9645</v>
      </c>
      <c r="AC537" t="s">
        <v>74</v>
      </c>
      <c r="AD537" t="s">
        <v>74</v>
      </c>
      <c r="AE537" t="s">
        <v>74</v>
      </c>
      <c r="AF537" t="s">
        <v>74</v>
      </c>
      <c r="AG537">
        <v>20</v>
      </c>
      <c r="AH537">
        <v>0</v>
      </c>
      <c r="AI537">
        <v>0</v>
      </c>
      <c r="AJ537">
        <v>0</v>
      </c>
      <c r="AK537">
        <v>0</v>
      </c>
      <c r="AL537" t="s">
        <v>1188</v>
      </c>
      <c r="AM537" t="s">
        <v>93</v>
      </c>
      <c r="AN537" t="s">
        <v>1189</v>
      </c>
      <c r="AO537" t="s">
        <v>9646</v>
      </c>
      <c r="AP537" t="s">
        <v>9647</v>
      </c>
      <c r="AQ537" t="s">
        <v>74</v>
      </c>
      <c r="AR537" t="s">
        <v>9648</v>
      </c>
      <c r="AS537" t="s">
        <v>9649</v>
      </c>
      <c r="AT537" t="s">
        <v>9574</v>
      </c>
      <c r="AU537">
        <v>2023</v>
      </c>
      <c r="AV537" t="s">
        <v>74</v>
      </c>
      <c r="AW537" t="s">
        <v>74</v>
      </c>
      <c r="AX537" t="s">
        <v>74</v>
      </c>
      <c r="AY537" t="s">
        <v>74</v>
      </c>
      <c r="AZ537" t="s">
        <v>74</v>
      </c>
      <c r="BA537" t="s">
        <v>74</v>
      </c>
      <c r="BB537" t="s">
        <v>74</v>
      </c>
      <c r="BC537" t="s">
        <v>74</v>
      </c>
      <c r="BD537">
        <v>2248978</v>
      </c>
      <c r="BE537" t="s">
        <v>9650</v>
      </c>
      <c r="BF537" t="str">
        <f>HYPERLINK("http://dx.doi.org/10.1080/10225706.2023.2248978","http://dx.doi.org/10.1080/10225706.2023.2248978")</f>
        <v>http://dx.doi.org/10.1080/10225706.2023.2248978</v>
      </c>
      <c r="BG537" t="s">
        <v>74</v>
      </c>
      <c r="BH537" t="s">
        <v>74</v>
      </c>
      <c r="BI537">
        <v>12</v>
      </c>
      <c r="BJ537" t="s">
        <v>1194</v>
      </c>
      <c r="BK537" t="s">
        <v>211</v>
      </c>
      <c r="BL537" t="s">
        <v>1194</v>
      </c>
      <c r="BM537" t="s">
        <v>9651</v>
      </c>
      <c r="BN537" t="s">
        <v>74</v>
      </c>
      <c r="BO537" t="s">
        <v>74</v>
      </c>
      <c r="BP537" t="s">
        <v>74</v>
      </c>
      <c r="BQ537" t="s">
        <v>74</v>
      </c>
      <c r="BR537" t="s">
        <v>105</v>
      </c>
      <c r="BS537" t="s">
        <v>9652</v>
      </c>
      <c r="BT537" t="str">
        <f>HYPERLINK("https%3A%2F%2Fwww.webofscience.com%2Fwos%2Fwoscc%2Ffull-record%2FWOS:001053619100001","View Full Record in Web of Science")</f>
        <v>View Full Record in Web of Science</v>
      </c>
    </row>
    <row r="538" spans="1:72" x14ac:dyDescent="0.15">
      <c r="A538" t="s">
        <v>72</v>
      </c>
      <c r="B538" t="s">
        <v>9653</v>
      </c>
      <c r="C538" t="s">
        <v>74</v>
      </c>
      <c r="D538" t="s">
        <v>74</v>
      </c>
      <c r="E538" t="s">
        <v>74</v>
      </c>
      <c r="F538" t="s">
        <v>9654</v>
      </c>
      <c r="G538" t="s">
        <v>74</v>
      </c>
      <c r="H538" t="s">
        <v>74</v>
      </c>
      <c r="I538" t="s">
        <v>9655</v>
      </c>
      <c r="J538" t="s">
        <v>9656</v>
      </c>
      <c r="K538" t="s">
        <v>74</v>
      </c>
      <c r="L538" t="s">
        <v>74</v>
      </c>
      <c r="M538" t="s">
        <v>78</v>
      </c>
      <c r="N538" t="s">
        <v>79</v>
      </c>
      <c r="O538" t="s">
        <v>74</v>
      </c>
      <c r="P538" t="s">
        <v>74</v>
      </c>
      <c r="Q538" t="s">
        <v>74</v>
      </c>
      <c r="R538" t="s">
        <v>74</v>
      </c>
      <c r="S538" t="s">
        <v>74</v>
      </c>
      <c r="T538" t="s">
        <v>9657</v>
      </c>
      <c r="U538" t="s">
        <v>9658</v>
      </c>
      <c r="V538" t="s">
        <v>9659</v>
      </c>
      <c r="W538" t="s">
        <v>9660</v>
      </c>
      <c r="X538" t="s">
        <v>9661</v>
      </c>
      <c r="Y538" t="s">
        <v>9662</v>
      </c>
      <c r="Z538" t="s">
        <v>9663</v>
      </c>
      <c r="AA538" t="s">
        <v>74</v>
      </c>
      <c r="AB538" t="s">
        <v>9664</v>
      </c>
      <c r="AC538" t="s">
        <v>9665</v>
      </c>
      <c r="AD538" t="s">
        <v>9665</v>
      </c>
      <c r="AE538" t="s">
        <v>9665</v>
      </c>
      <c r="AF538" t="s">
        <v>74</v>
      </c>
      <c r="AG538">
        <v>36</v>
      </c>
      <c r="AH538">
        <v>0</v>
      </c>
      <c r="AI538">
        <v>0</v>
      </c>
      <c r="AJ538">
        <v>0</v>
      </c>
      <c r="AK538">
        <v>0</v>
      </c>
      <c r="AL538" t="s">
        <v>92</v>
      </c>
      <c r="AM538" t="s">
        <v>93</v>
      </c>
      <c r="AN538" t="s">
        <v>94</v>
      </c>
      <c r="AO538" t="s">
        <v>9666</v>
      </c>
      <c r="AP538" t="s">
        <v>9667</v>
      </c>
      <c r="AQ538" t="s">
        <v>74</v>
      </c>
      <c r="AR538" t="s">
        <v>9668</v>
      </c>
      <c r="AS538" t="s">
        <v>9669</v>
      </c>
      <c r="AT538" t="s">
        <v>9670</v>
      </c>
      <c r="AU538">
        <v>2023</v>
      </c>
      <c r="AV538" t="s">
        <v>74</v>
      </c>
      <c r="AW538" t="s">
        <v>74</v>
      </c>
      <c r="AX538" t="s">
        <v>74</v>
      </c>
      <c r="AY538" t="s">
        <v>74</v>
      </c>
      <c r="AZ538" t="s">
        <v>74</v>
      </c>
      <c r="BA538" t="s">
        <v>74</v>
      </c>
      <c r="BB538" t="s">
        <v>74</v>
      </c>
      <c r="BC538" t="s">
        <v>74</v>
      </c>
      <c r="BD538">
        <v>2249635</v>
      </c>
      <c r="BE538" t="s">
        <v>9671</v>
      </c>
      <c r="BF538" t="str">
        <f>HYPERLINK("http://dx.doi.org/10.1080/1028415X.2023.2249635","http://dx.doi.org/10.1080/1028415X.2023.2249635")</f>
        <v>http://dx.doi.org/10.1080/1028415X.2023.2249635</v>
      </c>
      <c r="BG538" t="s">
        <v>74</v>
      </c>
      <c r="BH538" t="s">
        <v>74</v>
      </c>
      <c r="BI538">
        <v>8</v>
      </c>
      <c r="BJ538" t="s">
        <v>9672</v>
      </c>
      <c r="BK538" t="s">
        <v>102</v>
      </c>
      <c r="BL538" t="s">
        <v>9673</v>
      </c>
      <c r="BM538" t="s">
        <v>9674</v>
      </c>
      <c r="BN538">
        <v>37624042</v>
      </c>
      <c r="BO538" t="s">
        <v>74</v>
      </c>
      <c r="BP538" t="s">
        <v>74</v>
      </c>
      <c r="BQ538" t="s">
        <v>74</v>
      </c>
      <c r="BR538" t="s">
        <v>105</v>
      </c>
      <c r="BS538" t="s">
        <v>9675</v>
      </c>
      <c r="BT538" t="str">
        <f>HYPERLINK("https%3A%2F%2Fwww.webofscience.com%2Fwos%2Fwoscc%2Ffull-record%2FWOS:001054346200001","View Full Record in Web of Science")</f>
        <v>View Full Record in Web of Science</v>
      </c>
    </row>
    <row r="539" spans="1:72" x14ac:dyDescent="0.15">
      <c r="A539" t="s">
        <v>72</v>
      </c>
      <c r="B539" t="s">
        <v>9676</v>
      </c>
      <c r="C539" t="s">
        <v>74</v>
      </c>
      <c r="D539" t="s">
        <v>74</v>
      </c>
      <c r="E539" t="s">
        <v>74</v>
      </c>
      <c r="F539" t="s">
        <v>9677</v>
      </c>
      <c r="G539" t="s">
        <v>74</v>
      </c>
      <c r="H539" t="s">
        <v>74</v>
      </c>
      <c r="I539" t="s">
        <v>9678</v>
      </c>
      <c r="J539" t="s">
        <v>9679</v>
      </c>
      <c r="K539" t="s">
        <v>74</v>
      </c>
      <c r="L539" t="s">
        <v>74</v>
      </c>
      <c r="M539" t="s">
        <v>78</v>
      </c>
      <c r="N539" t="s">
        <v>79</v>
      </c>
      <c r="O539" t="s">
        <v>74</v>
      </c>
      <c r="P539" t="s">
        <v>74</v>
      </c>
      <c r="Q539" t="s">
        <v>74</v>
      </c>
      <c r="R539" t="s">
        <v>74</v>
      </c>
      <c r="S539" t="s">
        <v>74</v>
      </c>
      <c r="T539" t="s">
        <v>9680</v>
      </c>
      <c r="U539" t="s">
        <v>9681</v>
      </c>
      <c r="V539" t="s">
        <v>9682</v>
      </c>
      <c r="W539" t="s">
        <v>9683</v>
      </c>
      <c r="X539" t="s">
        <v>9684</v>
      </c>
      <c r="Y539" t="s">
        <v>9685</v>
      </c>
      <c r="Z539" t="s">
        <v>9686</v>
      </c>
      <c r="AA539" t="s">
        <v>9687</v>
      </c>
      <c r="AB539" t="s">
        <v>9688</v>
      </c>
      <c r="AC539" t="s">
        <v>74</v>
      </c>
      <c r="AD539" t="s">
        <v>74</v>
      </c>
      <c r="AE539" t="s">
        <v>74</v>
      </c>
      <c r="AF539" t="s">
        <v>74</v>
      </c>
      <c r="AG539">
        <v>70</v>
      </c>
      <c r="AH539">
        <v>0</v>
      </c>
      <c r="AI539">
        <v>0</v>
      </c>
      <c r="AJ539">
        <v>0</v>
      </c>
      <c r="AK539">
        <v>0</v>
      </c>
      <c r="AL539" t="s">
        <v>1188</v>
      </c>
      <c r="AM539" t="s">
        <v>93</v>
      </c>
      <c r="AN539" t="s">
        <v>1189</v>
      </c>
      <c r="AO539" t="s">
        <v>9689</v>
      </c>
      <c r="AP539" t="s">
        <v>9690</v>
      </c>
      <c r="AQ539" t="s">
        <v>74</v>
      </c>
      <c r="AR539" t="s">
        <v>9679</v>
      </c>
      <c r="AS539" t="s">
        <v>9691</v>
      </c>
      <c r="AT539" t="s">
        <v>9670</v>
      </c>
      <c r="AU539">
        <v>2023</v>
      </c>
      <c r="AV539" t="s">
        <v>74</v>
      </c>
      <c r="AW539" t="s">
        <v>74</v>
      </c>
      <c r="AX539" t="s">
        <v>74</v>
      </c>
      <c r="AY539" t="s">
        <v>74</v>
      </c>
      <c r="AZ539" t="s">
        <v>74</v>
      </c>
      <c r="BA539" t="s">
        <v>74</v>
      </c>
      <c r="BB539" t="s">
        <v>74</v>
      </c>
      <c r="BC539" t="s">
        <v>74</v>
      </c>
      <c r="BD539">
        <v>2249272</v>
      </c>
      <c r="BE539" t="s">
        <v>9692</v>
      </c>
      <c r="BF539" t="str">
        <f>HYPERLINK("http://dx.doi.org/10.1080/09658211.2023.2249272","http://dx.doi.org/10.1080/09658211.2023.2249272")</f>
        <v>http://dx.doi.org/10.1080/09658211.2023.2249272</v>
      </c>
      <c r="BG539" t="s">
        <v>74</v>
      </c>
      <c r="BH539" t="s">
        <v>74</v>
      </c>
      <c r="BI539">
        <v>13</v>
      </c>
      <c r="BJ539" t="s">
        <v>9693</v>
      </c>
      <c r="BK539" t="s">
        <v>272</v>
      </c>
      <c r="BL539" t="s">
        <v>1691</v>
      </c>
      <c r="BM539" t="s">
        <v>9694</v>
      </c>
      <c r="BN539">
        <v>37599512</v>
      </c>
      <c r="BO539" t="s">
        <v>74</v>
      </c>
      <c r="BP539" t="s">
        <v>74</v>
      </c>
      <c r="BQ539" t="s">
        <v>74</v>
      </c>
      <c r="BR539" t="s">
        <v>105</v>
      </c>
      <c r="BS539" t="s">
        <v>9695</v>
      </c>
      <c r="BT539" t="str">
        <f>HYPERLINK("https%3A%2F%2Fwww.webofscience.com%2Fwos%2Fwoscc%2Ffull-record%2FWOS:001053768100001","View Full Record in Web of Science")</f>
        <v>View Full Record in Web of Science</v>
      </c>
    </row>
    <row r="540" spans="1:72" x14ac:dyDescent="0.15">
      <c r="A540" t="s">
        <v>72</v>
      </c>
      <c r="B540" t="s">
        <v>9696</v>
      </c>
      <c r="C540" t="s">
        <v>74</v>
      </c>
      <c r="D540" t="s">
        <v>74</v>
      </c>
      <c r="E540" t="s">
        <v>74</v>
      </c>
      <c r="F540" t="s">
        <v>9697</v>
      </c>
      <c r="G540" t="s">
        <v>74</v>
      </c>
      <c r="H540" t="s">
        <v>74</v>
      </c>
      <c r="I540" t="s">
        <v>9698</v>
      </c>
      <c r="J540" t="s">
        <v>9699</v>
      </c>
      <c r="K540" t="s">
        <v>74</v>
      </c>
      <c r="L540" t="s">
        <v>74</v>
      </c>
      <c r="M540" t="s">
        <v>78</v>
      </c>
      <c r="N540" t="s">
        <v>79</v>
      </c>
      <c r="O540" t="s">
        <v>74</v>
      </c>
      <c r="P540" t="s">
        <v>74</v>
      </c>
      <c r="Q540" t="s">
        <v>74</v>
      </c>
      <c r="R540" t="s">
        <v>74</v>
      </c>
      <c r="S540" t="s">
        <v>74</v>
      </c>
      <c r="T540" t="s">
        <v>9700</v>
      </c>
      <c r="U540" t="s">
        <v>9701</v>
      </c>
      <c r="V540" t="s">
        <v>9702</v>
      </c>
      <c r="W540" t="s">
        <v>9703</v>
      </c>
      <c r="X540" t="s">
        <v>9704</v>
      </c>
      <c r="Y540" t="s">
        <v>9705</v>
      </c>
      <c r="Z540" t="s">
        <v>9706</v>
      </c>
      <c r="AA540" t="s">
        <v>74</v>
      </c>
      <c r="AB540" t="s">
        <v>74</v>
      </c>
      <c r="AC540" t="s">
        <v>74</v>
      </c>
      <c r="AD540" t="s">
        <v>74</v>
      </c>
      <c r="AE540" t="s">
        <v>74</v>
      </c>
      <c r="AF540" t="s">
        <v>74</v>
      </c>
      <c r="AG540">
        <v>92</v>
      </c>
      <c r="AH540">
        <v>0</v>
      </c>
      <c r="AI540">
        <v>0</v>
      </c>
      <c r="AJ540">
        <v>3</v>
      </c>
      <c r="AK540">
        <v>3</v>
      </c>
      <c r="AL540" t="s">
        <v>184</v>
      </c>
      <c r="AM540" t="s">
        <v>185</v>
      </c>
      <c r="AN540" t="s">
        <v>186</v>
      </c>
      <c r="AO540" t="s">
        <v>9707</v>
      </c>
      <c r="AP540" t="s">
        <v>9708</v>
      </c>
      <c r="AQ540" t="s">
        <v>74</v>
      </c>
      <c r="AR540" t="s">
        <v>9709</v>
      </c>
      <c r="AS540" t="s">
        <v>9710</v>
      </c>
      <c r="AT540" t="s">
        <v>9670</v>
      </c>
      <c r="AU540">
        <v>2023</v>
      </c>
      <c r="AV540" t="s">
        <v>74</v>
      </c>
      <c r="AW540" t="s">
        <v>74</v>
      </c>
      <c r="AX540" t="s">
        <v>74</v>
      </c>
      <c r="AY540" t="s">
        <v>74</v>
      </c>
      <c r="AZ540" t="s">
        <v>74</v>
      </c>
      <c r="BA540" t="s">
        <v>74</v>
      </c>
      <c r="BB540" t="s">
        <v>74</v>
      </c>
      <c r="BC540" t="s">
        <v>74</v>
      </c>
      <c r="BD540">
        <v>2248238</v>
      </c>
      <c r="BE540" t="s">
        <v>9711</v>
      </c>
      <c r="BF540" t="str">
        <f>HYPERLINK("http://dx.doi.org/10.1080/10826068.2023.2248238","http://dx.doi.org/10.1080/10826068.2023.2248238")</f>
        <v>http://dx.doi.org/10.1080/10826068.2023.2248238</v>
      </c>
      <c r="BG540" t="s">
        <v>74</v>
      </c>
      <c r="BH540" t="s">
        <v>74</v>
      </c>
      <c r="BI540">
        <v>13</v>
      </c>
      <c r="BJ540" t="s">
        <v>9712</v>
      </c>
      <c r="BK540" t="s">
        <v>102</v>
      </c>
      <c r="BL540" t="s">
        <v>9713</v>
      </c>
      <c r="BM540" t="s">
        <v>9714</v>
      </c>
      <c r="BN540">
        <v>37610377</v>
      </c>
      <c r="BO540" t="s">
        <v>74</v>
      </c>
      <c r="BP540" t="s">
        <v>74</v>
      </c>
      <c r="BQ540" t="s">
        <v>74</v>
      </c>
      <c r="BR540" t="s">
        <v>105</v>
      </c>
      <c r="BS540" t="s">
        <v>9715</v>
      </c>
      <c r="BT540" t="str">
        <f>HYPERLINK("https%3A%2F%2Fwww.webofscience.com%2Fwos%2Fwoscc%2Ffull-record%2FWOS:001053578400001","View Full Record in Web of Science")</f>
        <v>View Full Record in Web of Science</v>
      </c>
    </row>
    <row r="541" spans="1:72" x14ac:dyDescent="0.15">
      <c r="A541" t="s">
        <v>72</v>
      </c>
      <c r="B541" t="s">
        <v>9716</v>
      </c>
      <c r="C541" t="s">
        <v>74</v>
      </c>
      <c r="D541" t="s">
        <v>74</v>
      </c>
      <c r="E541" t="s">
        <v>74</v>
      </c>
      <c r="F541" t="s">
        <v>9717</v>
      </c>
      <c r="G541" t="s">
        <v>74</v>
      </c>
      <c r="H541" t="s">
        <v>74</v>
      </c>
      <c r="I541" t="s">
        <v>9718</v>
      </c>
      <c r="J541" t="s">
        <v>9719</v>
      </c>
      <c r="K541" t="s">
        <v>74</v>
      </c>
      <c r="L541" t="s">
        <v>74</v>
      </c>
      <c r="M541" t="s">
        <v>78</v>
      </c>
      <c r="N541" t="s">
        <v>79</v>
      </c>
      <c r="O541" t="s">
        <v>74</v>
      </c>
      <c r="P541" t="s">
        <v>74</v>
      </c>
      <c r="Q541" t="s">
        <v>74</v>
      </c>
      <c r="R541" t="s">
        <v>74</v>
      </c>
      <c r="S541" t="s">
        <v>74</v>
      </c>
      <c r="T541" t="s">
        <v>9720</v>
      </c>
      <c r="U541" t="s">
        <v>9721</v>
      </c>
      <c r="V541" t="s">
        <v>9722</v>
      </c>
      <c r="W541" t="s">
        <v>9723</v>
      </c>
      <c r="X541" t="s">
        <v>9724</v>
      </c>
      <c r="Y541" t="s">
        <v>9725</v>
      </c>
      <c r="Z541" t="s">
        <v>9726</v>
      </c>
      <c r="AA541" t="s">
        <v>74</v>
      </c>
      <c r="AB541" t="s">
        <v>74</v>
      </c>
      <c r="AC541" t="s">
        <v>74</v>
      </c>
      <c r="AD541" t="s">
        <v>74</v>
      </c>
      <c r="AE541" t="s">
        <v>74</v>
      </c>
      <c r="AF541" t="s">
        <v>74</v>
      </c>
      <c r="AG541">
        <v>32</v>
      </c>
      <c r="AH541">
        <v>0</v>
      </c>
      <c r="AI541">
        <v>0</v>
      </c>
      <c r="AJ541">
        <v>1</v>
      </c>
      <c r="AK541">
        <v>1</v>
      </c>
      <c r="AL541" t="s">
        <v>1188</v>
      </c>
      <c r="AM541" t="s">
        <v>93</v>
      </c>
      <c r="AN541" t="s">
        <v>1189</v>
      </c>
      <c r="AO541" t="s">
        <v>9727</v>
      </c>
      <c r="AP541" t="s">
        <v>9728</v>
      </c>
      <c r="AQ541" t="s">
        <v>74</v>
      </c>
      <c r="AR541" t="s">
        <v>9729</v>
      </c>
      <c r="AS541" t="s">
        <v>9730</v>
      </c>
      <c r="AT541" t="s">
        <v>9731</v>
      </c>
      <c r="AU541">
        <v>2023</v>
      </c>
      <c r="AV541">
        <v>17</v>
      </c>
      <c r="AW541" t="s">
        <v>9732</v>
      </c>
      <c r="AX541" t="s">
        <v>74</v>
      </c>
      <c r="AY541" t="s">
        <v>74</v>
      </c>
      <c r="AZ541" t="s">
        <v>74</v>
      </c>
      <c r="BA541" t="s">
        <v>74</v>
      </c>
      <c r="BB541">
        <v>121</v>
      </c>
      <c r="BC541">
        <v>140</v>
      </c>
      <c r="BD541" t="s">
        <v>74</v>
      </c>
      <c r="BE541" t="s">
        <v>9733</v>
      </c>
      <c r="BF541" t="str">
        <f>HYPERLINK("http://dx.doi.org/10.1080/17531055.2023.2245596","http://dx.doi.org/10.1080/17531055.2023.2245596")</f>
        <v>http://dx.doi.org/10.1080/17531055.2023.2245596</v>
      </c>
      <c r="BG541" t="s">
        <v>74</v>
      </c>
      <c r="BH541" t="s">
        <v>8608</v>
      </c>
      <c r="BI541">
        <v>20</v>
      </c>
      <c r="BJ541" t="s">
        <v>9734</v>
      </c>
      <c r="BK541" t="s">
        <v>272</v>
      </c>
      <c r="BL541" t="s">
        <v>9735</v>
      </c>
      <c r="BM541" t="s">
        <v>9736</v>
      </c>
      <c r="BN541" t="s">
        <v>74</v>
      </c>
      <c r="BO541" t="s">
        <v>887</v>
      </c>
      <c r="BP541" t="s">
        <v>74</v>
      </c>
      <c r="BQ541" t="s">
        <v>74</v>
      </c>
      <c r="BR541" t="s">
        <v>105</v>
      </c>
      <c r="BS541" t="s">
        <v>9737</v>
      </c>
      <c r="BT541" t="str">
        <f>HYPERLINK("https%3A%2F%2Fwww.webofscience.com%2Fwos%2Fwoscc%2Ffull-record%2FWOS:001050472700001","View Full Record in Web of Science")</f>
        <v>View Full Record in Web of Science</v>
      </c>
    </row>
    <row r="542" spans="1:72" x14ac:dyDescent="0.15">
      <c r="A542" t="s">
        <v>72</v>
      </c>
      <c r="B542" t="s">
        <v>9738</v>
      </c>
      <c r="C542" t="s">
        <v>74</v>
      </c>
      <c r="D542" t="s">
        <v>74</v>
      </c>
      <c r="E542" t="s">
        <v>74</v>
      </c>
      <c r="F542" t="s">
        <v>9739</v>
      </c>
      <c r="G542" t="s">
        <v>74</v>
      </c>
      <c r="H542" t="s">
        <v>74</v>
      </c>
      <c r="I542" t="s">
        <v>9740</v>
      </c>
      <c r="J542" t="s">
        <v>9699</v>
      </c>
      <c r="K542" t="s">
        <v>74</v>
      </c>
      <c r="L542" t="s">
        <v>74</v>
      </c>
      <c r="M542" t="s">
        <v>78</v>
      </c>
      <c r="N542" t="s">
        <v>5492</v>
      </c>
      <c r="O542" t="s">
        <v>74</v>
      </c>
      <c r="P542" t="s">
        <v>74</v>
      </c>
      <c r="Q542" t="s">
        <v>74</v>
      </c>
      <c r="R542" t="s">
        <v>74</v>
      </c>
      <c r="S542" t="s">
        <v>74</v>
      </c>
      <c r="T542" t="s">
        <v>9741</v>
      </c>
      <c r="U542" t="s">
        <v>9742</v>
      </c>
      <c r="V542" t="s">
        <v>9743</v>
      </c>
      <c r="W542" t="s">
        <v>9744</v>
      </c>
      <c r="X542" t="s">
        <v>9745</v>
      </c>
      <c r="Y542" t="s">
        <v>9746</v>
      </c>
      <c r="Z542" t="s">
        <v>9747</v>
      </c>
      <c r="AA542" t="s">
        <v>74</v>
      </c>
      <c r="AB542" t="s">
        <v>74</v>
      </c>
      <c r="AC542" t="s">
        <v>74</v>
      </c>
      <c r="AD542" t="s">
        <v>74</v>
      </c>
      <c r="AE542" t="s">
        <v>74</v>
      </c>
      <c r="AF542" t="s">
        <v>74</v>
      </c>
      <c r="AG542">
        <v>46</v>
      </c>
      <c r="AH542">
        <v>0</v>
      </c>
      <c r="AI542">
        <v>0</v>
      </c>
      <c r="AJ542">
        <v>0</v>
      </c>
      <c r="AK542">
        <v>0</v>
      </c>
      <c r="AL542" t="s">
        <v>184</v>
      </c>
      <c r="AM542" t="s">
        <v>185</v>
      </c>
      <c r="AN542" t="s">
        <v>186</v>
      </c>
      <c r="AO542" t="s">
        <v>9707</v>
      </c>
      <c r="AP542" t="s">
        <v>9708</v>
      </c>
      <c r="AQ542" t="s">
        <v>74</v>
      </c>
      <c r="AR542" t="s">
        <v>9709</v>
      </c>
      <c r="AS542" t="s">
        <v>9710</v>
      </c>
      <c r="AT542" t="s">
        <v>9748</v>
      </c>
      <c r="AU542">
        <v>2023</v>
      </c>
      <c r="AV542" t="s">
        <v>74</v>
      </c>
      <c r="AW542" t="s">
        <v>74</v>
      </c>
      <c r="AX542" t="s">
        <v>74</v>
      </c>
      <c r="AY542" t="s">
        <v>74</v>
      </c>
      <c r="AZ542" t="s">
        <v>74</v>
      </c>
      <c r="BA542" t="s">
        <v>74</v>
      </c>
      <c r="BB542" t="s">
        <v>74</v>
      </c>
      <c r="BC542" t="s">
        <v>74</v>
      </c>
      <c r="BD542" t="s">
        <v>74</v>
      </c>
      <c r="BE542" t="s">
        <v>9749</v>
      </c>
      <c r="BF542" t="str">
        <f>HYPERLINK("http://dx.doi.org/10.1080/10826068.2023.2249091","http://dx.doi.org/10.1080/10826068.2023.2249091")</f>
        <v>http://dx.doi.org/10.1080/10826068.2023.2249091</v>
      </c>
      <c r="BG542" t="s">
        <v>74</v>
      </c>
      <c r="BH542" t="s">
        <v>8608</v>
      </c>
      <c r="BI542">
        <v>9</v>
      </c>
      <c r="BJ542" t="s">
        <v>9712</v>
      </c>
      <c r="BK542" t="s">
        <v>102</v>
      </c>
      <c r="BL542" t="s">
        <v>9713</v>
      </c>
      <c r="BM542" t="s">
        <v>9750</v>
      </c>
      <c r="BN542">
        <v>37607210</v>
      </c>
      <c r="BO542" t="s">
        <v>74</v>
      </c>
      <c r="BP542" t="s">
        <v>74</v>
      </c>
      <c r="BQ542" t="s">
        <v>74</v>
      </c>
      <c r="BR542" t="s">
        <v>105</v>
      </c>
      <c r="BS542" t="s">
        <v>9751</v>
      </c>
      <c r="BT542" t="str">
        <f>HYPERLINK("https%3A%2F%2Fwww.webofscience.com%2Fwos%2Fwoscc%2Ffull-record%2FWOS:001052380500001","View Full Record in Web of Science")</f>
        <v>View Full Record in Web of Science</v>
      </c>
    </row>
    <row r="543" spans="1:72" x14ac:dyDescent="0.15">
      <c r="A543" t="s">
        <v>72</v>
      </c>
      <c r="B543" t="s">
        <v>9752</v>
      </c>
      <c r="C543" t="s">
        <v>74</v>
      </c>
      <c r="D543" t="s">
        <v>74</v>
      </c>
      <c r="E543" t="s">
        <v>74</v>
      </c>
      <c r="F543" t="s">
        <v>9753</v>
      </c>
      <c r="G543" t="s">
        <v>74</v>
      </c>
      <c r="H543" t="s">
        <v>74</v>
      </c>
      <c r="I543" t="s">
        <v>9754</v>
      </c>
      <c r="J543" t="s">
        <v>6312</v>
      </c>
      <c r="K543" t="s">
        <v>74</v>
      </c>
      <c r="L543" t="s">
        <v>74</v>
      </c>
      <c r="M543" t="s">
        <v>78</v>
      </c>
      <c r="N543" t="s">
        <v>171</v>
      </c>
      <c r="O543" t="s">
        <v>74</v>
      </c>
      <c r="P543" t="s">
        <v>74</v>
      </c>
      <c r="Q543" t="s">
        <v>74</v>
      </c>
      <c r="R543" t="s">
        <v>74</v>
      </c>
      <c r="S543" t="s">
        <v>74</v>
      </c>
      <c r="T543" t="s">
        <v>9755</v>
      </c>
      <c r="U543" t="s">
        <v>9756</v>
      </c>
      <c r="V543" t="s">
        <v>9757</v>
      </c>
      <c r="W543" t="s">
        <v>9758</v>
      </c>
      <c r="X543" t="s">
        <v>9759</v>
      </c>
      <c r="Y543" t="s">
        <v>9760</v>
      </c>
      <c r="Z543" t="s">
        <v>9761</v>
      </c>
      <c r="AA543" t="s">
        <v>74</v>
      </c>
      <c r="AB543" t="s">
        <v>9762</v>
      </c>
      <c r="AC543" t="s">
        <v>9763</v>
      </c>
      <c r="AD543" t="s">
        <v>9764</v>
      </c>
      <c r="AE543" t="s">
        <v>9765</v>
      </c>
      <c r="AF543" t="s">
        <v>74</v>
      </c>
      <c r="AG543">
        <v>69</v>
      </c>
      <c r="AH543">
        <v>0</v>
      </c>
      <c r="AI543">
        <v>0</v>
      </c>
      <c r="AJ543">
        <v>3</v>
      </c>
      <c r="AK543">
        <v>3</v>
      </c>
      <c r="AL543" t="s">
        <v>1188</v>
      </c>
      <c r="AM543" t="s">
        <v>93</v>
      </c>
      <c r="AN543" t="s">
        <v>1189</v>
      </c>
      <c r="AO543" t="s">
        <v>6320</v>
      </c>
      <c r="AP543" t="s">
        <v>6321</v>
      </c>
      <c r="AQ543" t="s">
        <v>74</v>
      </c>
      <c r="AR543" t="s">
        <v>6322</v>
      </c>
      <c r="AS543" t="s">
        <v>6323</v>
      </c>
      <c r="AT543" t="s">
        <v>9766</v>
      </c>
      <c r="AU543">
        <v>2023</v>
      </c>
      <c r="AV543" t="s">
        <v>74</v>
      </c>
      <c r="AW543" t="s">
        <v>74</v>
      </c>
      <c r="AX543" t="s">
        <v>74</v>
      </c>
      <c r="AY543" t="s">
        <v>74</v>
      </c>
      <c r="AZ543" t="s">
        <v>74</v>
      </c>
      <c r="BA543" t="s">
        <v>74</v>
      </c>
      <c r="BB543" t="s">
        <v>74</v>
      </c>
      <c r="BC543" t="s">
        <v>74</v>
      </c>
      <c r="BD543">
        <v>2245940</v>
      </c>
      <c r="BE543" t="s">
        <v>9767</v>
      </c>
      <c r="BF543" t="str">
        <f>HYPERLINK("http://dx.doi.org/10.1080/23279095.2023.2245940","http://dx.doi.org/10.1080/23279095.2023.2245940")</f>
        <v>http://dx.doi.org/10.1080/23279095.2023.2245940</v>
      </c>
      <c r="BG543" t="s">
        <v>74</v>
      </c>
      <c r="BH543" t="s">
        <v>74</v>
      </c>
      <c r="BI543">
        <v>16</v>
      </c>
      <c r="BJ543" t="s">
        <v>6325</v>
      </c>
      <c r="BK543" t="s">
        <v>102</v>
      </c>
      <c r="BL543" t="s">
        <v>6326</v>
      </c>
      <c r="BM543" t="s">
        <v>9768</v>
      </c>
      <c r="BN543">
        <v>37603689</v>
      </c>
      <c r="BO543" t="s">
        <v>74</v>
      </c>
      <c r="BP543" t="s">
        <v>74</v>
      </c>
      <c r="BQ543" t="s">
        <v>74</v>
      </c>
      <c r="BR543" t="s">
        <v>105</v>
      </c>
      <c r="BS543" t="s">
        <v>9769</v>
      </c>
      <c r="BT543" t="str">
        <f>HYPERLINK("https%3A%2F%2Fwww.webofscience.com%2Fwos%2Fwoscc%2Ffull-record%2FWOS:001053727300001","View Full Record in Web of Science")</f>
        <v>View Full Record in Web of Science</v>
      </c>
    </row>
    <row r="544" spans="1:72" x14ac:dyDescent="0.15">
      <c r="A544" t="s">
        <v>72</v>
      </c>
      <c r="B544" t="s">
        <v>9770</v>
      </c>
      <c r="C544" t="s">
        <v>74</v>
      </c>
      <c r="D544" t="s">
        <v>74</v>
      </c>
      <c r="E544" t="s">
        <v>74</v>
      </c>
      <c r="F544" t="s">
        <v>9771</v>
      </c>
      <c r="G544" t="s">
        <v>74</v>
      </c>
      <c r="H544" t="s">
        <v>74</v>
      </c>
      <c r="I544" t="s">
        <v>9772</v>
      </c>
      <c r="J544" t="s">
        <v>9773</v>
      </c>
      <c r="K544" t="s">
        <v>74</v>
      </c>
      <c r="L544" t="s">
        <v>74</v>
      </c>
      <c r="M544" t="s">
        <v>78</v>
      </c>
      <c r="N544" t="s">
        <v>79</v>
      </c>
      <c r="O544" t="s">
        <v>74</v>
      </c>
      <c r="P544" t="s">
        <v>74</v>
      </c>
      <c r="Q544" t="s">
        <v>74</v>
      </c>
      <c r="R544" t="s">
        <v>74</v>
      </c>
      <c r="S544" t="s">
        <v>74</v>
      </c>
      <c r="T544" t="s">
        <v>9774</v>
      </c>
      <c r="U544" t="s">
        <v>9775</v>
      </c>
      <c r="V544" t="s">
        <v>9776</v>
      </c>
      <c r="W544" t="s">
        <v>9777</v>
      </c>
      <c r="X544" t="s">
        <v>9778</v>
      </c>
      <c r="Y544" t="s">
        <v>9779</v>
      </c>
      <c r="Z544" t="s">
        <v>9780</v>
      </c>
      <c r="AA544" t="s">
        <v>74</v>
      </c>
      <c r="AB544" t="s">
        <v>74</v>
      </c>
      <c r="AC544" t="s">
        <v>74</v>
      </c>
      <c r="AD544" t="s">
        <v>74</v>
      </c>
      <c r="AE544" t="s">
        <v>74</v>
      </c>
      <c r="AF544" t="s">
        <v>74</v>
      </c>
      <c r="AG544">
        <v>28</v>
      </c>
      <c r="AH544">
        <v>0</v>
      </c>
      <c r="AI544">
        <v>0</v>
      </c>
      <c r="AJ544">
        <v>1</v>
      </c>
      <c r="AK544">
        <v>1</v>
      </c>
      <c r="AL544" t="s">
        <v>1188</v>
      </c>
      <c r="AM544" t="s">
        <v>93</v>
      </c>
      <c r="AN544" t="s">
        <v>1189</v>
      </c>
      <c r="AO544" t="s">
        <v>9781</v>
      </c>
      <c r="AP544" t="s">
        <v>9782</v>
      </c>
      <c r="AQ544" t="s">
        <v>74</v>
      </c>
      <c r="AR544" t="s">
        <v>9783</v>
      </c>
      <c r="AS544" t="s">
        <v>9784</v>
      </c>
      <c r="AT544" t="s">
        <v>9766</v>
      </c>
      <c r="AU544">
        <v>2023</v>
      </c>
      <c r="AV544" t="s">
        <v>74</v>
      </c>
      <c r="AW544" t="s">
        <v>74</v>
      </c>
      <c r="AX544" t="s">
        <v>74</v>
      </c>
      <c r="AY544" t="s">
        <v>74</v>
      </c>
      <c r="AZ544" t="s">
        <v>74</v>
      </c>
      <c r="BA544" t="s">
        <v>74</v>
      </c>
      <c r="BB544" t="s">
        <v>74</v>
      </c>
      <c r="BC544" t="s">
        <v>74</v>
      </c>
      <c r="BD544">
        <v>2244281</v>
      </c>
      <c r="BE544" t="s">
        <v>9785</v>
      </c>
      <c r="BF544" t="str">
        <f>HYPERLINK("http://dx.doi.org/10.1080/17538963.2023.2244281","http://dx.doi.org/10.1080/17538963.2023.2244281")</f>
        <v>http://dx.doi.org/10.1080/17538963.2023.2244281</v>
      </c>
      <c r="BG544" t="s">
        <v>74</v>
      </c>
      <c r="BH544" t="s">
        <v>74</v>
      </c>
      <c r="BI544">
        <v>23</v>
      </c>
      <c r="BJ544" t="s">
        <v>373</v>
      </c>
      <c r="BK544" t="s">
        <v>211</v>
      </c>
      <c r="BL544" t="s">
        <v>295</v>
      </c>
      <c r="BM544" t="s">
        <v>9786</v>
      </c>
      <c r="BN544" t="s">
        <v>74</v>
      </c>
      <c r="BO544" t="s">
        <v>74</v>
      </c>
      <c r="BP544" t="s">
        <v>74</v>
      </c>
      <c r="BQ544" t="s">
        <v>74</v>
      </c>
      <c r="BR544" t="s">
        <v>105</v>
      </c>
      <c r="BS544" t="s">
        <v>9787</v>
      </c>
      <c r="BT544" t="str">
        <f>HYPERLINK("https%3A%2F%2Fwww.webofscience.com%2Fwos%2Fwoscc%2Ffull-record%2FWOS:001053736500001","View Full Record in Web of Science")</f>
        <v>View Full Record in Web of Science</v>
      </c>
    </row>
    <row r="545" spans="1:72" x14ac:dyDescent="0.15">
      <c r="A545" t="s">
        <v>72</v>
      </c>
      <c r="B545" t="s">
        <v>9788</v>
      </c>
      <c r="C545" t="s">
        <v>74</v>
      </c>
      <c r="D545" t="s">
        <v>74</v>
      </c>
      <c r="E545" t="s">
        <v>74</v>
      </c>
      <c r="F545" t="s">
        <v>9789</v>
      </c>
      <c r="G545" t="s">
        <v>74</v>
      </c>
      <c r="H545" t="s">
        <v>74</v>
      </c>
      <c r="I545" t="s">
        <v>9790</v>
      </c>
      <c r="J545" t="s">
        <v>5875</v>
      </c>
      <c r="K545" t="s">
        <v>74</v>
      </c>
      <c r="L545" t="s">
        <v>74</v>
      </c>
      <c r="M545" t="s">
        <v>78</v>
      </c>
      <c r="N545" t="s">
        <v>79</v>
      </c>
      <c r="O545" t="s">
        <v>74</v>
      </c>
      <c r="P545" t="s">
        <v>74</v>
      </c>
      <c r="Q545" t="s">
        <v>74</v>
      </c>
      <c r="R545" t="s">
        <v>74</v>
      </c>
      <c r="S545" t="s">
        <v>74</v>
      </c>
      <c r="T545" t="s">
        <v>9791</v>
      </c>
      <c r="U545" t="s">
        <v>9792</v>
      </c>
      <c r="V545" t="s">
        <v>9793</v>
      </c>
      <c r="W545" t="s">
        <v>9794</v>
      </c>
      <c r="X545" t="s">
        <v>9795</v>
      </c>
      <c r="Y545" t="s">
        <v>9796</v>
      </c>
      <c r="Z545" t="s">
        <v>9797</v>
      </c>
      <c r="AA545" t="s">
        <v>74</v>
      </c>
      <c r="AB545" t="s">
        <v>9798</v>
      </c>
      <c r="AC545" t="s">
        <v>74</v>
      </c>
      <c r="AD545" t="s">
        <v>74</v>
      </c>
      <c r="AE545" t="s">
        <v>74</v>
      </c>
      <c r="AF545" t="s">
        <v>74</v>
      </c>
      <c r="AG545">
        <v>28</v>
      </c>
      <c r="AH545">
        <v>0</v>
      </c>
      <c r="AI545">
        <v>0</v>
      </c>
      <c r="AJ545">
        <v>1</v>
      </c>
      <c r="AK545">
        <v>1</v>
      </c>
      <c r="AL545" t="s">
        <v>92</v>
      </c>
      <c r="AM545" t="s">
        <v>93</v>
      </c>
      <c r="AN545" t="s">
        <v>94</v>
      </c>
      <c r="AO545" t="s">
        <v>5885</v>
      </c>
      <c r="AP545" t="s">
        <v>5886</v>
      </c>
      <c r="AQ545" t="s">
        <v>74</v>
      </c>
      <c r="AR545" t="s">
        <v>5887</v>
      </c>
      <c r="AS545" t="s">
        <v>5888</v>
      </c>
      <c r="AT545" t="s">
        <v>9766</v>
      </c>
      <c r="AU545">
        <v>2023</v>
      </c>
      <c r="AV545" t="s">
        <v>74</v>
      </c>
      <c r="AW545" t="s">
        <v>74</v>
      </c>
      <c r="AX545" t="s">
        <v>74</v>
      </c>
      <c r="AY545" t="s">
        <v>74</v>
      </c>
      <c r="AZ545" t="s">
        <v>74</v>
      </c>
      <c r="BA545" t="s">
        <v>74</v>
      </c>
      <c r="BB545" t="s">
        <v>74</v>
      </c>
      <c r="BC545" t="s">
        <v>74</v>
      </c>
      <c r="BD545" t="s">
        <v>74</v>
      </c>
      <c r="BE545" t="s">
        <v>9799</v>
      </c>
      <c r="BF545" t="str">
        <f>HYPERLINK("http://dx.doi.org/10.1080/21678421.2023.2245858","http://dx.doi.org/10.1080/21678421.2023.2245858")</f>
        <v>http://dx.doi.org/10.1080/21678421.2023.2245858</v>
      </c>
      <c r="BG545" t="s">
        <v>74</v>
      </c>
      <c r="BH545" t="s">
        <v>74</v>
      </c>
      <c r="BI545">
        <v>7</v>
      </c>
      <c r="BJ545" t="s">
        <v>2796</v>
      </c>
      <c r="BK545" t="s">
        <v>102</v>
      </c>
      <c r="BL545" t="s">
        <v>2797</v>
      </c>
      <c r="BM545" t="s">
        <v>9800</v>
      </c>
      <c r="BN545">
        <v>37602649</v>
      </c>
      <c r="BO545" t="s">
        <v>9801</v>
      </c>
      <c r="BP545" t="s">
        <v>74</v>
      </c>
      <c r="BQ545" t="s">
        <v>74</v>
      </c>
      <c r="BR545" t="s">
        <v>105</v>
      </c>
      <c r="BS545" t="s">
        <v>9802</v>
      </c>
      <c r="BT545" t="str">
        <f>HYPERLINK("https%3A%2F%2Fwww.webofscience.com%2Fwos%2Fwoscc%2Ffull-record%2FWOS:001053772600001","View Full Record in Web of Science")</f>
        <v>View Full Record in Web of Science</v>
      </c>
    </row>
    <row r="546" spans="1:72" x14ac:dyDescent="0.15">
      <c r="A546" t="s">
        <v>72</v>
      </c>
      <c r="B546" t="s">
        <v>9803</v>
      </c>
      <c r="C546" t="s">
        <v>74</v>
      </c>
      <c r="D546" t="s">
        <v>74</v>
      </c>
      <c r="E546" t="s">
        <v>74</v>
      </c>
      <c r="F546" t="s">
        <v>9804</v>
      </c>
      <c r="G546" t="s">
        <v>74</v>
      </c>
      <c r="H546" t="s">
        <v>74</v>
      </c>
      <c r="I546" t="s">
        <v>9805</v>
      </c>
      <c r="J546" t="s">
        <v>9806</v>
      </c>
      <c r="K546" t="s">
        <v>74</v>
      </c>
      <c r="L546" t="s">
        <v>74</v>
      </c>
      <c r="M546" t="s">
        <v>78</v>
      </c>
      <c r="N546" t="s">
        <v>5492</v>
      </c>
      <c r="O546" t="s">
        <v>74</v>
      </c>
      <c r="P546" t="s">
        <v>74</v>
      </c>
      <c r="Q546" t="s">
        <v>74</v>
      </c>
      <c r="R546" t="s">
        <v>74</v>
      </c>
      <c r="S546" t="s">
        <v>74</v>
      </c>
      <c r="T546" t="s">
        <v>74</v>
      </c>
      <c r="U546" t="s">
        <v>9807</v>
      </c>
      <c r="V546" t="s">
        <v>9808</v>
      </c>
      <c r="W546" t="s">
        <v>9809</v>
      </c>
      <c r="X546" t="s">
        <v>9810</v>
      </c>
      <c r="Y546" t="s">
        <v>9811</v>
      </c>
      <c r="Z546" t="s">
        <v>9812</v>
      </c>
      <c r="AA546" t="s">
        <v>9813</v>
      </c>
      <c r="AB546" t="s">
        <v>9814</v>
      </c>
      <c r="AC546" t="s">
        <v>9815</v>
      </c>
      <c r="AD546" t="s">
        <v>9815</v>
      </c>
      <c r="AE546" t="s">
        <v>9816</v>
      </c>
      <c r="AF546" t="s">
        <v>74</v>
      </c>
      <c r="AG546">
        <v>69</v>
      </c>
      <c r="AH546">
        <v>0</v>
      </c>
      <c r="AI546">
        <v>0</v>
      </c>
      <c r="AJ546">
        <v>0</v>
      </c>
      <c r="AK546">
        <v>0</v>
      </c>
      <c r="AL546" t="s">
        <v>184</v>
      </c>
      <c r="AM546" t="s">
        <v>185</v>
      </c>
      <c r="AN546" t="s">
        <v>186</v>
      </c>
      <c r="AO546" t="s">
        <v>9817</v>
      </c>
      <c r="AP546" t="s">
        <v>9818</v>
      </c>
      <c r="AQ546" t="s">
        <v>74</v>
      </c>
      <c r="AR546" t="s">
        <v>9819</v>
      </c>
      <c r="AS546" t="s">
        <v>9820</v>
      </c>
      <c r="AT546" t="s">
        <v>9821</v>
      </c>
      <c r="AU546">
        <v>2023</v>
      </c>
      <c r="AV546" t="s">
        <v>74</v>
      </c>
      <c r="AW546" t="s">
        <v>74</v>
      </c>
      <c r="AX546" t="s">
        <v>74</v>
      </c>
      <c r="AY546" t="s">
        <v>74</v>
      </c>
      <c r="AZ546" t="s">
        <v>74</v>
      </c>
      <c r="BA546" t="s">
        <v>74</v>
      </c>
      <c r="BB546" t="s">
        <v>74</v>
      </c>
      <c r="BC546" t="s">
        <v>74</v>
      </c>
      <c r="BD546" t="s">
        <v>74</v>
      </c>
      <c r="BE546" t="s">
        <v>9822</v>
      </c>
      <c r="BF546" t="str">
        <f>HYPERLINK("http://dx.doi.org/10.1080/23744731.2023.2247948","http://dx.doi.org/10.1080/23744731.2023.2247948")</f>
        <v>http://dx.doi.org/10.1080/23744731.2023.2247948</v>
      </c>
      <c r="BG546" t="s">
        <v>74</v>
      </c>
      <c r="BH546" t="s">
        <v>8608</v>
      </c>
      <c r="BI546">
        <v>18</v>
      </c>
      <c r="BJ546" t="s">
        <v>9823</v>
      </c>
      <c r="BK546" t="s">
        <v>102</v>
      </c>
      <c r="BL546" t="s">
        <v>9824</v>
      </c>
      <c r="BM546" t="s">
        <v>9825</v>
      </c>
      <c r="BN546" t="s">
        <v>74</v>
      </c>
      <c r="BO546" t="s">
        <v>74</v>
      </c>
      <c r="BP546" t="s">
        <v>74</v>
      </c>
      <c r="BQ546" t="s">
        <v>74</v>
      </c>
      <c r="BR546" t="s">
        <v>105</v>
      </c>
      <c r="BS546" t="s">
        <v>9826</v>
      </c>
      <c r="BT546" t="str">
        <f>HYPERLINK("https%3A%2F%2Fwww.webofscience.com%2Fwos%2Fwoscc%2Ffull-record%2FWOS:001058168200001","View Full Record in Web of Science")</f>
        <v>View Full Record in Web of Science</v>
      </c>
    </row>
    <row r="547" spans="1:72" x14ac:dyDescent="0.15">
      <c r="A547" t="s">
        <v>72</v>
      </c>
      <c r="B547" t="s">
        <v>9827</v>
      </c>
      <c r="C547" t="s">
        <v>74</v>
      </c>
      <c r="D547" t="s">
        <v>74</v>
      </c>
      <c r="E547" t="s">
        <v>74</v>
      </c>
      <c r="F547" t="s">
        <v>9828</v>
      </c>
      <c r="G547" t="s">
        <v>74</v>
      </c>
      <c r="H547" t="s">
        <v>74</v>
      </c>
      <c r="I547" t="s">
        <v>9829</v>
      </c>
      <c r="J547" t="s">
        <v>9830</v>
      </c>
      <c r="K547" t="s">
        <v>74</v>
      </c>
      <c r="L547" t="s">
        <v>74</v>
      </c>
      <c r="M547" t="s">
        <v>78</v>
      </c>
      <c r="N547" t="s">
        <v>5492</v>
      </c>
      <c r="O547" t="s">
        <v>74</v>
      </c>
      <c r="P547" t="s">
        <v>74</v>
      </c>
      <c r="Q547" t="s">
        <v>74</v>
      </c>
      <c r="R547" t="s">
        <v>74</v>
      </c>
      <c r="S547" t="s">
        <v>74</v>
      </c>
      <c r="T547" t="s">
        <v>9831</v>
      </c>
      <c r="U547" t="s">
        <v>9832</v>
      </c>
      <c r="V547" t="s">
        <v>9833</v>
      </c>
      <c r="W547" t="s">
        <v>9834</v>
      </c>
      <c r="X547" t="s">
        <v>9835</v>
      </c>
      <c r="Y547" t="s">
        <v>9836</v>
      </c>
      <c r="Z547" t="s">
        <v>9837</v>
      </c>
      <c r="AA547" t="s">
        <v>74</v>
      </c>
      <c r="AB547" t="s">
        <v>9838</v>
      </c>
      <c r="AC547" t="s">
        <v>74</v>
      </c>
      <c r="AD547" t="s">
        <v>74</v>
      </c>
      <c r="AE547" t="s">
        <v>74</v>
      </c>
      <c r="AF547" t="s">
        <v>74</v>
      </c>
      <c r="AG547">
        <v>24</v>
      </c>
      <c r="AH547">
        <v>0</v>
      </c>
      <c r="AI547">
        <v>0</v>
      </c>
      <c r="AJ547">
        <v>1</v>
      </c>
      <c r="AK547">
        <v>1</v>
      </c>
      <c r="AL547" t="s">
        <v>1188</v>
      </c>
      <c r="AM547" t="s">
        <v>93</v>
      </c>
      <c r="AN547" t="s">
        <v>1189</v>
      </c>
      <c r="AO547" t="s">
        <v>9839</v>
      </c>
      <c r="AP547" t="s">
        <v>9840</v>
      </c>
      <c r="AQ547" t="s">
        <v>74</v>
      </c>
      <c r="AR547" t="s">
        <v>9841</v>
      </c>
      <c r="AS547" t="s">
        <v>9842</v>
      </c>
      <c r="AT547" t="s">
        <v>9843</v>
      </c>
      <c r="AU547">
        <v>2023</v>
      </c>
      <c r="AV547" t="s">
        <v>74</v>
      </c>
      <c r="AW547" t="s">
        <v>74</v>
      </c>
      <c r="AX547" t="s">
        <v>74</v>
      </c>
      <c r="AY547" t="s">
        <v>74</v>
      </c>
      <c r="AZ547" t="s">
        <v>74</v>
      </c>
      <c r="BA547" t="s">
        <v>74</v>
      </c>
      <c r="BB547" t="s">
        <v>74</v>
      </c>
      <c r="BC547" t="s">
        <v>74</v>
      </c>
      <c r="BD547" t="s">
        <v>74</v>
      </c>
      <c r="BE547" t="s">
        <v>9844</v>
      </c>
      <c r="BF547" t="str">
        <f>HYPERLINK("http://dx.doi.org/10.1080/03630242.2023.2248516","http://dx.doi.org/10.1080/03630242.2023.2248516")</f>
        <v>http://dx.doi.org/10.1080/03630242.2023.2248516</v>
      </c>
      <c r="BG547" t="s">
        <v>74</v>
      </c>
      <c r="BH547" t="s">
        <v>8608</v>
      </c>
      <c r="BI547">
        <v>10</v>
      </c>
      <c r="BJ547" t="s">
        <v>9845</v>
      </c>
      <c r="BK547" t="s">
        <v>272</v>
      </c>
      <c r="BL547" t="s">
        <v>9845</v>
      </c>
      <c r="BM547" t="s">
        <v>9846</v>
      </c>
      <c r="BN547">
        <v>37599095</v>
      </c>
      <c r="BO547" t="s">
        <v>74</v>
      </c>
      <c r="BP547" t="s">
        <v>74</v>
      </c>
      <c r="BQ547" t="s">
        <v>74</v>
      </c>
      <c r="BR547" t="s">
        <v>105</v>
      </c>
      <c r="BS547" t="s">
        <v>9847</v>
      </c>
      <c r="BT547" t="str">
        <f>HYPERLINK("https%3A%2F%2Fwww.webofscience.com%2Fwos%2Fwoscc%2Ffull-record%2FWOS:001050557300001","View Full Record in Web of Science")</f>
        <v>View Full Record in Web of Science</v>
      </c>
    </row>
    <row r="548" spans="1:72" x14ac:dyDescent="0.15">
      <c r="A548" t="s">
        <v>72</v>
      </c>
      <c r="B548" t="s">
        <v>9848</v>
      </c>
      <c r="C548" t="s">
        <v>74</v>
      </c>
      <c r="D548" t="s">
        <v>74</v>
      </c>
      <c r="E548" t="s">
        <v>74</v>
      </c>
      <c r="F548" t="s">
        <v>9849</v>
      </c>
      <c r="G548" t="s">
        <v>74</v>
      </c>
      <c r="H548" t="s">
        <v>74</v>
      </c>
      <c r="I548" t="s">
        <v>9850</v>
      </c>
      <c r="J548" t="s">
        <v>9851</v>
      </c>
      <c r="K548" t="s">
        <v>74</v>
      </c>
      <c r="L548" t="s">
        <v>74</v>
      </c>
      <c r="M548" t="s">
        <v>78</v>
      </c>
      <c r="N548" t="s">
        <v>5492</v>
      </c>
      <c r="O548" t="s">
        <v>74</v>
      </c>
      <c r="P548" t="s">
        <v>74</v>
      </c>
      <c r="Q548" t="s">
        <v>74</v>
      </c>
      <c r="R548" t="s">
        <v>74</v>
      </c>
      <c r="S548" t="s">
        <v>74</v>
      </c>
      <c r="T548" t="s">
        <v>74</v>
      </c>
      <c r="U548" t="s">
        <v>9852</v>
      </c>
      <c r="V548" t="s">
        <v>9853</v>
      </c>
      <c r="W548" t="s">
        <v>9854</v>
      </c>
      <c r="X548" t="s">
        <v>9855</v>
      </c>
      <c r="Y548" t="s">
        <v>9856</v>
      </c>
      <c r="Z548" t="s">
        <v>9857</v>
      </c>
      <c r="AA548" t="s">
        <v>74</v>
      </c>
      <c r="AB548" t="s">
        <v>9858</v>
      </c>
      <c r="AC548" t="s">
        <v>74</v>
      </c>
      <c r="AD548" t="s">
        <v>74</v>
      </c>
      <c r="AE548" t="s">
        <v>74</v>
      </c>
      <c r="AF548" t="s">
        <v>74</v>
      </c>
      <c r="AG548">
        <v>55</v>
      </c>
      <c r="AH548">
        <v>0</v>
      </c>
      <c r="AI548">
        <v>0</v>
      </c>
      <c r="AJ548">
        <v>0</v>
      </c>
      <c r="AK548">
        <v>0</v>
      </c>
      <c r="AL548" t="s">
        <v>1188</v>
      </c>
      <c r="AM548" t="s">
        <v>93</v>
      </c>
      <c r="AN548" t="s">
        <v>1189</v>
      </c>
      <c r="AO548" t="s">
        <v>9859</v>
      </c>
      <c r="AP548" t="s">
        <v>9860</v>
      </c>
      <c r="AQ548" t="s">
        <v>74</v>
      </c>
      <c r="AR548" t="s">
        <v>9861</v>
      </c>
      <c r="AS548" t="s">
        <v>9862</v>
      </c>
      <c r="AT548" t="s">
        <v>9843</v>
      </c>
      <c r="AU548">
        <v>2023</v>
      </c>
      <c r="AV548" t="s">
        <v>74</v>
      </c>
      <c r="AW548" t="s">
        <v>74</v>
      </c>
      <c r="AX548" t="s">
        <v>74</v>
      </c>
      <c r="AY548" t="s">
        <v>74</v>
      </c>
      <c r="AZ548" t="s">
        <v>74</v>
      </c>
      <c r="BA548" t="s">
        <v>74</v>
      </c>
      <c r="BB548" t="s">
        <v>74</v>
      </c>
      <c r="BC548" t="s">
        <v>74</v>
      </c>
      <c r="BD548" t="s">
        <v>74</v>
      </c>
      <c r="BE548" t="s">
        <v>9863</v>
      </c>
      <c r="BF548" t="str">
        <f>HYPERLINK("http://dx.doi.org/10.1080/19496591.2023.2218302","http://dx.doi.org/10.1080/19496591.2023.2218302")</f>
        <v>http://dx.doi.org/10.1080/19496591.2023.2218302</v>
      </c>
      <c r="BG548" t="s">
        <v>74</v>
      </c>
      <c r="BH548" t="s">
        <v>8608</v>
      </c>
      <c r="BI548">
        <v>18</v>
      </c>
      <c r="BJ548" t="s">
        <v>271</v>
      </c>
      <c r="BK548" t="s">
        <v>211</v>
      </c>
      <c r="BL548" t="s">
        <v>271</v>
      </c>
      <c r="BM548" t="s">
        <v>9864</v>
      </c>
      <c r="BN548" t="s">
        <v>74</v>
      </c>
      <c r="BO548" t="s">
        <v>74</v>
      </c>
      <c r="BP548" t="s">
        <v>74</v>
      </c>
      <c r="BQ548" t="s">
        <v>74</v>
      </c>
      <c r="BR548" t="s">
        <v>105</v>
      </c>
      <c r="BS548" t="s">
        <v>9865</v>
      </c>
      <c r="BT548" t="str">
        <f>HYPERLINK("https%3A%2F%2Fwww.webofscience.com%2Fwos%2Fwoscc%2Ffull-record%2FWOS:001049758100001","View Full Record in Web of Science")</f>
        <v>View Full Record in Web of Science</v>
      </c>
    </row>
    <row r="549" spans="1:72" x14ac:dyDescent="0.15">
      <c r="A549" t="s">
        <v>72</v>
      </c>
      <c r="B549" t="s">
        <v>9866</v>
      </c>
      <c r="C549" t="s">
        <v>74</v>
      </c>
      <c r="D549" t="s">
        <v>74</v>
      </c>
      <c r="E549" t="s">
        <v>74</v>
      </c>
      <c r="F549" t="s">
        <v>9867</v>
      </c>
      <c r="G549" t="s">
        <v>74</v>
      </c>
      <c r="H549" t="s">
        <v>74</v>
      </c>
      <c r="I549" t="s">
        <v>9868</v>
      </c>
      <c r="J549" t="s">
        <v>8614</v>
      </c>
      <c r="K549" t="s">
        <v>74</v>
      </c>
      <c r="L549" t="s">
        <v>74</v>
      </c>
      <c r="M549" t="s">
        <v>78</v>
      </c>
      <c r="N549" t="s">
        <v>79</v>
      </c>
      <c r="O549" t="s">
        <v>74</v>
      </c>
      <c r="P549" t="s">
        <v>74</v>
      </c>
      <c r="Q549" t="s">
        <v>74</v>
      </c>
      <c r="R549" t="s">
        <v>74</v>
      </c>
      <c r="S549" t="s">
        <v>74</v>
      </c>
      <c r="T549" t="s">
        <v>9869</v>
      </c>
      <c r="U549" t="s">
        <v>9870</v>
      </c>
      <c r="V549" t="s">
        <v>9871</v>
      </c>
      <c r="W549" t="s">
        <v>9872</v>
      </c>
      <c r="X549" t="s">
        <v>9873</v>
      </c>
      <c r="Y549" t="s">
        <v>9874</v>
      </c>
      <c r="Z549" t="s">
        <v>9875</v>
      </c>
      <c r="AA549" t="s">
        <v>74</v>
      </c>
      <c r="AB549" t="s">
        <v>74</v>
      </c>
      <c r="AC549" t="s">
        <v>74</v>
      </c>
      <c r="AD549" t="s">
        <v>74</v>
      </c>
      <c r="AE549" t="s">
        <v>74</v>
      </c>
      <c r="AF549" t="s">
        <v>74</v>
      </c>
      <c r="AG549">
        <v>67</v>
      </c>
      <c r="AH549">
        <v>0</v>
      </c>
      <c r="AI549">
        <v>0</v>
      </c>
      <c r="AJ549">
        <v>0</v>
      </c>
      <c r="AK549">
        <v>0</v>
      </c>
      <c r="AL549" t="s">
        <v>92</v>
      </c>
      <c r="AM549" t="s">
        <v>93</v>
      </c>
      <c r="AN549" t="s">
        <v>94</v>
      </c>
      <c r="AO549" t="s">
        <v>8627</v>
      </c>
      <c r="AP549" t="s">
        <v>8628</v>
      </c>
      <c r="AQ549" t="s">
        <v>74</v>
      </c>
      <c r="AR549" t="s">
        <v>8629</v>
      </c>
      <c r="AS549" t="s">
        <v>8630</v>
      </c>
      <c r="AT549" t="s">
        <v>9876</v>
      </c>
      <c r="AU549">
        <v>2023</v>
      </c>
      <c r="AV549" t="s">
        <v>74</v>
      </c>
      <c r="AW549" t="s">
        <v>74</v>
      </c>
      <c r="AX549" t="s">
        <v>74</v>
      </c>
      <c r="AY549" t="s">
        <v>74</v>
      </c>
      <c r="AZ549" t="s">
        <v>74</v>
      </c>
      <c r="BA549" t="s">
        <v>74</v>
      </c>
      <c r="BB549" t="s">
        <v>74</v>
      </c>
      <c r="BC549" t="s">
        <v>74</v>
      </c>
      <c r="BD549">
        <v>2247985</v>
      </c>
      <c r="BE549" t="s">
        <v>9877</v>
      </c>
      <c r="BF549" t="str">
        <f>HYPERLINK("http://dx.doi.org/10.1080/17512433.2023.2247985","http://dx.doi.org/10.1080/17512433.2023.2247985")</f>
        <v>http://dx.doi.org/10.1080/17512433.2023.2247985</v>
      </c>
      <c r="BG549" t="s">
        <v>74</v>
      </c>
      <c r="BH549" t="s">
        <v>74</v>
      </c>
      <c r="BI549">
        <v>8</v>
      </c>
      <c r="BJ549" t="s">
        <v>101</v>
      </c>
      <c r="BK549" t="s">
        <v>102</v>
      </c>
      <c r="BL549" t="s">
        <v>101</v>
      </c>
      <c r="BM549" t="s">
        <v>9878</v>
      </c>
      <c r="BN549">
        <v>37577983</v>
      </c>
      <c r="BO549" t="s">
        <v>74</v>
      </c>
      <c r="BP549" t="s">
        <v>74</v>
      </c>
      <c r="BQ549" t="s">
        <v>74</v>
      </c>
      <c r="BR549" t="s">
        <v>105</v>
      </c>
      <c r="BS549" t="s">
        <v>9879</v>
      </c>
      <c r="BT549" t="str">
        <f>HYPERLINK("https%3A%2F%2Fwww.webofscience.com%2Fwos%2Fwoscc%2Ffull-record%2FWOS:001053728800001","View Full Record in Web of Science")</f>
        <v>View Full Record in Web of Science</v>
      </c>
    </row>
    <row r="550" spans="1:72" x14ac:dyDescent="0.15">
      <c r="A550" t="s">
        <v>72</v>
      </c>
      <c r="B550" t="s">
        <v>9880</v>
      </c>
      <c r="C550" t="s">
        <v>74</v>
      </c>
      <c r="D550" t="s">
        <v>74</v>
      </c>
      <c r="E550" t="s">
        <v>74</v>
      </c>
      <c r="F550" t="s">
        <v>9881</v>
      </c>
      <c r="G550" t="s">
        <v>74</v>
      </c>
      <c r="H550" t="s">
        <v>74</v>
      </c>
      <c r="I550" t="s">
        <v>9882</v>
      </c>
      <c r="J550" t="s">
        <v>9883</v>
      </c>
      <c r="K550" t="s">
        <v>74</v>
      </c>
      <c r="L550" t="s">
        <v>74</v>
      </c>
      <c r="M550" t="s">
        <v>78</v>
      </c>
      <c r="N550" t="s">
        <v>79</v>
      </c>
      <c r="O550" t="s">
        <v>74</v>
      </c>
      <c r="P550" t="s">
        <v>74</v>
      </c>
      <c r="Q550" t="s">
        <v>74</v>
      </c>
      <c r="R550" t="s">
        <v>74</v>
      </c>
      <c r="S550" t="s">
        <v>74</v>
      </c>
      <c r="T550" t="s">
        <v>9884</v>
      </c>
      <c r="U550" t="s">
        <v>74</v>
      </c>
      <c r="V550" t="s">
        <v>9885</v>
      </c>
      <c r="W550" t="s">
        <v>9886</v>
      </c>
      <c r="X550" t="s">
        <v>9887</v>
      </c>
      <c r="Y550" t="s">
        <v>9888</v>
      </c>
      <c r="Z550" t="s">
        <v>9889</v>
      </c>
      <c r="AA550" t="s">
        <v>9890</v>
      </c>
      <c r="AB550" t="s">
        <v>9891</v>
      </c>
      <c r="AC550" t="s">
        <v>9892</v>
      </c>
      <c r="AD550" t="s">
        <v>9893</v>
      </c>
      <c r="AE550" t="s">
        <v>9894</v>
      </c>
      <c r="AF550" t="s">
        <v>74</v>
      </c>
      <c r="AG550">
        <v>25</v>
      </c>
      <c r="AH550">
        <v>0</v>
      </c>
      <c r="AI550">
        <v>0</v>
      </c>
      <c r="AJ550">
        <v>0</v>
      </c>
      <c r="AK550">
        <v>0</v>
      </c>
      <c r="AL550" t="s">
        <v>184</v>
      </c>
      <c r="AM550" t="s">
        <v>185</v>
      </c>
      <c r="AN550" t="s">
        <v>186</v>
      </c>
      <c r="AO550" t="s">
        <v>9895</v>
      </c>
      <c r="AP550" t="s">
        <v>9896</v>
      </c>
      <c r="AQ550" t="s">
        <v>74</v>
      </c>
      <c r="AR550" t="s">
        <v>9897</v>
      </c>
      <c r="AS550" t="s">
        <v>9898</v>
      </c>
      <c r="AT550" t="s">
        <v>9899</v>
      </c>
      <c r="AU550">
        <v>2023</v>
      </c>
      <c r="AV550">
        <v>62</v>
      </c>
      <c r="AW550">
        <v>15</v>
      </c>
      <c r="AX550" t="s">
        <v>74</v>
      </c>
      <c r="AY550" t="s">
        <v>74</v>
      </c>
      <c r="AZ550" t="s">
        <v>74</v>
      </c>
      <c r="BA550" t="s">
        <v>74</v>
      </c>
      <c r="BB550">
        <v>1969</v>
      </c>
      <c r="BC550">
        <v>1984</v>
      </c>
      <c r="BD550" t="s">
        <v>74</v>
      </c>
      <c r="BE550" t="s">
        <v>9900</v>
      </c>
      <c r="BF550" t="str">
        <f>HYPERLINK("http://dx.doi.org/10.1080/25740881.2023.2240914","http://dx.doi.org/10.1080/25740881.2023.2240914")</f>
        <v>http://dx.doi.org/10.1080/25740881.2023.2240914</v>
      </c>
      <c r="BG550" t="s">
        <v>74</v>
      </c>
      <c r="BH550" t="s">
        <v>8608</v>
      </c>
      <c r="BI550">
        <v>16</v>
      </c>
      <c r="BJ550" t="s">
        <v>1267</v>
      </c>
      <c r="BK550" t="s">
        <v>102</v>
      </c>
      <c r="BL550" t="s">
        <v>1267</v>
      </c>
      <c r="BM550" t="s">
        <v>9901</v>
      </c>
      <c r="BN550" t="s">
        <v>74</v>
      </c>
      <c r="BO550" t="s">
        <v>74</v>
      </c>
      <c r="BP550" t="s">
        <v>74</v>
      </c>
      <c r="BQ550" t="s">
        <v>74</v>
      </c>
      <c r="BR550" t="s">
        <v>105</v>
      </c>
      <c r="BS550" t="s">
        <v>9902</v>
      </c>
      <c r="BT550" t="str">
        <f>HYPERLINK("https%3A%2F%2Fwww.webofscience.com%2Fwos%2Fwoscc%2Ffull-record%2FWOS:001049866500001","View Full Record in Web of Science")</f>
        <v>View Full Record in Web of Science</v>
      </c>
    </row>
    <row r="551" spans="1:72" x14ac:dyDescent="0.15">
      <c r="A551" t="s">
        <v>72</v>
      </c>
      <c r="B551" t="s">
        <v>9903</v>
      </c>
      <c r="C551" t="s">
        <v>74</v>
      </c>
      <c r="D551" t="s">
        <v>74</v>
      </c>
      <c r="E551" t="s">
        <v>74</v>
      </c>
      <c r="F551" t="s">
        <v>9904</v>
      </c>
      <c r="G551" t="s">
        <v>74</v>
      </c>
      <c r="H551" t="s">
        <v>74</v>
      </c>
      <c r="I551" t="s">
        <v>9905</v>
      </c>
      <c r="J551" t="s">
        <v>9906</v>
      </c>
      <c r="K551" t="s">
        <v>74</v>
      </c>
      <c r="L551" t="s">
        <v>74</v>
      </c>
      <c r="M551" t="s">
        <v>78</v>
      </c>
      <c r="N551" t="s">
        <v>6754</v>
      </c>
      <c r="O551" t="s">
        <v>74</v>
      </c>
      <c r="P551" t="s">
        <v>74</v>
      </c>
      <c r="Q551" t="s">
        <v>74</v>
      </c>
      <c r="R551" t="s">
        <v>74</v>
      </c>
      <c r="S551" t="s">
        <v>74</v>
      </c>
      <c r="T551" t="s">
        <v>74</v>
      </c>
      <c r="U551" t="s">
        <v>74</v>
      </c>
      <c r="V551" t="s">
        <v>74</v>
      </c>
      <c r="W551" t="s">
        <v>9907</v>
      </c>
      <c r="X551" t="s">
        <v>9908</v>
      </c>
      <c r="Y551" t="s">
        <v>9909</v>
      </c>
      <c r="Z551" t="s">
        <v>74</v>
      </c>
      <c r="AA551" t="s">
        <v>74</v>
      </c>
      <c r="AB551" t="s">
        <v>9910</v>
      </c>
      <c r="AC551" t="s">
        <v>9911</v>
      </c>
      <c r="AD551" t="s">
        <v>9911</v>
      </c>
      <c r="AE551" t="s">
        <v>9912</v>
      </c>
      <c r="AF551" t="s">
        <v>74</v>
      </c>
      <c r="AG551">
        <v>5</v>
      </c>
      <c r="AH551">
        <v>0</v>
      </c>
      <c r="AI551">
        <v>0</v>
      </c>
      <c r="AJ551">
        <v>0</v>
      </c>
      <c r="AK551">
        <v>0</v>
      </c>
      <c r="AL551" t="s">
        <v>184</v>
      </c>
      <c r="AM551" t="s">
        <v>185</v>
      </c>
      <c r="AN551" t="s">
        <v>186</v>
      </c>
      <c r="AO551" t="s">
        <v>9913</v>
      </c>
      <c r="AP551" t="s">
        <v>9914</v>
      </c>
      <c r="AQ551" t="s">
        <v>74</v>
      </c>
      <c r="AR551" t="s">
        <v>9915</v>
      </c>
      <c r="AS551" t="s">
        <v>9916</v>
      </c>
      <c r="AT551" t="s">
        <v>9917</v>
      </c>
      <c r="AU551">
        <v>2023</v>
      </c>
      <c r="AV551" t="s">
        <v>74</v>
      </c>
      <c r="AW551" t="s">
        <v>74</v>
      </c>
      <c r="AX551" t="s">
        <v>74</v>
      </c>
      <c r="AY551" t="s">
        <v>74</v>
      </c>
      <c r="AZ551" t="s">
        <v>74</v>
      </c>
      <c r="BA551" t="s">
        <v>74</v>
      </c>
      <c r="BB551" t="s">
        <v>74</v>
      </c>
      <c r="BC551" t="s">
        <v>74</v>
      </c>
      <c r="BD551" t="s">
        <v>74</v>
      </c>
      <c r="BE551" t="s">
        <v>9918</v>
      </c>
      <c r="BF551" t="str">
        <f>HYPERLINK("http://dx.doi.org/10.1080/01942638.2023.2247945","http://dx.doi.org/10.1080/01942638.2023.2247945")</f>
        <v>http://dx.doi.org/10.1080/01942638.2023.2247945</v>
      </c>
      <c r="BG551" t="s">
        <v>74</v>
      </c>
      <c r="BH551" t="s">
        <v>8608</v>
      </c>
      <c r="BI551">
        <v>3</v>
      </c>
      <c r="BJ551" t="s">
        <v>9919</v>
      </c>
      <c r="BK551" t="s">
        <v>123</v>
      </c>
      <c r="BL551" t="s">
        <v>9919</v>
      </c>
      <c r="BM551" t="s">
        <v>9920</v>
      </c>
      <c r="BN551">
        <v>37599383</v>
      </c>
      <c r="BO551" t="s">
        <v>74</v>
      </c>
      <c r="BP551" t="s">
        <v>74</v>
      </c>
      <c r="BQ551" t="s">
        <v>74</v>
      </c>
      <c r="BR551" t="s">
        <v>105</v>
      </c>
      <c r="BS551" t="s">
        <v>9921</v>
      </c>
      <c r="BT551" t="str">
        <f>HYPERLINK("https%3A%2F%2Fwww.webofscience.com%2Fwos%2Fwoscc%2Ffull-record%2FWOS:001051822500001","View Full Record in Web of Science")</f>
        <v>View Full Record in Web of Science</v>
      </c>
    </row>
    <row r="552" spans="1:72" x14ac:dyDescent="0.15">
      <c r="A552" t="s">
        <v>72</v>
      </c>
      <c r="B552" t="s">
        <v>9922</v>
      </c>
      <c r="C552" t="s">
        <v>74</v>
      </c>
      <c r="D552" t="s">
        <v>74</v>
      </c>
      <c r="E552" t="s">
        <v>74</v>
      </c>
      <c r="F552" t="s">
        <v>9923</v>
      </c>
      <c r="G552" t="s">
        <v>74</v>
      </c>
      <c r="H552" t="s">
        <v>74</v>
      </c>
      <c r="I552" t="s">
        <v>9924</v>
      </c>
      <c r="J552" t="s">
        <v>9925</v>
      </c>
      <c r="K552" t="s">
        <v>74</v>
      </c>
      <c r="L552" t="s">
        <v>74</v>
      </c>
      <c r="M552" t="s">
        <v>78</v>
      </c>
      <c r="N552" t="s">
        <v>9926</v>
      </c>
      <c r="O552" t="s">
        <v>74</v>
      </c>
      <c r="P552" t="s">
        <v>74</v>
      </c>
      <c r="Q552" t="s">
        <v>74</v>
      </c>
      <c r="R552" t="s">
        <v>74</v>
      </c>
      <c r="S552" t="s">
        <v>74</v>
      </c>
      <c r="T552" t="s">
        <v>74</v>
      </c>
      <c r="U552" t="s">
        <v>74</v>
      </c>
      <c r="V552" t="s">
        <v>74</v>
      </c>
      <c r="W552" t="s">
        <v>74</v>
      </c>
      <c r="X552" t="s">
        <v>74</v>
      </c>
      <c r="Y552" t="s">
        <v>74</v>
      </c>
      <c r="Z552" t="s">
        <v>74</v>
      </c>
      <c r="AA552" t="s">
        <v>74</v>
      </c>
      <c r="AB552" t="s">
        <v>74</v>
      </c>
      <c r="AC552" t="s">
        <v>74</v>
      </c>
      <c r="AD552" t="s">
        <v>74</v>
      </c>
      <c r="AE552" t="s">
        <v>74</v>
      </c>
      <c r="AF552" t="s">
        <v>74</v>
      </c>
      <c r="AG552">
        <v>1</v>
      </c>
      <c r="AH552">
        <v>0</v>
      </c>
      <c r="AI552">
        <v>0</v>
      </c>
      <c r="AJ552">
        <v>0</v>
      </c>
      <c r="AK552">
        <v>0</v>
      </c>
      <c r="AL552" t="s">
        <v>92</v>
      </c>
      <c r="AM552" t="s">
        <v>93</v>
      </c>
      <c r="AN552" t="s">
        <v>94</v>
      </c>
      <c r="AO552" t="s">
        <v>9927</v>
      </c>
      <c r="AP552" t="s">
        <v>9928</v>
      </c>
      <c r="AQ552" t="s">
        <v>74</v>
      </c>
      <c r="AR552" t="s">
        <v>9929</v>
      </c>
      <c r="AS552" t="s">
        <v>9930</v>
      </c>
      <c r="AT552" t="s">
        <v>9917</v>
      </c>
      <c r="AU552">
        <v>2023</v>
      </c>
      <c r="AV552" t="s">
        <v>74</v>
      </c>
      <c r="AW552" t="s">
        <v>74</v>
      </c>
      <c r="AX552" t="s">
        <v>74</v>
      </c>
      <c r="AY552" t="s">
        <v>74</v>
      </c>
      <c r="AZ552" t="s">
        <v>74</v>
      </c>
      <c r="BA552" t="s">
        <v>74</v>
      </c>
      <c r="BB552" t="s">
        <v>74</v>
      </c>
      <c r="BC552" t="s">
        <v>74</v>
      </c>
      <c r="BD552" t="s">
        <v>74</v>
      </c>
      <c r="BE552" t="s">
        <v>9931</v>
      </c>
      <c r="BF552" t="str">
        <f>HYPERLINK("http://dx.doi.org/10.1080/00207543.2023.2250204","http://dx.doi.org/10.1080/00207543.2023.2250204")</f>
        <v>http://dx.doi.org/10.1080/00207543.2023.2250204</v>
      </c>
      <c r="BG552" t="s">
        <v>74</v>
      </c>
      <c r="BH552" t="s">
        <v>8608</v>
      </c>
      <c r="BI552">
        <v>1</v>
      </c>
      <c r="BJ552" t="s">
        <v>7565</v>
      </c>
      <c r="BK552" t="s">
        <v>102</v>
      </c>
      <c r="BL552" t="s">
        <v>332</v>
      </c>
      <c r="BM552" t="s">
        <v>9932</v>
      </c>
      <c r="BN552" t="s">
        <v>74</v>
      </c>
      <c r="BO552" t="s">
        <v>5391</v>
      </c>
      <c r="BP552" t="s">
        <v>74</v>
      </c>
      <c r="BQ552" t="s">
        <v>74</v>
      </c>
      <c r="BR552" t="s">
        <v>105</v>
      </c>
      <c r="BS552" t="s">
        <v>9933</v>
      </c>
      <c r="BT552" t="str">
        <f>HYPERLINK("https%3A%2F%2Fwww.webofscience.com%2Fwos%2Fwoscc%2Ffull-record%2FWOS:001063216900001","View Full Record in Web of Science")</f>
        <v>View Full Record in Web of Science</v>
      </c>
    </row>
    <row r="553" spans="1:72" x14ac:dyDescent="0.15">
      <c r="A553" t="s">
        <v>72</v>
      </c>
      <c r="B553" t="s">
        <v>9934</v>
      </c>
      <c r="C553" t="s">
        <v>74</v>
      </c>
      <c r="D553" t="s">
        <v>74</v>
      </c>
      <c r="E553" t="s">
        <v>74</v>
      </c>
      <c r="F553" t="s">
        <v>9935</v>
      </c>
      <c r="G553" t="s">
        <v>74</v>
      </c>
      <c r="H553" t="s">
        <v>74</v>
      </c>
      <c r="I553" t="s">
        <v>9936</v>
      </c>
      <c r="J553" t="s">
        <v>9378</v>
      </c>
      <c r="K553" t="s">
        <v>74</v>
      </c>
      <c r="L553" t="s">
        <v>74</v>
      </c>
      <c r="M553" t="s">
        <v>78</v>
      </c>
      <c r="N553" t="s">
        <v>5492</v>
      </c>
      <c r="O553" t="s">
        <v>74</v>
      </c>
      <c r="P553" t="s">
        <v>74</v>
      </c>
      <c r="Q553" t="s">
        <v>74</v>
      </c>
      <c r="R553" t="s">
        <v>74</v>
      </c>
      <c r="S553" t="s">
        <v>74</v>
      </c>
      <c r="T553" t="s">
        <v>9937</v>
      </c>
      <c r="U553" t="s">
        <v>9938</v>
      </c>
      <c r="V553" t="s">
        <v>9939</v>
      </c>
      <c r="W553" t="s">
        <v>9940</v>
      </c>
      <c r="X553" t="s">
        <v>9941</v>
      </c>
      <c r="Y553" t="s">
        <v>9942</v>
      </c>
      <c r="Z553" t="s">
        <v>9943</v>
      </c>
      <c r="AA553" t="s">
        <v>9944</v>
      </c>
      <c r="AB553" t="s">
        <v>9945</v>
      </c>
      <c r="AC553" t="s">
        <v>74</v>
      </c>
      <c r="AD553" t="s">
        <v>74</v>
      </c>
      <c r="AE553" t="s">
        <v>74</v>
      </c>
      <c r="AF553" t="s">
        <v>74</v>
      </c>
      <c r="AG553">
        <v>26</v>
      </c>
      <c r="AH553">
        <v>0</v>
      </c>
      <c r="AI553">
        <v>0</v>
      </c>
      <c r="AJ553">
        <v>0</v>
      </c>
      <c r="AK553">
        <v>0</v>
      </c>
      <c r="AL553" t="s">
        <v>92</v>
      </c>
      <c r="AM553" t="s">
        <v>93</v>
      </c>
      <c r="AN553" t="s">
        <v>94</v>
      </c>
      <c r="AO553" t="s">
        <v>9386</v>
      </c>
      <c r="AP553" t="s">
        <v>9387</v>
      </c>
      <c r="AQ553" t="s">
        <v>74</v>
      </c>
      <c r="AR553" t="s">
        <v>9388</v>
      </c>
      <c r="AS553" t="s">
        <v>9389</v>
      </c>
      <c r="AT553" t="s">
        <v>9917</v>
      </c>
      <c r="AU553">
        <v>2023</v>
      </c>
      <c r="AV553" t="s">
        <v>74</v>
      </c>
      <c r="AW553" t="s">
        <v>74</v>
      </c>
      <c r="AX553" t="s">
        <v>74</v>
      </c>
      <c r="AY553" t="s">
        <v>74</v>
      </c>
      <c r="AZ553" t="s">
        <v>74</v>
      </c>
      <c r="BA553" t="s">
        <v>74</v>
      </c>
      <c r="BB553" t="s">
        <v>74</v>
      </c>
      <c r="BC553" t="s">
        <v>74</v>
      </c>
      <c r="BD553" t="s">
        <v>74</v>
      </c>
      <c r="BE553" t="s">
        <v>9946</v>
      </c>
      <c r="BF553" t="str">
        <f>HYPERLINK("http://dx.doi.org/10.1080/0142159X.2023.2244146","http://dx.doi.org/10.1080/0142159X.2023.2244146")</f>
        <v>http://dx.doi.org/10.1080/0142159X.2023.2244146</v>
      </c>
      <c r="BG553" t="s">
        <v>74</v>
      </c>
      <c r="BH553" t="s">
        <v>8608</v>
      </c>
      <c r="BI553">
        <v>6</v>
      </c>
      <c r="BJ553" t="s">
        <v>9391</v>
      </c>
      <c r="BK553" t="s">
        <v>102</v>
      </c>
      <c r="BL553" t="s">
        <v>9392</v>
      </c>
      <c r="BM553" t="s">
        <v>9947</v>
      </c>
      <c r="BN553">
        <v>37605843</v>
      </c>
      <c r="BO553" t="s">
        <v>74</v>
      </c>
      <c r="BP553" t="s">
        <v>74</v>
      </c>
      <c r="BQ553" t="s">
        <v>74</v>
      </c>
      <c r="BR553" t="s">
        <v>105</v>
      </c>
      <c r="BS553" t="s">
        <v>9948</v>
      </c>
      <c r="BT553" t="str">
        <f>HYPERLINK("https%3A%2F%2Fwww.webofscience.com%2Fwos%2Fwoscc%2Ffull-record%2FWOS:001051716400001","View Full Record in Web of Science")</f>
        <v>View Full Record in Web of Science</v>
      </c>
    </row>
    <row r="554" spans="1:72" x14ac:dyDescent="0.15">
      <c r="A554" t="s">
        <v>72</v>
      </c>
      <c r="B554" t="s">
        <v>9949</v>
      </c>
      <c r="C554" t="s">
        <v>74</v>
      </c>
      <c r="D554" t="s">
        <v>74</v>
      </c>
      <c r="E554" t="s">
        <v>74</v>
      </c>
      <c r="F554" t="s">
        <v>9950</v>
      </c>
      <c r="G554" t="s">
        <v>74</v>
      </c>
      <c r="H554" t="s">
        <v>74</v>
      </c>
      <c r="I554" t="s">
        <v>9951</v>
      </c>
      <c r="J554" t="s">
        <v>5595</v>
      </c>
      <c r="K554" t="s">
        <v>74</v>
      </c>
      <c r="L554" t="s">
        <v>74</v>
      </c>
      <c r="M554" t="s">
        <v>78</v>
      </c>
      <c r="N554" t="s">
        <v>6754</v>
      </c>
      <c r="O554" t="s">
        <v>74</v>
      </c>
      <c r="P554" t="s">
        <v>74</v>
      </c>
      <c r="Q554" t="s">
        <v>74</v>
      </c>
      <c r="R554" t="s">
        <v>74</v>
      </c>
      <c r="S554" t="s">
        <v>74</v>
      </c>
      <c r="T554" t="s">
        <v>9952</v>
      </c>
      <c r="U554" t="s">
        <v>9953</v>
      </c>
      <c r="V554" t="s">
        <v>9954</v>
      </c>
      <c r="W554" t="s">
        <v>9955</v>
      </c>
      <c r="X554" t="s">
        <v>5335</v>
      </c>
      <c r="Y554" t="s">
        <v>9956</v>
      </c>
      <c r="Z554" t="s">
        <v>9957</v>
      </c>
      <c r="AA554" t="s">
        <v>74</v>
      </c>
      <c r="AB554" t="s">
        <v>9958</v>
      </c>
      <c r="AC554" t="s">
        <v>74</v>
      </c>
      <c r="AD554" t="s">
        <v>74</v>
      </c>
      <c r="AE554" t="s">
        <v>74</v>
      </c>
      <c r="AF554" t="s">
        <v>74</v>
      </c>
      <c r="AG554">
        <v>82</v>
      </c>
      <c r="AH554">
        <v>0</v>
      </c>
      <c r="AI554">
        <v>0</v>
      </c>
      <c r="AJ554">
        <v>6</v>
      </c>
      <c r="AK554">
        <v>6</v>
      </c>
      <c r="AL554" t="s">
        <v>1188</v>
      </c>
      <c r="AM554" t="s">
        <v>93</v>
      </c>
      <c r="AN554" t="s">
        <v>1189</v>
      </c>
      <c r="AO554" t="s">
        <v>5604</v>
      </c>
      <c r="AP554" t="s">
        <v>5605</v>
      </c>
      <c r="AQ554" t="s">
        <v>74</v>
      </c>
      <c r="AR554" t="s">
        <v>5606</v>
      </c>
      <c r="AS554" t="s">
        <v>5607</v>
      </c>
      <c r="AT554" t="s">
        <v>9917</v>
      </c>
      <c r="AU554">
        <v>2023</v>
      </c>
      <c r="AV554" t="s">
        <v>74</v>
      </c>
      <c r="AW554" t="s">
        <v>74</v>
      </c>
      <c r="AX554" t="s">
        <v>74</v>
      </c>
      <c r="AY554" t="s">
        <v>74</v>
      </c>
      <c r="AZ554" t="s">
        <v>74</v>
      </c>
      <c r="BA554" t="s">
        <v>74</v>
      </c>
      <c r="BB554" t="s">
        <v>74</v>
      </c>
      <c r="BC554" t="s">
        <v>74</v>
      </c>
      <c r="BD554" t="s">
        <v>74</v>
      </c>
      <c r="BE554" t="s">
        <v>9959</v>
      </c>
      <c r="BF554" t="str">
        <f>HYPERLINK("http://dx.doi.org/10.1080/03075079.2023.2248490","http://dx.doi.org/10.1080/03075079.2023.2248490")</f>
        <v>http://dx.doi.org/10.1080/03075079.2023.2248490</v>
      </c>
      <c r="BG554" t="s">
        <v>74</v>
      </c>
      <c r="BH554" t="s">
        <v>8608</v>
      </c>
      <c r="BI554">
        <v>16</v>
      </c>
      <c r="BJ554" t="s">
        <v>271</v>
      </c>
      <c r="BK554" t="s">
        <v>272</v>
      </c>
      <c r="BL554" t="s">
        <v>271</v>
      </c>
      <c r="BM554" t="s">
        <v>9960</v>
      </c>
      <c r="BN554" t="s">
        <v>74</v>
      </c>
      <c r="BO554" t="s">
        <v>74</v>
      </c>
      <c r="BP554" t="s">
        <v>74</v>
      </c>
      <c r="BQ554" t="s">
        <v>74</v>
      </c>
      <c r="BR554" t="s">
        <v>105</v>
      </c>
      <c r="BS554" t="s">
        <v>9961</v>
      </c>
      <c r="BT554" t="str">
        <f>HYPERLINK("https%3A%2F%2Fwww.webofscience.com%2Fwos%2Fwoscc%2Ffull-record%2FWOS:001051035200001","View Full Record in Web of Science")</f>
        <v>View Full Record in Web of Science</v>
      </c>
    </row>
    <row r="555" spans="1:72" x14ac:dyDescent="0.15">
      <c r="A555" t="s">
        <v>72</v>
      </c>
      <c r="B555" t="s">
        <v>9962</v>
      </c>
      <c r="C555" t="s">
        <v>74</v>
      </c>
      <c r="D555" t="s">
        <v>74</v>
      </c>
      <c r="E555" t="s">
        <v>74</v>
      </c>
      <c r="F555" t="s">
        <v>9963</v>
      </c>
      <c r="G555" t="s">
        <v>74</v>
      </c>
      <c r="H555" t="s">
        <v>74</v>
      </c>
      <c r="I555" t="s">
        <v>9964</v>
      </c>
      <c r="J555" t="s">
        <v>9965</v>
      </c>
      <c r="K555" t="s">
        <v>74</v>
      </c>
      <c r="L555" t="s">
        <v>74</v>
      </c>
      <c r="M555" t="s">
        <v>78</v>
      </c>
      <c r="N555" t="s">
        <v>79</v>
      </c>
      <c r="O555" t="s">
        <v>74</v>
      </c>
      <c r="P555" t="s">
        <v>74</v>
      </c>
      <c r="Q555" t="s">
        <v>74</v>
      </c>
      <c r="R555" t="s">
        <v>74</v>
      </c>
      <c r="S555" t="s">
        <v>74</v>
      </c>
      <c r="T555" t="s">
        <v>9966</v>
      </c>
      <c r="U555" t="s">
        <v>9967</v>
      </c>
      <c r="V555" t="s">
        <v>9968</v>
      </c>
      <c r="W555" t="s">
        <v>9969</v>
      </c>
      <c r="X555" t="s">
        <v>9970</v>
      </c>
      <c r="Y555" t="s">
        <v>9971</v>
      </c>
      <c r="Z555" t="s">
        <v>9972</v>
      </c>
      <c r="AA555" t="s">
        <v>74</v>
      </c>
      <c r="AB555" t="s">
        <v>74</v>
      </c>
      <c r="AC555" t="s">
        <v>9973</v>
      </c>
      <c r="AD555" t="s">
        <v>9973</v>
      </c>
      <c r="AE555" t="s">
        <v>9974</v>
      </c>
      <c r="AF555" t="s">
        <v>74</v>
      </c>
      <c r="AG555">
        <v>28</v>
      </c>
      <c r="AH555">
        <v>0</v>
      </c>
      <c r="AI555">
        <v>0</v>
      </c>
      <c r="AJ555">
        <v>4</v>
      </c>
      <c r="AK555">
        <v>4</v>
      </c>
      <c r="AL555" t="s">
        <v>184</v>
      </c>
      <c r="AM555" t="s">
        <v>185</v>
      </c>
      <c r="AN555" t="s">
        <v>186</v>
      </c>
      <c r="AO555" t="s">
        <v>9975</v>
      </c>
      <c r="AP555" t="s">
        <v>9976</v>
      </c>
      <c r="AQ555" t="s">
        <v>74</v>
      </c>
      <c r="AR555" t="s">
        <v>9977</v>
      </c>
      <c r="AS555" t="s">
        <v>9978</v>
      </c>
      <c r="AT555" t="s">
        <v>9979</v>
      </c>
      <c r="AU555">
        <v>2023</v>
      </c>
      <c r="AV555" t="s">
        <v>74</v>
      </c>
      <c r="AW555" t="s">
        <v>74</v>
      </c>
      <c r="AX555" t="s">
        <v>74</v>
      </c>
      <c r="AY555" t="s">
        <v>74</v>
      </c>
      <c r="AZ555" t="s">
        <v>74</v>
      </c>
      <c r="BA555" t="s">
        <v>74</v>
      </c>
      <c r="BB555" t="s">
        <v>74</v>
      </c>
      <c r="BC555" t="s">
        <v>74</v>
      </c>
      <c r="BD555">
        <v>2247002</v>
      </c>
      <c r="BE555" t="s">
        <v>9980</v>
      </c>
      <c r="BF555" t="str">
        <f>HYPERLINK("http://dx.doi.org/10.1080/1539445X.2023.2247002","http://dx.doi.org/10.1080/1539445X.2023.2247002")</f>
        <v>http://dx.doi.org/10.1080/1539445X.2023.2247002</v>
      </c>
      <c r="BG555" t="s">
        <v>74</v>
      </c>
      <c r="BH555" t="s">
        <v>74</v>
      </c>
      <c r="BI555">
        <v>12</v>
      </c>
      <c r="BJ555" t="s">
        <v>1593</v>
      </c>
      <c r="BK555" t="s">
        <v>102</v>
      </c>
      <c r="BL555" t="s">
        <v>1594</v>
      </c>
      <c r="BM555" t="s">
        <v>9981</v>
      </c>
      <c r="BN555" t="s">
        <v>74</v>
      </c>
      <c r="BO555" t="s">
        <v>74</v>
      </c>
      <c r="BP555" t="s">
        <v>74</v>
      </c>
      <c r="BQ555" t="s">
        <v>74</v>
      </c>
      <c r="BR555" t="s">
        <v>105</v>
      </c>
      <c r="BS555" t="s">
        <v>9982</v>
      </c>
      <c r="BT555" t="str">
        <f>HYPERLINK("https%3A%2F%2Fwww.webofscience.com%2Fwos%2Fwoscc%2Ffull-record%2FWOS:001053741700001","View Full Record in Web of Science")</f>
        <v>View Full Record in Web of Science</v>
      </c>
    </row>
    <row r="556" spans="1:72" x14ac:dyDescent="0.15">
      <c r="A556" t="s">
        <v>72</v>
      </c>
      <c r="B556" t="s">
        <v>9983</v>
      </c>
      <c r="C556" t="s">
        <v>74</v>
      </c>
      <c r="D556" t="s">
        <v>74</v>
      </c>
      <c r="E556" t="s">
        <v>74</v>
      </c>
      <c r="F556" t="s">
        <v>9984</v>
      </c>
      <c r="G556" t="s">
        <v>74</v>
      </c>
      <c r="H556" t="s">
        <v>74</v>
      </c>
      <c r="I556" t="s">
        <v>9985</v>
      </c>
      <c r="J556" t="s">
        <v>9986</v>
      </c>
      <c r="K556" t="s">
        <v>74</v>
      </c>
      <c r="L556" t="s">
        <v>74</v>
      </c>
      <c r="M556" t="s">
        <v>78</v>
      </c>
      <c r="N556" t="s">
        <v>5492</v>
      </c>
      <c r="O556" t="s">
        <v>74</v>
      </c>
      <c r="P556" t="s">
        <v>74</v>
      </c>
      <c r="Q556" t="s">
        <v>74</v>
      </c>
      <c r="R556" t="s">
        <v>74</v>
      </c>
      <c r="S556" t="s">
        <v>74</v>
      </c>
      <c r="T556" t="s">
        <v>9987</v>
      </c>
      <c r="U556" t="s">
        <v>9988</v>
      </c>
      <c r="V556" t="s">
        <v>9989</v>
      </c>
      <c r="W556" t="s">
        <v>9990</v>
      </c>
      <c r="X556" t="s">
        <v>9991</v>
      </c>
      <c r="Y556" t="s">
        <v>9992</v>
      </c>
      <c r="Z556" t="s">
        <v>9993</v>
      </c>
      <c r="AA556" t="s">
        <v>9994</v>
      </c>
      <c r="AB556" t="s">
        <v>9995</v>
      </c>
      <c r="AC556" t="s">
        <v>9996</v>
      </c>
      <c r="AD556" t="s">
        <v>9996</v>
      </c>
      <c r="AE556" t="s">
        <v>9997</v>
      </c>
      <c r="AF556" t="s">
        <v>74</v>
      </c>
      <c r="AG556">
        <v>73</v>
      </c>
      <c r="AH556">
        <v>0</v>
      </c>
      <c r="AI556">
        <v>0</v>
      </c>
      <c r="AJ556">
        <v>3</v>
      </c>
      <c r="AK556">
        <v>3</v>
      </c>
      <c r="AL556" t="s">
        <v>1188</v>
      </c>
      <c r="AM556" t="s">
        <v>93</v>
      </c>
      <c r="AN556" t="s">
        <v>1189</v>
      </c>
      <c r="AO556" t="s">
        <v>9998</v>
      </c>
      <c r="AP556" t="s">
        <v>9999</v>
      </c>
      <c r="AQ556" t="s">
        <v>74</v>
      </c>
      <c r="AR556" t="s">
        <v>10000</v>
      </c>
      <c r="AS556" t="s">
        <v>10001</v>
      </c>
      <c r="AT556" t="s">
        <v>10002</v>
      </c>
      <c r="AU556">
        <v>2023</v>
      </c>
      <c r="AV556" t="s">
        <v>74</v>
      </c>
      <c r="AW556" t="s">
        <v>74</v>
      </c>
      <c r="AX556" t="s">
        <v>74</v>
      </c>
      <c r="AY556" t="s">
        <v>74</v>
      </c>
      <c r="AZ556" t="s">
        <v>74</v>
      </c>
      <c r="BA556" t="s">
        <v>74</v>
      </c>
      <c r="BB556" t="s">
        <v>74</v>
      </c>
      <c r="BC556" t="s">
        <v>74</v>
      </c>
      <c r="BD556" t="s">
        <v>74</v>
      </c>
      <c r="BE556" t="s">
        <v>10003</v>
      </c>
      <c r="BF556" t="str">
        <f>HYPERLINK("http://dx.doi.org/10.1080/09588221.2023.2249503","http://dx.doi.org/10.1080/09588221.2023.2249503")</f>
        <v>http://dx.doi.org/10.1080/09588221.2023.2249503</v>
      </c>
      <c r="BG556" t="s">
        <v>74</v>
      </c>
      <c r="BH556" t="s">
        <v>8608</v>
      </c>
      <c r="BI556">
        <v>27</v>
      </c>
      <c r="BJ556" t="s">
        <v>8142</v>
      </c>
      <c r="BK556" t="s">
        <v>7170</v>
      </c>
      <c r="BL556" t="s">
        <v>8143</v>
      </c>
      <c r="BM556" t="s">
        <v>10004</v>
      </c>
      <c r="BN556" t="s">
        <v>74</v>
      </c>
      <c r="BO556" t="s">
        <v>74</v>
      </c>
      <c r="BP556" t="s">
        <v>74</v>
      </c>
      <c r="BQ556" t="s">
        <v>74</v>
      </c>
      <c r="BR556" t="s">
        <v>105</v>
      </c>
      <c r="BS556" t="s">
        <v>10005</v>
      </c>
      <c r="BT556" t="str">
        <f>HYPERLINK("https%3A%2F%2Fwww.webofscience.com%2Fwos%2Fwoscc%2Ffull-record%2FWOS:001060342600001","View Full Record in Web of Science")</f>
        <v>View Full Record in Web of Science</v>
      </c>
    </row>
    <row r="557" spans="1:72" x14ac:dyDescent="0.15">
      <c r="A557" t="s">
        <v>72</v>
      </c>
      <c r="B557" t="s">
        <v>10006</v>
      </c>
      <c r="C557" t="s">
        <v>74</v>
      </c>
      <c r="D557" t="s">
        <v>74</v>
      </c>
      <c r="E557" t="s">
        <v>74</v>
      </c>
      <c r="F557" t="s">
        <v>10007</v>
      </c>
      <c r="G557" t="s">
        <v>74</v>
      </c>
      <c r="H557" t="s">
        <v>74</v>
      </c>
      <c r="I557" t="s">
        <v>10008</v>
      </c>
      <c r="J557" t="s">
        <v>10009</v>
      </c>
      <c r="K557" t="s">
        <v>74</v>
      </c>
      <c r="L557" t="s">
        <v>74</v>
      </c>
      <c r="M557" t="s">
        <v>78</v>
      </c>
      <c r="N557" t="s">
        <v>5492</v>
      </c>
      <c r="O557" t="s">
        <v>74</v>
      </c>
      <c r="P557" t="s">
        <v>74</v>
      </c>
      <c r="Q557" t="s">
        <v>74</v>
      </c>
      <c r="R557" t="s">
        <v>74</v>
      </c>
      <c r="S557" t="s">
        <v>74</v>
      </c>
      <c r="T557" t="s">
        <v>10010</v>
      </c>
      <c r="U557" t="s">
        <v>10011</v>
      </c>
      <c r="V557" t="s">
        <v>10012</v>
      </c>
      <c r="W557" t="s">
        <v>10013</v>
      </c>
      <c r="X557" t="s">
        <v>74</v>
      </c>
      <c r="Y557" t="s">
        <v>10014</v>
      </c>
      <c r="Z557" t="s">
        <v>10015</v>
      </c>
      <c r="AA557" t="s">
        <v>74</v>
      </c>
      <c r="AB557" t="s">
        <v>74</v>
      </c>
      <c r="AC557" t="s">
        <v>74</v>
      </c>
      <c r="AD557" t="s">
        <v>74</v>
      </c>
      <c r="AE557" t="s">
        <v>74</v>
      </c>
      <c r="AF557" t="s">
        <v>74</v>
      </c>
      <c r="AG557">
        <v>7</v>
      </c>
      <c r="AH557">
        <v>0</v>
      </c>
      <c r="AI557">
        <v>0</v>
      </c>
      <c r="AJ557">
        <v>0</v>
      </c>
      <c r="AK557">
        <v>0</v>
      </c>
      <c r="AL557" t="s">
        <v>1188</v>
      </c>
      <c r="AM557" t="s">
        <v>93</v>
      </c>
      <c r="AN557" t="s">
        <v>1189</v>
      </c>
      <c r="AO557" t="s">
        <v>10016</v>
      </c>
      <c r="AP557" t="s">
        <v>10017</v>
      </c>
      <c r="AQ557" t="s">
        <v>74</v>
      </c>
      <c r="AR557" t="s">
        <v>10018</v>
      </c>
      <c r="AS557" t="s">
        <v>10019</v>
      </c>
      <c r="AT557" t="s">
        <v>10002</v>
      </c>
      <c r="AU557">
        <v>2023</v>
      </c>
      <c r="AV557" t="s">
        <v>74</v>
      </c>
      <c r="AW557" t="s">
        <v>74</v>
      </c>
      <c r="AX557" t="s">
        <v>74</v>
      </c>
      <c r="AY557" t="s">
        <v>74</v>
      </c>
      <c r="AZ557" t="s">
        <v>74</v>
      </c>
      <c r="BA557" t="s">
        <v>74</v>
      </c>
      <c r="BB557" t="s">
        <v>74</v>
      </c>
      <c r="BC557" t="s">
        <v>74</v>
      </c>
      <c r="BD557" t="s">
        <v>74</v>
      </c>
      <c r="BE557" t="s">
        <v>10020</v>
      </c>
      <c r="BF557" t="str">
        <f>HYPERLINK("http://dx.doi.org/10.1080/13537121.2023.2247654","http://dx.doi.org/10.1080/13537121.2023.2247654")</f>
        <v>http://dx.doi.org/10.1080/13537121.2023.2247654</v>
      </c>
      <c r="BG557" t="s">
        <v>74</v>
      </c>
      <c r="BH557" t="s">
        <v>8608</v>
      </c>
      <c r="BI557">
        <v>11</v>
      </c>
      <c r="BJ557" t="s">
        <v>5750</v>
      </c>
      <c r="BK557" t="s">
        <v>272</v>
      </c>
      <c r="BL557" t="s">
        <v>5750</v>
      </c>
      <c r="BM557" t="s">
        <v>10021</v>
      </c>
      <c r="BN557" t="s">
        <v>74</v>
      </c>
      <c r="BO557" t="s">
        <v>74</v>
      </c>
      <c r="BP557" t="s">
        <v>74</v>
      </c>
      <c r="BQ557" t="s">
        <v>74</v>
      </c>
      <c r="BR557" t="s">
        <v>105</v>
      </c>
      <c r="BS557" t="s">
        <v>10022</v>
      </c>
      <c r="BT557" t="str">
        <f>HYPERLINK("https%3A%2F%2Fwww.webofscience.com%2Fwos%2Fwoscc%2Ffull-record%2FWOS:001050132300001","View Full Record in Web of Science")</f>
        <v>View Full Record in Web of Science</v>
      </c>
    </row>
    <row r="558" spans="1:72" x14ac:dyDescent="0.15">
      <c r="A558" t="s">
        <v>72</v>
      </c>
      <c r="B558" t="s">
        <v>10023</v>
      </c>
      <c r="C558" t="s">
        <v>74</v>
      </c>
      <c r="D558" t="s">
        <v>74</v>
      </c>
      <c r="E558" t="s">
        <v>74</v>
      </c>
      <c r="F558" t="s">
        <v>10024</v>
      </c>
      <c r="G558" t="s">
        <v>74</v>
      </c>
      <c r="H558" t="s">
        <v>74</v>
      </c>
      <c r="I558" t="s">
        <v>10025</v>
      </c>
      <c r="J558" t="s">
        <v>10026</v>
      </c>
      <c r="K558" t="s">
        <v>74</v>
      </c>
      <c r="L558" t="s">
        <v>74</v>
      </c>
      <c r="M558" t="s">
        <v>78</v>
      </c>
      <c r="N558" t="s">
        <v>79</v>
      </c>
      <c r="O558" t="s">
        <v>74</v>
      </c>
      <c r="P558" t="s">
        <v>74</v>
      </c>
      <c r="Q558" t="s">
        <v>74</v>
      </c>
      <c r="R558" t="s">
        <v>74</v>
      </c>
      <c r="S558" t="s">
        <v>74</v>
      </c>
      <c r="T558" t="s">
        <v>10027</v>
      </c>
      <c r="U558" t="s">
        <v>10028</v>
      </c>
      <c r="V558" t="s">
        <v>10029</v>
      </c>
      <c r="W558" t="s">
        <v>10030</v>
      </c>
      <c r="X558" t="s">
        <v>10031</v>
      </c>
      <c r="Y558" t="s">
        <v>10032</v>
      </c>
      <c r="Z558" t="s">
        <v>10033</v>
      </c>
      <c r="AA558" t="s">
        <v>74</v>
      </c>
      <c r="AB558" t="s">
        <v>74</v>
      </c>
      <c r="AC558" t="s">
        <v>10034</v>
      </c>
      <c r="AD558" t="s">
        <v>10034</v>
      </c>
      <c r="AE558" t="s">
        <v>10035</v>
      </c>
      <c r="AF558" t="s">
        <v>74</v>
      </c>
      <c r="AG558">
        <v>39</v>
      </c>
      <c r="AH558">
        <v>0</v>
      </c>
      <c r="AI558">
        <v>0</v>
      </c>
      <c r="AJ558">
        <v>0</v>
      </c>
      <c r="AK558">
        <v>0</v>
      </c>
      <c r="AL558" t="s">
        <v>92</v>
      </c>
      <c r="AM558" t="s">
        <v>93</v>
      </c>
      <c r="AN558" t="s">
        <v>94</v>
      </c>
      <c r="AO558" t="s">
        <v>10036</v>
      </c>
      <c r="AP558" t="s">
        <v>10037</v>
      </c>
      <c r="AQ558" t="s">
        <v>74</v>
      </c>
      <c r="AR558" t="s">
        <v>10038</v>
      </c>
      <c r="AS558" t="s">
        <v>10039</v>
      </c>
      <c r="AT558" t="s">
        <v>10040</v>
      </c>
      <c r="AU558">
        <v>2023</v>
      </c>
      <c r="AV558" t="s">
        <v>74</v>
      </c>
      <c r="AW558" t="s">
        <v>74</v>
      </c>
      <c r="AX558" t="s">
        <v>74</v>
      </c>
      <c r="AY558" t="s">
        <v>74</v>
      </c>
      <c r="AZ558" t="s">
        <v>74</v>
      </c>
      <c r="BA558" t="s">
        <v>74</v>
      </c>
      <c r="BB558" t="s">
        <v>74</v>
      </c>
      <c r="BC558" t="s">
        <v>74</v>
      </c>
      <c r="BD558">
        <v>2246916</v>
      </c>
      <c r="BE558" t="s">
        <v>10041</v>
      </c>
      <c r="BF558" t="str">
        <f>HYPERLINK("http://dx.doi.org/10.1080/00288306.2023.2246916","http://dx.doi.org/10.1080/00288306.2023.2246916")</f>
        <v>http://dx.doi.org/10.1080/00288306.2023.2246916</v>
      </c>
      <c r="BG558" t="s">
        <v>74</v>
      </c>
      <c r="BH558" t="s">
        <v>74</v>
      </c>
      <c r="BI558">
        <v>20</v>
      </c>
      <c r="BJ558" t="s">
        <v>10042</v>
      </c>
      <c r="BK558" t="s">
        <v>102</v>
      </c>
      <c r="BL558" t="s">
        <v>5389</v>
      </c>
      <c r="BM558" t="s">
        <v>10043</v>
      </c>
      <c r="BN558" t="s">
        <v>74</v>
      </c>
      <c r="BO558" t="s">
        <v>887</v>
      </c>
      <c r="BP558" t="s">
        <v>74</v>
      </c>
      <c r="BQ558" t="s">
        <v>74</v>
      </c>
      <c r="BR558" t="s">
        <v>105</v>
      </c>
      <c r="BS558" t="s">
        <v>10044</v>
      </c>
      <c r="BT558" t="str">
        <f>HYPERLINK("https%3A%2F%2Fwww.webofscience.com%2Fwos%2Fwoscc%2Ffull-record%2FWOS:001053675100001","View Full Record in Web of Science")</f>
        <v>View Full Record in Web of Science</v>
      </c>
    </row>
    <row r="559" spans="1:72" x14ac:dyDescent="0.15">
      <c r="A559" t="s">
        <v>72</v>
      </c>
      <c r="B559" t="s">
        <v>10045</v>
      </c>
      <c r="C559" t="s">
        <v>74</v>
      </c>
      <c r="D559" t="s">
        <v>74</v>
      </c>
      <c r="E559" t="s">
        <v>74</v>
      </c>
      <c r="F559" t="s">
        <v>10046</v>
      </c>
      <c r="G559" t="s">
        <v>74</v>
      </c>
      <c r="H559" t="s">
        <v>74</v>
      </c>
      <c r="I559" t="s">
        <v>10047</v>
      </c>
      <c r="J559" t="s">
        <v>6312</v>
      </c>
      <c r="K559" t="s">
        <v>74</v>
      </c>
      <c r="L559" t="s">
        <v>74</v>
      </c>
      <c r="M559" t="s">
        <v>78</v>
      </c>
      <c r="N559" t="s">
        <v>5492</v>
      </c>
      <c r="O559" t="s">
        <v>74</v>
      </c>
      <c r="P559" t="s">
        <v>74</v>
      </c>
      <c r="Q559" t="s">
        <v>74</v>
      </c>
      <c r="R559" t="s">
        <v>74</v>
      </c>
      <c r="S559" t="s">
        <v>74</v>
      </c>
      <c r="T559" t="s">
        <v>10048</v>
      </c>
      <c r="U559" t="s">
        <v>10049</v>
      </c>
      <c r="V559" t="s">
        <v>10050</v>
      </c>
      <c r="W559" t="s">
        <v>10051</v>
      </c>
      <c r="X559" t="s">
        <v>10052</v>
      </c>
      <c r="Y559" t="s">
        <v>10053</v>
      </c>
      <c r="Z559" t="s">
        <v>10054</v>
      </c>
      <c r="AA559" t="s">
        <v>10055</v>
      </c>
      <c r="AB559" t="s">
        <v>10056</v>
      </c>
      <c r="AC559" t="s">
        <v>10057</v>
      </c>
      <c r="AD559" t="s">
        <v>10058</v>
      </c>
      <c r="AE559" t="s">
        <v>10059</v>
      </c>
      <c r="AF559" t="s">
        <v>74</v>
      </c>
      <c r="AG559">
        <v>68</v>
      </c>
      <c r="AH559">
        <v>0</v>
      </c>
      <c r="AI559">
        <v>0</v>
      </c>
      <c r="AJ559">
        <v>0</v>
      </c>
      <c r="AK559">
        <v>0</v>
      </c>
      <c r="AL559" t="s">
        <v>1188</v>
      </c>
      <c r="AM559" t="s">
        <v>93</v>
      </c>
      <c r="AN559" t="s">
        <v>1189</v>
      </c>
      <c r="AO559" t="s">
        <v>6320</v>
      </c>
      <c r="AP559" t="s">
        <v>6321</v>
      </c>
      <c r="AQ559" t="s">
        <v>74</v>
      </c>
      <c r="AR559" t="s">
        <v>6322</v>
      </c>
      <c r="AS559" t="s">
        <v>6323</v>
      </c>
      <c r="AT559" t="s">
        <v>10002</v>
      </c>
      <c r="AU559">
        <v>2023</v>
      </c>
      <c r="AV559" t="s">
        <v>74</v>
      </c>
      <c r="AW559" t="s">
        <v>74</v>
      </c>
      <c r="AX559" t="s">
        <v>74</v>
      </c>
      <c r="AY559" t="s">
        <v>74</v>
      </c>
      <c r="AZ559" t="s">
        <v>74</v>
      </c>
      <c r="BA559" t="s">
        <v>74</v>
      </c>
      <c r="BB559" t="s">
        <v>74</v>
      </c>
      <c r="BC559" t="s">
        <v>74</v>
      </c>
      <c r="BD559" t="s">
        <v>74</v>
      </c>
      <c r="BE559" t="s">
        <v>10060</v>
      </c>
      <c r="BF559" t="str">
        <f>HYPERLINK("http://dx.doi.org/10.1080/23279095.2023.2247512","http://dx.doi.org/10.1080/23279095.2023.2247512")</f>
        <v>http://dx.doi.org/10.1080/23279095.2023.2247512</v>
      </c>
      <c r="BG559" t="s">
        <v>74</v>
      </c>
      <c r="BH559" t="s">
        <v>8608</v>
      </c>
      <c r="BI559">
        <v>10</v>
      </c>
      <c r="BJ559" t="s">
        <v>6325</v>
      </c>
      <c r="BK559" t="s">
        <v>102</v>
      </c>
      <c r="BL559" t="s">
        <v>6326</v>
      </c>
      <c r="BM559" t="s">
        <v>10061</v>
      </c>
      <c r="BN559">
        <v>37598380</v>
      </c>
      <c r="BO559" t="s">
        <v>74</v>
      </c>
      <c r="BP559" t="s">
        <v>74</v>
      </c>
      <c r="BQ559" t="s">
        <v>74</v>
      </c>
      <c r="BR559" t="s">
        <v>105</v>
      </c>
      <c r="BS559" t="s">
        <v>10062</v>
      </c>
      <c r="BT559" t="str">
        <f>HYPERLINK("https%3A%2F%2Fwww.webofscience.com%2Fwos%2Fwoscc%2Ffull-record%2FWOS:001051116700001","View Full Record in Web of Science")</f>
        <v>View Full Record in Web of Science</v>
      </c>
    </row>
    <row r="560" spans="1:72" x14ac:dyDescent="0.15">
      <c r="A560" t="s">
        <v>72</v>
      </c>
      <c r="B560" t="s">
        <v>10063</v>
      </c>
      <c r="C560" t="s">
        <v>74</v>
      </c>
      <c r="D560" t="s">
        <v>74</v>
      </c>
      <c r="E560" t="s">
        <v>74</v>
      </c>
      <c r="F560" t="s">
        <v>10064</v>
      </c>
      <c r="G560" t="s">
        <v>74</v>
      </c>
      <c r="H560" t="s">
        <v>74</v>
      </c>
      <c r="I560" t="s">
        <v>10065</v>
      </c>
      <c r="J560" t="s">
        <v>10066</v>
      </c>
      <c r="K560" t="s">
        <v>74</v>
      </c>
      <c r="L560" t="s">
        <v>74</v>
      </c>
      <c r="M560" t="s">
        <v>78</v>
      </c>
      <c r="N560" t="s">
        <v>79</v>
      </c>
      <c r="O560" t="s">
        <v>74</v>
      </c>
      <c r="P560" t="s">
        <v>74</v>
      </c>
      <c r="Q560" t="s">
        <v>74</v>
      </c>
      <c r="R560" t="s">
        <v>74</v>
      </c>
      <c r="S560" t="s">
        <v>74</v>
      </c>
      <c r="T560" t="s">
        <v>74</v>
      </c>
      <c r="U560" t="s">
        <v>10067</v>
      </c>
      <c r="V560" t="s">
        <v>10068</v>
      </c>
      <c r="W560" t="s">
        <v>10069</v>
      </c>
      <c r="X560" t="s">
        <v>10070</v>
      </c>
      <c r="Y560" t="s">
        <v>10071</v>
      </c>
      <c r="Z560" t="s">
        <v>74</v>
      </c>
      <c r="AA560" t="s">
        <v>74</v>
      </c>
      <c r="AB560" t="s">
        <v>74</v>
      </c>
      <c r="AC560" t="s">
        <v>10072</v>
      </c>
      <c r="AD560" t="s">
        <v>10073</v>
      </c>
      <c r="AE560" t="s">
        <v>10074</v>
      </c>
      <c r="AF560" t="s">
        <v>74</v>
      </c>
      <c r="AG560">
        <v>26</v>
      </c>
      <c r="AH560">
        <v>0</v>
      </c>
      <c r="AI560">
        <v>0</v>
      </c>
      <c r="AJ560">
        <v>0</v>
      </c>
      <c r="AK560">
        <v>0</v>
      </c>
      <c r="AL560" t="s">
        <v>184</v>
      </c>
      <c r="AM560" t="s">
        <v>185</v>
      </c>
      <c r="AN560" t="s">
        <v>186</v>
      </c>
      <c r="AO560" t="s">
        <v>10075</v>
      </c>
      <c r="AP560" t="s">
        <v>10076</v>
      </c>
      <c r="AQ560" t="s">
        <v>74</v>
      </c>
      <c r="AR560" t="s">
        <v>10077</v>
      </c>
      <c r="AS560" t="s">
        <v>10078</v>
      </c>
      <c r="AT560" t="s">
        <v>10040</v>
      </c>
      <c r="AU560">
        <v>2023</v>
      </c>
      <c r="AV560" t="s">
        <v>74</v>
      </c>
      <c r="AW560" t="s">
        <v>74</v>
      </c>
      <c r="AX560" t="s">
        <v>74</v>
      </c>
      <c r="AY560" t="s">
        <v>74</v>
      </c>
      <c r="AZ560" t="s">
        <v>74</v>
      </c>
      <c r="BA560" t="s">
        <v>74</v>
      </c>
      <c r="BB560" t="s">
        <v>74</v>
      </c>
      <c r="BC560" t="s">
        <v>74</v>
      </c>
      <c r="BD560">
        <v>2249731</v>
      </c>
      <c r="BE560" t="s">
        <v>10079</v>
      </c>
      <c r="BF560" t="str">
        <f>HYPERLINK("http://dx.doi.org/10.1080/01457632.2023.2249731","http://dx.doi.org/10.1080/01457632.2023.2249731")</f>
        <v>http://dx.doi.org/10.1080/01457632.2023.2249731</v>
      </c>
      <c r="BG560" t="s">
        <v>74</v>
      </c>
      <c r="BH560" t="s">
        <v>74</v>
      </c>
      <c r="BI560">
        <v>11</v>
      </c>
      <c r="BJ560" t="s">
        <v>10080</v>
      </c>
      <c r="BK560" t="s">
        <v>102</v>
      </c>
      <c r="BL560" t="s">
        <v>10081</v>
      </c>
      <c r="BM560" t="s">
        <v>10082</v>
      </c>
      <c r="BN560" t="s">
        <v>74</v>
      </c>
      <c r="BO560" t="s">
        <v>74</v>
      </c>
      <c r="BP560" t="s">
        <v>74</v>
      </c>
      <c r="BQ560" t="s">
        <v>74</v>
      </c>
      <c r="BR560" t="s">
        <v>105</v>
      </c>
      <c r="BS560" t="s">
        <v>10083</v>
      </c>
      <c r="BT560" t="str">
        <f>HYPERLINK("https%3A%2F%2Fwww.webofscience.com%2Fwos%2Fwoscc%2Ffull-record%2FWOS:001058408900001","View Full Record in Web of Science")</f>
        <v>View Full Record in Web of Science</v>
      </c>
    </row>
    <row r="561" spans="1:72" x14ac:dyDescent="0.15">
      <c r="A561" t="s">
        <v>72</v>
      </c>
      <c r="B561" t="s">
        <v>10084</v>
      </c>
      <c r="C561" t="s">
        <v>74</v>
      </c>
      <c r="D561" t="s">
        <v>74</v>
      </c>
      <c r="E561" t="s">
        <v>74</v>
      </c>
      <c r="F561" t="s">
        <v>10085</v>
      </c>
      <c r="G561" t="s">
        <v>74</v>
      </c>
      <c r="H561" t="s">
        <v>74</v>
      </c>
      <c r="I561" t="s">
        <v>10086</v>
      </c>
      <c r="J561" t="s">
        <v>5353</v>
      </c>
      <c r="K561" t="s">
        <v>74</v>
      </c>
      <c r="L561" t="s">
        <v>74</v>
      </c>
      <c r="M561" t="s">
        <v>78</v>
      </c>
      <c r="N561" t="s">
        <v>79</v>
      </c>
      <c r="O561" t="s">
        <v>74</v>
      </c>
      <c r="P561" t="s">
        <v>74</v>
      </c>
      <c r="Q561" t="s">
        <v>74</v>
      </c>
      <c r="R561" t="s">
        <v>74</v>
      </c>
      <c r="S561" t="s">
        <v>74</v>
      </c>
      <c r="T561" t="s">
        <v>10087</v>
      </c>
      <c r="U561" t="s">
        <v>10088</v>
      </c>
      <c r="V561" t="s">
        <v>10089</v>
      </c>
      <c r="W561" t="s">
        <v>10090</v>
      </c>
      <c r="X561" t="s">
        <v>10091</v>
      </c>
      <c r="Y561" t="s">
        <v>10092</v>
      </c>
      <c r="Z561" t="s">
        <v>10093</v>
      </c>
      <c r="AA561" t="s">
        <v>10094</v>
      </c>
      <c r="AB561" t="s">
        <v>10095</v>
      </c>
      <c r="AC561" t="s">
        <v>10096</v>
      </c>
      <c r="AD561" t="s">
        <v>10097</v>
      </c>
      <c r="AE561" t="s">
        <v>10098</v>
      </c>
      <c r="AF561" t="s">
        <v>74</v>
      </c>
      <c r="AG561">
        <v>54</v>
      </c>
      <c r="AH561">
        <v>0</v>
      </c>
      <c r="AI561">
        <v>0</v>
      </c>
      <c r="AJ561">
        <v>13</v>
      </c>
      <c r="AK561">
        <v>13</v>
      </c>
      <c r="AL561" t="s">
        <v>184</v>
      </c>
      <c r="AM561" t="s">
        <v>185</v>
      </c>
      <c r="AN561" t="s">
        <v>186</v>
      </c>
      <c r="AO561" t="s">
        <v>5364</v>
      </c>
      <c r="AP561" t="s">
        <v>5365</v>
      </c>
      <c r="AQ561" t="s">
        <v>74</v>
      </c>
      <c r="AR561" t="s">
        <v>5366</v>
      </c>
      <c r="AS561" t="s">
        <v>5367</v>
      </c>
      <c r="AT561" t="s">
        <v>10040</v>
      </c>
      <c r="AU561">
        <v>2023</v>
      </c>
      <c r="AV561">
        <v>20</v>
      </c>
      <c r="AW561">
        <v>2</v>
      </c>
      <c r="AX561" t="s">
        <v>74</v>
      </c>
      <c r="AY561" t="s">
        <v>74</v>
      </c>
      <c r="AZ561" t="s">
        <v>74</v>
      </c>
      <c r="BA561" t="s">
        <v>74</v>
      </c>
      <c r="BB561" t="s">
        <v>74</v>
      </c>
      <c r="BC561" t="s">
        <v>74</v>
      </c>
      <c r="BD561">
        <v>2231271</v>
      </c>
      <c r="BE561" t="s">
        <v>10099</v>
      </c>
      <c r="BF561" t="str">
        <f>HYPERLINK("http://dx.doi.org/10.1080/15440478.2023.2231271","http://dx.doi.org/10.1080/15440478.2023.2231271")</f>
        <v>http://dx.doi.org/10.1080/15440478.2023.2231271</v>
      </c>
      <c r="BG561" t="s">
        <v>74</v>
      </c>
      <c r="BH561" t="s">
        <v>74</v>
      </c>
      <c r="BI561">
        <v>17</v>
      </c>
      <c r="BJ561" t="s">
        <v>5370</v>
      </c>
      <c r="BK561" t="s">
        <v>102</v>
      </c>
      <c r="BL561" t="s">
        <v>1594</v>
      </c>
      <c r="BM561" t="s">
        <v>10100</v>
      </c>
      <c r="BN561" t="s">
        <v>74</v>
      </c>
      <c r="BO561" t="s">
        <v>126</v>
      </c>
      <c r="BP561" t="s">
        <v>74</v>
      </c>
      <c r="BQ561" t="s">
        <v>74</v>
      </c>
      <c r="BR561" t="s">
        <v>105</v>
      </c>
      <c r="BS561" t="s">
        <v>10101</v>
      </c>
      <c r="BT561" t="str">
        <f>HYPERLINK("https%3A%2F%2Fwww.webofscience.com%2Fwos%2Fwoscc%2Ffull-record%2FWOS:001023859300001","View Full Record in Web of Science")</f>
        <v>View Full Record in Web of Science</v>
      </c>
    </row>
    <row r="562" spans="1:72" x14ac:dyDescent="0.15">
      <c r="A562" t="s">
        <v>72</v>
      </c>
      <c r="B562" t="s">
        <v>10102</v>
      </c>
      <c r="C562" t="s">
        <v>74</v>
      </c>
      <c r="D562" t="s">
        <v>74</v>
      </c>
      <c r="E562" t="s">
        <v>74</v>
      </c>
      <c r="F562" t="s">
        <v>10103</v>
      </c>
      <c r="G562" t="s">
        <v>74</v>
      </c>
      <c r="H562" t="s">
        <v>74</v>
      </c>
      <c r="I562" t="s">
        <v>10104</v>
      </c>
      <c r="J562" t="s">
        <v>5441</v>
      </c>
      <c r="K562" t="s">
        <v>74</v>
      </c>
      <c r="L562" t="s">
        <v>74</v>
      </c>
      <c r="M562" t="s">
        <v>78</v>
      </c>
      <c r="N562" t="s">
        <v>2650</v>
      </c>
      <c r="O562" t="s">
        <v>74</v>
      </c>
      <c r="P562" t="s">
        <v>74</v>
      </c>
      <c r="Q562" t="s">
        <v>74</v>
      </c>
      <c r="R562" t="s">
        <v>74</v>
      </c>
      <c r="S562" t="s">
        <v>74</v>
      </c>
      <c r="T562" t="s">
        <v>10105</v>
      </c>
      <c r="U562" t="s">
        <v>74</v>
      </c>
      <c r="V562" t="s">
        <v>10106</v>
      </c>
      <c r="W562" t="s">
        <v>10107</v>
      </c>
      <c r="X562" t="s">
        <v>10108</v>
      </c>
      <c r="Y562" t="s">
        <v>10109</v>
      </c>
      <c r="Z562" t="s">
        <v>10110</v>
      </c>
      <c r="AA562" t="s">
        <v>74</v>
      </c>
      <c r="AB562" t="s">
        <v>74</v>
      </c>
      <c r="AC562" t="s">
        <v>74</v>
      </c>
      <c r="AD562" t="s">
        <v>74</v>
      </c>
      <c r="AE562" t="s">
        <v>74</v>
      </c>
      <c r="AF562" t="s">
        <v>74</v>
      </c>
      <c r="AG562">
        <v>33</v>
      </c>
      <c r="AH562">
        <v>0</v>
      </c>
      <c r="AI562">
        <v>0</v>
      </c>
      <c r="AJ562">
        <v>2</v>
      </c>
      <c r="AK562">
        <v>2</v>
      </c>
      <c r="AL562" t="s">
        <v>1188</v>
      </c>
      <c r="AM562" t="s">
        <v>93</v>
      </c>
      <c r="AN562" t="s">
        <v>1189</v>
      </c>
      <c r="AO562" t="s">
        <v>5442</v>
      </c>
      <c r="AP562" t="s">
        <v>5443</v>
      </c>
      <c r="AQ562" t="s">
        <v>74</v>
      </c>
      <c r="AR562" t="s">
        <v>5444</v>
      </c>
      <c r="AS562" t="s">
        <v>5445</v>
      </c>
      <c r="AT562" t="s">
        <v>10040</v>
      </c>
      <c r="AU562">
        <v>2023</v>
      </c>
      <c r="AV562">
        <v>46</v>
      </c>
      <c r="AW562">
        <v>11</v>
      </c>
      <c r="AX562" t="s">
        <v>74</v>
      </c>
      <c r="AY562" t="s">
        <v>74</v>
      </c>
      <c r="AZ562" t="s">
        <v>5344</v>
      </c>
      <c r="BA562" t="s">
        <v>74</v>
      </c>
      <c r="BB562">
        <v>2280</v>
      </c>
      <c r="BC562">
        <v>2293</v>
      </c>
      <c r="BD562" t="s">
        <v>74</v>
      </c>
      <c r="BE562" t="s">
        <v>10111</v>
      </c>
      <c r="BF562" t="str">
        <f>HYPERLINK("http://dx.doi.org/10.1080/01419870.2023.2186797","http://dx.doi.org/10.1080/01419870.2023.2186797")</f>
        <v>http://dx.doi.org/10.1080/01419870.2023.2186797</v>
      </c>
      <c r="BG562" t="s">
        <v>74</v>
      </c>
      <c r="BH562" t="s">
        <v>8608</v>
      </c>
      <c r="BI562">
        <v>14</v>
      </c>
      <c r="BJ562" t="s">
        <v>5447</v>
      </c>
      <c r="BK562" t="s">
        <v>272</v>
      </c>
      <c r="BL562" t="s">
        <v>5447</v>
      </c>
      <c r="BM562" t="s">
        <v>10112</v>
      </c>
      <c r="BN562" t="s">
        <v>74</v>
      </c>
      <c r="BO562" t="s">
        <v>5391</v>
      </c>
      <c r="BP562" t="s">
        <v>74</v>
      </c>
      <c r="BQ562" t="s">
        <v>74</v>
      </c>
      <c r="BR562" t="s">
        <v>105</v>
      </c>
      <c r="BS562" t="s">
        <v>10113</v>
      </c>
      <c r="BT562" t="str">
        <f>HYPERLINK("https%3A%2F%2Fwww.webofscience.com%2Fwos%2Fwoscc%2Ffull-record%2FWOS:000963705800001","View Full Record in Web of Science")</f>
        <v>View Full Record in Web of Science</v>
      </c>
    </row>
    <row r="563" spans="1:72" x14ac:dyDescent="0.15">
      <c r="A563" t="s">
        <v>72</v>
      </c>
      <c r="B563" t="s">
        <v>10114</v>
      </c>
      <c r="C563" t="s">
        <v>74</v>
      </c>
      <c r="D563" t="s">
        <v>74</v>
      </c>
      <c r="E563" t="s">
        <v>74</v>
      </c>
      <c r="F563" t="s">
        <v>10115</v>
      </c>
      <c r="G563" t="s">
        <v>74</v>
      </c>
      <c r="H563" t="s">
        <v>74</v>
      </c>
      <c r="I563" t="s">
        <v>10116</v>
      </c>
      <c r="J563" t="s">
        <v>10117</v>
      </c>
      <c r="K563" t="s">
        <v>74</v>
      </c>
      <c r="L563" t="s">
        <v>74</v>
      </c>
      <c r="M563" t="s">
        <v>78</v>
      </c>
      <c r="N563" t="s">
        <v>5492</v>
      </c>
      <c r="O563" t="s">
        <v>74</v>
      </c>
      <c r="P563" t="s">
        <v>74</v>
      </c>
      <c r="Q563" t="s">
        <v>74</v>
      </c>
      <c r="R563" t="s">
        <v>74</v>
      </c>
      <c r="S563" t="s">
        <v>74</v>
      </c>
      <c r="T563" t="s">
        <v>10118</v>
      </c>
      <c r="U563" t="s">
        <v>10119</v>
      </c>
      <c r="V563" t="s">
        <v>10120</v>
      </c>
      <c r="W563" t="s">
        <v>10121</v>
      </c>
      <c r="X563" t="s">
        <v>10122</v>
      </c>
      <c r="Y563" t="s">
        <v>10123</v>
      </c>
      <c r="Z563" t="s">
        <v>10124</v>
      </c>
      <c r="AA563" t="s">
        <v>74</v>
      </c>
      <c r="AB563" t="s">
        <v>74</v>
      </c>
      <c r="AC563" t="s">
        <v>74</v>
      </c>
      <c r="AD563" t="s">
        <v>74</v>
      </c>
      <c r="AE563" t="s">
        <v>74</v>
      </c>
      <c r="AF563" t="s">
        <v>74</v>
      </c>
      <c r="AG563">
        <v>108</v>
      </c>
      <c r="AH563">
        <v>0</v>
      </c>
      <c r="AI563">
        <v>0</v>
      </c>
      <c r="AJ563">
        <v>5</v>
      </c>
      <c r="AK563">
        <v>5</v>
      </c>
      <c r="AL563" t="s">
        <v>1188</v>
      </c>
      <c r="AM563" t="s">
        <v>93</v>
      </c>
      <c r="AN563" t="s">
        <v>1189</v>
      </c>
      <c r="AO563" t="s">
        <v>10125</v>
      </c>
      <c r="AP563" t="s">
        <v>10126</v>
      </c>
      <c r="AQ563" t="s">
        <v>74</v>
      </c>
      <c r="AR563" t="s">
        <v>10127</v>
      </c>
      <c r="AS563" t="s">
        <v>10128</v>
      </c>
      <c r="AT563" t="s">
        <v>10129</v>
      </c>
      <c r="AU563">
        <v>2023</v>
      </c>
      <c r="AV563" t="s">
        <v>74</v>
      </c>
      <c r="AW563" t="s">
        <v>74</v>
      </c>
      <c r="AX563" t="s">
        <v>74</v>
      </c>
      <c r="AY563" t="s">
        <v>74</v>
      </c>
      <c r="AZ563" t="s">
        <v>74</v>
      </c>
      <c r="BA563" t="s">
        <v>74</v>
      </c>
      <c r="BB563" t="s">
        <v>74</v>
      </c>
      <c r="BC563" t="s">
        <v>74</v>
      </c>
      <c r="BD563" t="s">
        <v>74</v>
      </c>
      <c r="BE563" t="s">
        <v>10130</v>
      </c>
      <c r="BF563" t="str">
        <f>HYPERLINK("http://dx.doi.org/10.1080/16078055.2023.2247381","http://dx.doi.org/10.1080/16078055.2023.2247381")</f>
        <v>http://dx.doi.org/10.1080/16078055.2023.2247381</v>
      </c>
      <c r="BG563" t="s">
        <v>74</v>
      </c>
      <c r="BH563" t="s">
        <v>8608</v>
      </c>
      <c r="BI563">
        <v>18</v>
      </c>
      <c r="BJ563" t="s">
        <v>5731</v>
      </c>
      <c r="BK563" t="s">
        <v>211</v>
      </c>
      <c r="BL563" t="s">
        <v>397</v>
      </c>
      <c r="BM563" t="s">
        <v>10131</v>
      </c>
      <c r="BN563" t="s">
        <v>74</v>
      </c>
      <c r="BO563" t="s">
        <v>74</v>
      </c>
      <c r="BP563" t="s">
        <v>74</v>
      </c>
      <c r="BQ563" t="s">
        <v>74</v>
      </c>
      <c r="BR563" t="s">
        <v>105</v>
      </c>
      <c r="BS563" t="s">
        <v>10132</v>
      </c>
      <c r="BT563" t="str">
        <f>HYPERLINK("https%3A%2F%2Fwww.webofscience.com%2Fwos%2Fwoscc%2Ffull-record%2FWOS:001049847000001","View Full Record in Web of Science")</f>
        <v>View Full Record in Web of Science</v>
      </c>
    </row>
    <row r="564" spans="1:72" x14ac:dyDescent="0.15">
      <c r="A564" t="s">
        <v>72</v>
      </c>
      <c r="B564" t="s">
        <v>10133</v>
      </c>
      <c r="C564" t="s">
        <v>74</v>
      </c>
      <c r="D564" t="s">
        <v>74</v>
      </c>
      <c r="E564" t="s">
        <v>74</v>
      </c>
      <c r="F564" t="s">
        <v>10134</v>
      </c>
      <c r="G564" t="s">
        <v>74</v>
      </c>
      <c r="H564" t="s">
        <v>74</v>
      </c>
      <c r="I564" t="s">
        <v>10135</v>
      </c>
      <c r="J564" t="s">
        <v>10136</v>
      </c>
      <c r="K564" t="s">
        <v>74</v>
      </c>
      <c r="L564" t="s">
        <v>74</v>
      </c>
      <c r="M564" t="s">
        <v>78</v>
      </c>
      <c r="N564" t="s">
        <v>5492</v>
      </c>
      <c r="O564" t="s">
        <v>74</v>
      </c>
      <c r="P564" t="s">
        <v>74</v>
      </c>
      <c r="Q564" t="s">
        <v>74</v>
      </c>
      <c r="R564" t="s">
        <v>74</v>
      </c>
      <c r="S564" t="s">
        <v>74</v>
      </c>
      <c r="T564" t="s">
        <v>10137</v>
      </c>
      <c r="U564" t="s">
        <v>74</v>
      </c>
      <c r="V564" t="s">
        <v>10138</v>
      </c>
      <c r="W564" t="s">
        <v>10139</v>
      </c>
      <c r="X564" t="s">
        <v>10140</v>
      </c>
      <c r="Y564" t="s">
        <v>10141</v>
      </c>
      <c r="Z564" t="s">
        <v>10142</v>
      </c>
      <c r="AA564" t="s">
        <v>74</v>
      </c>
      <c r="AB564" t="s">
        <v>74</v>
      </c>
      <c r="AC564" t="s">
        <v>10143</v>
      </c>
      <c r="AD564" t="s">
        <v>10144</v>
      </c>
      <c r="AE564" t="s">
        <v>10145</v>
      </c>
      <c r="AF564" t="s">
        <v>74</v>
      </c>
      <c r="AG564">
        <v>26</v>
      </c>
      <c r="AH564">
        <v>1</v>
      </c>
      <c r="AI564">
        <v>1</v>
      </c>
      <c r="AJ564">
        <v>3</v>
      </c>
      <c r="AK564">
        <v>3</v>
      </c>
      <c r="AL564" t="s">
        <v>92</v>
      </c>
      <c r="AM564" t="s">
        <v>93</v>
      </c>
      <c r="AN564" t="s">
        <v>94</v>
      </c>
      <c r="AO564" t="s">
        <v>10146</v>
      </c>
      <c r="AP564" t="s">
        <v>10147</v>
      </c>
      <c r="AQ564" t="s">
        <v>74</v>
      </c>
      <c r="AR564" t="s">
        <v>10148</v>
      </c>
      <c r="AS564" t="s">
        <v>10149</v>
      </c>
      <c r="AT564" t="s">
        <v>10129</v>
      </c>
      <c r="AU564">
        <v>2023</v>
      </c>
      <c r="AV564" t="s">
        <v>74</v>
      </c>
      <c r="AW564" t="s">
        <v>74</v>
      </c>
      <c r="AX564" t="s">
        <v>74</v>
      </c>
      <c r="AY564" t="s">
        <v>74</v>
      </c>
      <c r="AZ564" t="s">
        <v>74</v>
      </c>
      <c r="BA564" t="s">
        <v>74</v>
      </c>
      <c r="BB564" t="s">
        <v>74</v>
      </c>
      <c r="BC564" t="s">
        <v>74</v>
      </c>
      <c r="BD564" t="s">
        <v>74</v>
      </c>
      <c r="BE564" t="s">
        <v>10150</v>
      </c>
      <c r="BF564" t="str">
        <f>HYPERLINK("http://dx.doi.org/10.1080/13621718.2023.2247242","http://dx.doi.org/10.1080/13621718.2023.2247242")</f>
        <v>http://dx.doi.org/10.1080/13621718.2023.2247242</v>
      </c>
      <c r="BG564" t="s">
        <v>74</v>
      </c>
      <c r="BH564" t="s">
        <v>8608</v>
      </c>
      <c r="BI564">
        <v>9</v>
      </c>
      <c r="BJ564" t="s">
        <v>10151</v>
      </c>
      <c r="BK564" t="s">
        <v>102</v>
      </c>
      <c r="BL564" t="s">
        <v>10152</v>
      </c>
      <c r="BM564" t="s">
        <v>10153</v>
      </c>
      <c r="BN564" t="s">
        <v>74</v>
      </c>
      <c r="BO564" t="s">
        <v>5486</v>
      </c>
      <c r="BP564" t="s">
        <v>74</v>
      </c>
      <c r="BQ564" t="s">
        <v>74</v>
      </c>
      <c r="BR564" t="s">
        <v>105</v>
      </c>
      <c r="BS564" t="s">
        <v>10154</v>
      </c>
      <c r="BT564" t="str">
        <f>HYPERLINK("https%3A%2F%2Fwww.webofscience.com%2Fwos%2Fwoscc%2Ffull-record%2FWOS:001048484500001","View Full Record in Web of Science")</f>
        <v>View Full Record in Web of Science</v>
      </c>
    </row>
    <row r="565" spans="1:72" x14ac:dyDescent="0.15">
      <c r="A565" t="s">
        <v>72</v>
      </c>
      <c r="B565" t="s">
        <v>10155</v>
      </c>
      <c r="C565" t="s">
        <v>74</v>
      </c>
      <c r="D565" t="s">
        <v>74</v>
      </c>
      <c r="E565" t="s">
        <v>74</v>
      </c>
      <c r="F565" t="s">
        <v>10156</v>
      </c>
      <c r="G565" t="s">
        <v>74</v>
      </c>
      <c r="H565" t="s">
        <v>74</v>
      </c>
      <c r="I565" t="s">
        <v>10157</v>
      </c>
      <c r="J565" t="s">
        <v>8679</v>
      </c>
      <c r="K565" t="s">
        <v>74</v>
      </c>
      <c r="L565" t="s">
        <v>74</v>
      </c>
      <c r="M565" t="s">
        <v>78</v>
      </c>
      <c r="N565" t="s">
        <v>79</v>
      </c>
      <c r="O565" t="s">
        <v>74</v>
      </c>
      <c r="P565" t="s">
        <v>74</v>
      </c>
      <c r="Q565" t="s">
        <v>74</v>
      </c>
      <c r="R565" t="s">
        <v>74</v>
      </c>
      <c r="S565" t="s">
        <v>74</v>
      </c>
      <c r="T565" t="s">
        <v>10158</v>
      </c>
      <c r="U565" t="s">
        <v>10159</v>
      </c>
      <c r="V565" t="s">
        <v>10160</v>
      </c>
      <c r="W565" t="s">
        <v>10161</v>
      </c>
      <c r="X565" t="s">
        <v>10162</v>
      </c>
      <c r="Y565" t="s">
        <v>10163</v>
      </c>
      <c r="Z565" t="s">
        <v>10164</v>
      </c>
      <c r="AA565" t="s">
        <v>10165</v>
      </c>
      <c r="AB565" t="s">
        <v>10166</v>
      </c>
      <c r="AC565" t="s">
        <v>74</v>
      </c>
      <c r="AD565" t="s">
        <v>74</v>
      </c>
      <c r="AE565" t="s">
        <v>74</v>
      </c>
      <c r="AF565" t="s">
        <v>74</v>
      </c>
      <c r="AG565">
        <v>22</v>
      </c>
      <c r="AH565">
        <v>0</v>
      </c>
      <c r="AI565">
        <v>0</v>
      </c>
      <c r="AJ565">
        <v>3</v>
      </c>
      <c r="AK565">
        <v>3</v>
      </c>
      <c r="AL565" t="s">
        <v>184</v>
      </c>
      <c r="AM565" t="s">
        <v>185</v>
      </c>
      <c r="AN565" t="s">
        <v>186</v>
      </c>
      <c r="AO565" t="s">
        <v>8687</v>
      </c>
      <c r="AP565" t="s">
        <v>8688</v>
      </c>
      <c r="AQ565" t="s">
        <v>74</v>
      </c>
      <c r="AR565" t="s">
        <v>8689</v>
      </c>
      <c r="AS565" t="s">
        <v>8690</v>
      </c>
      <c r="AT565" t="s">
        <v>10167</v>
      </c>
      <c r="AU565">
        <v>2023</v>
      </c>
      <c r="AV565">
        <v>53</v>
      </c>
      <c r="AW565">
        <v>20</v>
      </c>
      <c r="AX565" t="s">
        <v>74</v>
      </c>
      <c r="AY565" t="s">
        <v>74</v>
      </c>
      <c r="AZ565" t="s">
        <v>74</v>
      </c>
      <c r="BA565" t="s">
        <v>74</v>
      </c>
      <c r="BB565">
        <v>1730</v>
      </c>
      <c r="BC565">
        <v>1738</v>
      </c>
      <c r="BD565" t="s">
        <v>74</v>
      </c>
      <c r="BE565" t="s">
        <v>10168</v>
      </c>
      <c r="BF565" t="str">
        <f>HYPERLINK("http://dx.doi.org/10.1080/00397911.2023.2246084","http://dx.doi.org/10.1080/00397911.2023.2246084")</f>
        <v>http://dx.doi.org/10.1080/00397911.2023.2246084</v>
      </c>
      <c r="BG565" t="s">
        <v>74</v>
      </c>
      <c r="BH565" t="s">
        <v>8608</v>
      </c>
      <c r="BI565">
        <v>9</v>
      </c>
      <c r="BJ565" t="s">
        <v>8692</v>
      </c>
      <c r="BK565" t="s">
        <v>102</v>
      </c>
      <c r="BL565" t="s">
        <v>8693</v>
      </c>
      <c r="BM565" t="s">
        <v>10169</v>
      </c>
      <c r="BN565" t="s">
        <v>74</v>
      </c>
      <c r="BO565" t="s">
        <v>74</v>
      </c>
      <c r="BP565" t="s">
        <v>74</v>
      </c>
      <c r="BQ565" t="s">
        <v>74</v>
      </c>
      <c r="BR565" t="s">
        <v>105</v>
      </c>
      <c r="BS565" t="s">
        <v>10170</v>
      </c>
      <c r="BT565" t="str">
        <f>HYPERLINK("https%3A%2F%2Fwww.webofscience.com%2Fwos%2Fwoscc%2Ffull-record%2FWOS:001049137300001","View Full Record in Web of Science")</f>
        <v>View Full Record in Web of Science</v>
      </c>
    </row>
    <row r="566" spans="1:72" x14ac:dyDescent="0.15">
      <c r="A566" t="s">
        <v>72</v>
      </c>
      <c r="B566" t="s">
        <v>10171</v>
      </c>
      <c r="C566" t="s">
        <v>74</v>
      </c>
      <c r="D566" t="s">
        <v>74</v>
      </c>
      <c r="E566" t="s">
        <v>74</v>
      </c>
      <c r="F566" t="s">
        <v>10172</v>
      </c>
      <c r="G566" t="s">
        <v>74</v>
      </c>
      <c r="H566" t="s">
        <v>74</v>
      </c>
      <c r="I566" t="s">
        <v>10173</v>
      </c>
      <c r="J566" t="s">
        <v>10174</v>
      </c>
      <c r="K566" t="s">
        <v>74</v>
      </c>
      <c r="L566" t="s">
        <v>74</v>
      </c>
      <c r="M566" t="s">
        <v>78</v>
      </c>
      <c r="N566" t="s">
        <v>5492</v>
      </c>
      <c r="O566" t="s">
        <v>74</v>
      </c>
      <c r="P566" t="s">
        <v>74</v>
      </c>
      <c r="Q566" t="s">
        <v>74</v>
      </c>
      <c r="R566" t="s">
        <v>74</v>
      </c>
      <c r="S566" t="s">
        <v>74</v>
      </c>
      <c r="T566" t="s">
        <v>10175</v>
      </c>
      <c r="U566" t="s">
        <v>10176</v>
      </c>
      <c r="V566" t="s">
        <v>10177</v>
      </c>
      <c r="W566" t="s">
        <v>10178</v>
      </c>
      <c r="X566" t="s">
        <v>10179</v>
      </c>
      <c r="Y566" t="s">
        <v>10180</v>
      </c>
      <c r="Z566" t="s">
        <v>10181</v>
      </c>
      <c r="AA566" t="s">
        <v>10182</v>
      </c>
      <c r="AB566" t="s">
        <v>74</v>
      </c>
      <c r="AC566" t="s">
        <v>10183</v>
      </c>
      <c r="AD566" t="s">
        <v>10184</v>
      </c>
      <c r="AE566" t="s">
        <v>10185</v>
      </c>
      <c r="AF566" t="s">
        <v>74</v>
      </c>
      <c r="AG566">
        <v>49</v>
      </c>
      <c r="AH566">
        <v>0</v>
      </c>
      <c r="AI566">
        <v>0</v>
      </c>
      <c r="AJ566">
        <v>4</v>
      </c>
      <c r="AK566">
        <v>4</v>
      </c>
      <c r="AL566" t="s">
        <v>92</v>
      </c>
      <c r="AM566" t="s">
        <v>93</v>
      </c>
      <c r="AN566" t="s">
        <v>94</v>
      </c>
      <c r="AO566" t="s">
        <v>10186</v>
      </c>
      <c r="AP566" t="s">
        <v>10187</v>
      </c>
      <c r="AQ566" t="s">
        <v>74</v>
      </c>
      <c r="AR566" t="s">
        <v>10188</v>
      </c>
      <c r="AS566" t="s">
        <v>10189</v>
      </c>
      <c r="AT566" t="s">
        <v>10129</v>
      </c>
      <c r="AU566">
        <v>2023</v>
      </c>
      <c r="AV566" t="s">
        <v>74</v>
      </c>
      <c r="AW566" t="s">
        <v>74</v>
      </c>
      <c r="AX566" t="s">
        <v>74</v>
      </c>
      <c r="AY566" t="s">
        <v>74</v>
      </c>
      <c r="AZ566" t="s">
        <v>74</v>
      </c>
      <c r="BA566" t="s">
        <v>74</v>
      </c>
      <c r="BB566" t="s">
        <v>74</v>
      </c>
      <c r="BC566" t="s">
        <v>74</v>
      </c>
      <c r="BD566" t="s">
        <v>74</v>
      </c>
      <c r="BE566" t="s">
        <v>10190</v>
      </c>
      <c r="BF566" t="str">
        <f>HYPERLINK("http://dx.doi.org/10.1080/02670836.2023.2242722","http://dx.doi.org/10.1080/02670836.2023.2242722")</f>
        <v>http://dx.doi.org/10.1080/02670836.2023.2242722</v>
      </c>
      <c r="BG566" t="s">
        <v>74</v>
      </c>
      <c r="BH566" t="s">
        <v>8608</v>
      </c>
      <c r="BI566">
        <v>11</v>
      </c>
      <c r="BJ566" t="s">
        <v>10151</v>
      </c>
      <c r="BK566" t="s">
        <v>102</v>
      </c>
      <c r="BL566" t="s">
        <v>10152</v>
      </c>
      <c r="BM566" t="s">
        <v>10191</v>
      </c>
      <c r="BN566" t="s">
        <v>74</v>
      </c>
      <c r="BO566" t="s">
        <v>74</v>
      </c>
      <c r="BP566" t="s">
        <v>74</v>
      </c>
      <c r="BQ566" t="s">
        <v>74</v>
      </c>
      <c r="BR566" t="s">
        <v>105</v>
      </c>
      <c r="BS566" t="s">
        <v>10192</v>
      </c>
      <c r="BT566" t="str">
        <f>HYPERLINK("https%3A%2F%2Fwww.webofscience.com%2Fwos%2Fwoscc%2Ffull-record%2FWOS:001049155800001","View Full Record in Web of Science")</f>
        <v>View Full Record in Web of Science</v>
      </c>
    </row>
    <row r="567" spans="1:72" x14ac:dyDescent="0.15">
      <c r="A567" t="s">
        <v>72</v>
      </c>
      <c r="B567" t="s">
        <v>10193</v>
      </c>
      <c r="C567" t="s">
        <v>74</v>
      </c>
      <c r="D567" t="s">
        <v>74</v>
      </c>
      <c r="E567" t="s">
        <v>74</v>
      </c>
      <c r="F567" t="s">
        <v>10194</v>
      </c>
      <c r="G567" t="s">
        <v>74</v>
      </c>
      <c r="H567" t="s">
        <v>74</v>
      </c>
      <c r="I567" t="s">
        <v>10195</v>
      </c>
      <c r="J567" t="s">
        <v>10196</v>
      </c>
      <c r="K567" t="s">
        <v>74</v>
      </c>
      <c r="L567" t="s">
        <v>74</v>
      </c>
      <c r="M567" t="s">
        <v>78</v>
      </c>
      <c r="N567" t="s">
        <v>5492</v>
      </c>
      <c r="O567" t="s">
        <v>74</v>
      </c>
      <c r="P567" t="s">
        <v>74</v>
      </c>
      <c r="Q567" t="s">
        <v>74</v>
      </c>
      <c r="R567" t="s">
        <v>74</v>
      </c>
      <c r="S567" t="s">
        <v>74</v>
      </c>
      <c r="T567" t="s">
        <v>10197</v>
      </c>
      <c r="U567" t="s">
        <v>10198</v>
      </c>
      <c r="V567" t="s">
        <v>10199</v>
      </c>
      <c r="W567" t="s">
        <v>10200</v>
      </c>
      <c r="X567" t="s">
        <v>10201</v>
      </c>
      <c r="Y567" t="s">
        <v>10202</v>
      </c>
      <c r="Z567" t="s">
        <v>10203</v>
      </c>
      <c r="AA567" t="s">
        <v>74</v>
      </c>
      <c r="AB567" t="s">
        <v>74</v>
      </c>
      <c r="AC567" t="s">
        <v>74</v>
      </c>
      <c r="AD567" t="s">
        <v>74</v>
      </c>
      <c r="AE567" t="s">
        <v>74</v>
      </c>
      <c r="AF567" t="s">
        <v>74</v>
      </c>
      <c r="AG567">
        <v>89</v>
      </c>
      <c r="AH567">
        <v>0</v>
      </c>
      <c r="AI567">
        <v>0</v>
      </c>
      <c r="AJ567">
        <v>0</v>
      </c>
      <c r="AK567">
        <v>0</v>
      </c>
      <c r="AL567" t="s">
        <v>92</v>
      </c>
      <c r="AM567" t="s">
        <v>93</v>
      </c>
      <c r="AN567" t="s">
        <v>94</v>
      </c>
      <c r="AO567" t="s">
        <v>10204</v>
      </c>
      <c r="AP567" t="s">
        <v>10205</v>
      </c>
      <c r="AQ567" t="s">
        <v>74</v>
      </c>
      <c r="AR567" t="s">
        <v>10206</v>
      </c>
      <c r="AS567" t="s">
        <v>10207</v>
      </c>
      <c r="AT567" t="s">
        <v>10129</v>
      </c>
      <c r="AU567">
        <v>2023</v>
      </c>
      <c r="AV567" t="s">
        <v>74</v>
      </c>
      <c r="AW567" t="s">
        <v>74</v>
      </c>
      <c r="AX567" t="s">
        <v>74</v>
      </c>
      <c r="AY567" t="s">
        <v>74</v>
      </c>
      <c r="AZ567" t="s">
        <v>74</v>
      </c>
      <c r="BA567" t="s">
        <v>74</v>
      </c>
      <c r="BB567" t="s">
        <v>74</v>
      </c>
      <c r="BC567" t="s">
        <v>74</v>
      </c>
      <c r="BD567" t="s">
        <v>74</v>
      </c>
      <c r="BE567" t="s">
        <v>10208</v>
      </c>
      <c r="BF567" t="str">
        <f>HYPERLINK("http://dx.doi.org/10.1080/17474086.2023.2243386","http://dx.doi.org/10.1080/17474086.2023.2243386")</f>
        <v>http://dx.doi.org/10.1080/17474086.2023.2243386</v>
      </c>
      <c r="BG567" t="s">
        <v>74</v>
      </c>
      <c r="BH567" t="s">
        <v>8608</v>
      </c>
      <c r="BI567">
        <v>9</v>
      </c>
      <c r="BJ567" t="s">
        <v>144</v>
      </c>
      <c r="BK567" t="s">
        <v>102</v>
      </c>
      <c r="BL567" t="s">
        <v>144</v>
      </c>
      <c r="BM567" t="s">
        <v>10209</v>
      </c>
      <c r="BN567">
        <v>37581602</v>
      </c>
      <c r="BO567" t="s">
        <v>74</v>
      </c>
      <c r="BP567" t="s">
        <v>74</v>
      </c>
      <c r="BQ567" t="s">
        <v>74</v>
      </c>
      <c r="BR567" t="s">
        <v>105</v>
      </c>
      <c r="BS567" t="s">
        <v>10210</v>
      </c>
      <c r="BT567" t="str">
        <f>HYPERLINK("https%3A%2F%2Fwww.webofscience.com%2Fwos%2Fwoscc%2Ffull-record%2FWOS:001048993600001","View Full Record in Web of Science")</f>
        <v>View Full Record in Web of Science</v>
      </c>
    </row>
    <row r="568" spans="1:72" x14ac:dyDescent="0.15">
      <c r="A568" t="s">
        <v>72</v>
      </c>
      <c r="B568" t="s">
        <v>10211</v>
      </c>
      <c r="C568" t="s">
        <v>74</v>
      </c>
      <c r="D568" t="s">
        <v>74</v>
      </c>
      <c r="E568" t="s">
        <v>74</v>
      </c>
      <c r="F568" t="s">
        <v>10212</v>
      </c>
      <c r="G568" t="s">
        <v>74</v>
      </c>
      <c r="H568" t="s">
        <v>74</v>
      </c>
      <c r="I568" t="s">
        <v>10213</v>
      </c>
      <c r="J568" t="s">
        <v>9773</v>
      </c>
      <c r="K568" t="s">
        <v>74</v>
      </c>
      <c r="L568" t="s">
        <v>74</v>
      </c>
      <c r="M568" t="s">
        <v>78</v>
      </c>
      <c r="N568" t="s">
        <v>79</v>
      </c>
      <c r="O568" t="s">
        <v>74</v>
      </c>
      <c r="P568" t="s">
        <v>74</v>
      </c>
      <c r="Q568" t="s">
        <v>74</v>
      </c>
      <c r="R568" t="s">
        <v>74</v>
      </c>
      <c r="S568" t="s">
        <v>74</v>
      </c>
      <c r="T568" t="s">
        <v>10214</v>
      </c>
      <c r="U568" t="s">
        <v>74</v>
      </c>
      <c r="V568" t="s">
        <v>10215</v>
      </c>
      <c r="W568" t="s">
        <v>10216</v>
      </c>
      <c r="X568" t="s">
        <v>10217</v>
      </c>
      <c r="Y568" t="s">
        <v>10218</v>
      </c>
      <c r="Z568" t="s">
        <v>10219</v>
      </c>
      <c r="AA568" t="s">
        <v>74</v>
      </c>
      <c r="AB568" t="s">
        <v>74</v>
      </c>
      <c r="AC568" t="s">
        <v>74</v>
      </c>
      <c r="AD568" t="s">
        <v>74</v>
      </c>
      <c r="AE568" t="s">
        <v>74</v>
      </c>
      <c r="AF568" t="s">
        <v>74</v>
      </c>
      <c r="AG568">
        <v>12</v>
      </c>
      <c r="AH568">
        <v>0</v>
      </c>
      <c r="AI568">
        <v>0</v>
      </c>
      <c r="AJ568">
        <v>1</v>
      </c>
      <c r="AK568">
        <v>1</v>
      </c>
      <c r="AL568" t="s">
        <v>1188</v>
      </c>
      <c r="AM568" t="s">
        <v>93</v>
      </c>
      <c r="AN568" t="s">
        <v>1189</v>
      </c>
      <c r="AO568" t="s">
        <v>9781</v>
      </c>
      <c r="AP568" t="s">
        <v>9782</v>
      </c>
      <c r="AQ568" t="s">
        <v>74</v>
      </c>
      <c r="AR568" t="s">
        <v>9783</v>
      </c>
      <c r="AS568" t="s">
        <v>9784</v>
      </c>
      <c r="AT568" t="s">
        <v>10220</v>
      </c>
      <c r="AU568">
        <v>2023</v>
      </c>
      <c r="AV568">
        <v>16</v>
      </c>
      <c r="AW568">
        <v>2</v>
      </c>
      <c r="AX568" t="s">
        <v>74</v>
      </c>
      <c r="AY568" t="s">
        <v>74</v>
      </c>
      <c r="AZ568" t="s">
        <v>5344</v>
      </c>
      <c r="BA568" t="s">
        <v>74</v>
      </c>
      <c r="BB568">
        <v>104</v>
      </c>
      <c r="BC568">
        <v>120</v>
      </c>
      <c r="BD568" t="s">
        <v>74</v>
      </c>
      <c r="BE568" t="s">
        <v>10221</v>
      </c>
      <c r="BF568" t="str">
        <f>HYPERLINK("http://dx.doi.org/10.1080/17538963.2023.2244278","http://dx.doi.org/10.1080/17538963.2023.2244278")</f>
        <v>http://dx.doi.org/10.1080/17538963.2023.2244278</v>
      </c>
      <c r="BG568" t="s">
        <v>74</v>
      </c>
      <c r="BH568" t="s">
        <v>8608</v>
      </c>
      <c r="BI568">
        <v>17</v>
      </c>
      <c r="BJ568" t="s">
        <v>373</v>
      </c>
      <c r="BK568" t="s">
        <v>211</v>
      </c>
      <c r="BL568" t="s">
        <v>295</v>
      </c>
      <c r="BM568" t="s">
        <v>10222</v>
      </c>
      <c r="BN568" t="s">
        <v>74</v>
      </c>
      <c r="BO568" t="s">
        <v>74</v>
      </c>
      <c r="BP568" t="s">
        <v>74</v>
      </c>
      <c r="BQ568" t="s">
        <v>74</v>
      </c>
      <c r="BR568" t="s">
        <v>105</v>
      </c>
      <c r="BS568" t="s">
        <v>10223</v>
      </c>
      <c r="BT568" t="str">
        <f>HYPERLINK("https%3A%2F%2Fwww.webofscience.com%2Fwos%2Fwoscc%2Ffull-record%2FWOS:001048975900001","View Full Record in Web of Science")</f>
        <v>View Full Record in Web of Science</v>
      </c>
    </row>
    <row r="569" spans="1:72" x14ac:dyDescent="0.15">
      <c r="A569" t="s">
        <v>72</v>
      </c>
      <c r="B569" t="s">
        <v>10224</v>
      </c>
      <c r="C569" t="s">
        <v>74</v>
      </c>
      <c r="D569" t="s">
        <v>74</v>
      </c>
      <c r="E569" t="s">
        <v>74</v>
      </c>
      <c r="F569" t="s">
        <v>10225</v>
      </c>
      <c r="G569" t="s">
        <v>74</v>
      </c>
      <c r="H569" t="s">
        <v>74</v>
      </c>
      <c r="I569" t="s">
        <v>10226</v>
      </c>
      <c r="J569" t="s">
        <v>10227</v>
      </c>
      <c r="K569" t="s">
        <v>74</v>
      </c>
      <c r="L569" t="s">
        <v>74</v>
      </c>
      <c r="M569" t="s">
        <v>78</v>
      </c>
      <c r="N569" t="s">
        <v>5492</v>
      </c>
      <c r="O569" t="s">
        <v>74</v>
      </c>
      <c r="P569" t="s">
        <v>74</v>
      </c>
      <c r="Q569" t="s">
        <v>74</v>
      </c>
      <c r="R569" t="s">
        <v>74</v>
      </c>
      <c r="S569" t="s">
        <v>74</v>
      </c>
      <c r="T569" t="s">
        <v>10228</v>
      </c>
      <c r="U569" t="s">
        <v>10229</v>
      </c>
      <c r="V569" t="s">
        <v>10230</v>
      </c>
      <c r="W569" t="s">
        <v>10231</v>
      </c>
      <c r="X569" t="s">
        <v>10232</v>
      </c>
      <c r="Y569" t="s">
        <v>10233</v>
      </c>
      <c r="Z569" t="s">
        <v>10234</v>
      </c>
      <c r="AA569" t="s">
        <v>74</v>
      </c>
      <c r="AB569" t="s">
        <v>74</v>
      </c>
      <c r="AC569" t="s">
        <v>10235</v>
      </c>
      <c r="AD569" t="s">
        <v>10236</v>
      </c>
      <c r="AE569" t="s">
        <v>10237</v>
      </c>
      <c r="AF569" t="s">
        <v>74</v>
      </c>
      <c r="AG569">
        <v>52</v>
      </c>
      <c r="AH569">
        <v>0</v>
      </c>
      <c r="AI569">
        <v>0</v>
      </c>
      <c r="AJ569">
        <v>3</v>
      </c>
      <c r="AK569">
        <v>3</v>
      </c>
      <c r="AL569" t="s">
        <v>92</v>
      </c>
      <c r="AM569" t="s">
        <v>93</v>
      </c>
      <c r="AN569" t="s">
        <v>94</v>
      </c>
      <c r="AO569" t="s">
        <v>10238</v>
      </c>
      <c r="AP569" t="s">
        <v>10239</v>
      </c>
      <c r="AQ569" t="s">
        <v>74</v>
      </c>
      <c r="AR569" t="s">
        <v>10240</v>
      </c>
      <c r="AS569" t="s">
        <v>10241</v>
      </c>
      <c r="AT569" t="s">
        <v>10129</v>
      </c>
      <c r="AU569">
        <v>2023</v>
      </c>
      <c r="AV569" t="s">
        <v>74</v>
      </c>
      <c r="AW569" t="s">
        <v>74</v>
      </c>
      <c r="AX569" t="s">
        <v>74</v>
      </c>
      <c r="AY569" t="s">
        <v>74</v>
      </c>
      <c r="AZ569" t="s">
        <v>74</v>
      </c>
      <c r="BA569" t="s">
        <v>74</v>
      </c>
      <c r="BB569" t="s">
        <v>74</v>
      </c>
      <c r="BC569" t="s">
        <v>74</v>
      </c>
      <c r="BD569" t="s">
        <v>74</v>
      </c>
      <c r="BE569" t="s">
        <v>10242</v>
      </c>
      <c r="BF569" t="str">
        <f>HYPERLINK("http://dx.doi.org/10.1080/00405000.2023.2249701","http://dx.doi.org/10.1080/00405000.2023.2249701")</f>
        <v>http://dx.doi.org/10.1080/00405000.2023.2249701</v>
      </c>
      <c r="BG569" t="s">
        <v>74</v>
      </c>
      <c r="BH569" t="s">
        <v>8608</v>
      </c>
      <c r="BI569">
        <v>14</v>
      </c>
      <c r="BJ569" t="s">
        <v>5370</v>
      </c>
      <c r="BK569" t="s">
        <v>102</v>
      </c>
      <c r="BL569" t="s">
        <v>1594</v>
      </c>
      <c r="BM569" t="s">
        <v>10243</v>
      </c>
      <c r="BN569" t="s">
        <v>74</v>
      </c>
      <c r="BO569" t="s">
        <v>74</v>
      </c>
      <c r="BP569" t="s">
        <v>74</v>
      </c>
      <c r="BQ569" t="s">
        <v>74</v>
      </c>
      <c r="BR569" t="s">
        <v>105</v>
      </c>
      <c r="BS569" t="s">
        <v>10244</v>
      </c>
      <c r="BT569" t="str">
        <f>HYPERLINK("https%3A%2F%2Fwww.webofscience.com%2Fwos%2Fwoscc%2Ffull-record%2FWOS:001060366000001","View Full Record in Web of Science")</f>
        <v>View Full Record in Web of Science</v>
      </c>
    </row>
    <row r="570" spans="1:72" x14ac:dyDescent="0.15">
      <c r="A570" t="s">
        <v>72</v>
      </c>
      <c r="B570" t="s">
        <v>10245</v>
      </c>
      <c r="C570" t="s">
        <v>74</v>
      </c>
      <c r="D570" t="s">
        <v>74</v>
      </c>
      <c r="E570" t="s">
        <v>74</v>
      </c>
      <c r="F570" t="s">
        <v>10246</v>
      </c>
      <c r="G570" t="s">
        <v>74</v>
      </c>
      <c r="H570" t="s">
        <v>74</v>
      </c>
      <c r="I570" t="s">
        <v>10247</v>
      </c>
      <c r="J570" t="s">
        <v>10248</v>
      </c>
      <c r="K570" t="s">
        <v>74</v>
      </c>
      <c r="L570" t="s">
        <v>74</v>
      </c>
      <c r="M570" t="s">
        <v>78</v>
      </c>
      <c r="N570" t="s">
        <v>5492</v>
      </c>
      <c r="O570" t="s">
        <v>74</v>
      </c>
      <c r="P570" t="s">
        <v>74</v>
      </c>
      <c r="Q570" t="s">
        <v>74</v>
      </c>
      <c r="R570" t="s">
        <v>74</v>
      </c>
      <c r="S570" t="s">
        <v>74</v>
      </c>
      <c r="T570" t="s">
        <v>74</v>
      </c>
      <c r="U570" t="s">
        <v>10249</v>
      </c>
      <c r="V570" t="s">
        <v>10250</v>
      </c>
      <c r="W570" t="s">
        <v>10251</v>
      </c>
      <c r="X570" t="s">
        <v>10252</v>
      </c>
      <c r="Y570" t="s">
        <v>10253</v>
      </c>
      <c r="Z570" t="s">
        <v>10254</v>
      </c>
      <c r="AA570" t="s">
        <v>10255</v>
      </c>
      <c r="AB570" t="s">
        <v>10256</v>
      </c>
      <c r="AC570" t="s">
        <v>10257</v>
      </c>
      <c r="AD570" t="s">
        <v>10258</v>
      </c>
      <c r="AE570" t="s">
        <v>10259</v>
      </c>
      <c r="AF570" t="s">
        <v>74</v>
      </c>
      <c r="AG570">
        <v>71</v>
      </c>
      <c r="AH570">
        <v>0</v>
      </c>
      <c r="AI570">
        <v>0</v>
      </c>
      <c r="AJ570">
        <v>0</v>
      </c>
      <c r="AK570">
        <v>0</v>
      </c>
      <c r="AL570" t="s">
        <v>1188</v>
      </c>
      <c r="AM570" t="s">
        <v>93</v>
      </c>
      <c r="AN570" t="s">
        <v>1189</v>
      </c>
      <c r="AO570" t="s">
        <v>10260</v>
      </c>
      <c r="AP570" t="s">
        <v>10261</v>
      </c>
      <c r="AQ570" t="s">
        <v>74</v>
      </c>
      <c r="AR570" t="s">
        <v>10262</v>
      </c>
      <c r="AS570" t="s">
        <v>10263</v>
      </c>
      <c r="AT570" t="s">
        <v>10264</v>
      </c>
      <c r="AU570">
        <v>2023</v>
      </c>
      <c r="AV570" t="s">
        <v>74</v>
      </c>
      <c r="AW570" t="s">
        <v>74</v>
      </c>
      <c r="AX570" t="s">
        <v>74</v>
      </c>
      <c r="AY570" t="s">
        <v>74</v>
      </c>
      <c r="AZ570" t="s">
        <v>74</v>
      </c>
      <c r="BA570" t="s">
        <v>74</v>
      </c>
      <c r="BB570" t="s">
        <v>74</v>
      </c>
      <c r="BC570" t="s">
        <v>74</v>
      </c>
      <c r="BD570" t="s">
        <v>74</v>
      </c>
      <c r="BE570" t="s">
        <v>10265</v>
      </c>
      <c r="BF570" t="str">
        <f>HYPERLINK("http://dx.doi.org/10.1080/10410236.2023.2247852","http://dx.doi.org/10.1080/10410236.2023.2247852")</f>
        <v>http://dx.doi.org/10.1080/10410236.2023.2247852</v>
      </c>
      <c r="BG570" t="s">
        <v>74</v>
      </c>
      <c r="BH570" t="s">
        <v>8608</v>
      </c>
      <c r="BI570">
        <v>10</v>
      </c>
      <c r="BJ570" t="s">
        <v>10266</v>
      </c>
      <c r="BK570" t="s">
        <v>272</v>
      </c>
      <c r="BL570" t="s">
        <v>10267</v>
      </c>
      <c r="BM570" t="s">
        <v>10268</v>
      </c>
      <c r="BN570">
        <v>37580857</v>
      </c>
      <c r="BO570" t="s">
        <v>74</v>
      </c>
      <c r="BP570" t="s">
        <v>74</v>
      </c>
      <c r="BQ570" t="s">
        <v>74</v>
      </c>
      <c r="BR570" t="s">
        <v>105</v>
      </c>
      <c r="BS570" t="s">
        <v>10269</v>
      </c>
      <c r="BT570" t="str">
        <f>HYPERLINK("https%3A%2F%2Fwww.webofscience.com%2Fwos%2Fwoscc%2Ffull-record%2FWOS:001049027800001","View Full Record in Web of Science")</f>
        <v>View Full Record in Web of Science</v>
      </c>
    </row>
    <row r="571" spans="1:72" x14ac:dyDescent="0.15">
      <c r="A571" t="s">
        <v>72</v>
      </c>
      <c r="B571" t="s">
        <v>10270</v>
      </c>
      <c r="C571" t="s">
        <v>74</v>
      </c>
      <c r="D571" t="s">
        <v>74</v>
      </c>
      <c r="E571" t="s">
        <v>74</v>
      </c>
      <c r="F571" t="s">
        <v>10271</v>
      </c>
      <c r="G571" t="s">
        <v>74</v>
      </c>
      <c r="H571" t="s">
        <v>74</v>
      </c>
      <c r="I571" t="s">
        <v>10272</v>
      </c>
      <c r="J571" t="s">
        <v>10273</v>
      </c>
      <c r="K571" t="s">
        <v>74</v>
      </c>
      <c r="L571" t="s">
        <v>74</v>
      </c>
      <c r="M571" t="s">
        <v>78</v>
      </c>
      <c r="N571" t="s">
        <v>3443</v>
      </c>
      <c r="O571" t="s">
        <v>74</v>
      </c>
      <c r="P571" t="s">
        <v>74</v>
      </c>
      <c r="Q571" t="s">
        <v>74</v>
      </c>
      <c r="R571" t="s">
        <v>74</v>
      </c>
      <c r="S571" t="s">
        <v>74</v>
      </c>
      <c r="T571" t="s">
        <v>74</v>
      </c>
      <c r="U571" t="s">
        <v>10274</v>
      </c>
      <c r="V571" t="s">
        <v>74</v>
      </c>
      <c r="W571" t="s">
        <v>10275</v>
      </c>
      <c r="X571" t="s">
        <v>10276</v>
      </c>
      <c r="Y571" t="s">
        <v>10277</v>
      </c>
      <c r="Z571" t="s">
        <v>74</v>
      </c>
      <c r="AA571" t="s">
        <v>74</v>
      </c>
      <c r="AB571" t="s">
        <v>74</v>
      </c>
      <c r="AC571" t="s">
        <v>74</v>
      </c>
      <c r="AD571" t="s">
        <v>74</v>
      </c>
      <c r="AE571" t="s">
        <v>74</v>
      </c>
      <c r="AF571" t="s">
        <v>74</v>
      </c>
      <c r="AG571">
        <v>39</v>
      </c>
      <c r="AH571">
        <v>0</v>
      </c>
      <c r="AI571">
        <v>0</v>
      </c>
      <c r="AJ571">
        <v>1</v>
      </c>
      <c r="AK571">
        <v>1</v>
      </c>
      <c r="AL571" t="s">
        <v>1188</v>
      </c>
      <c r="AM571" t="s">
        <v>93</v>
      </c>
      <c r="AN571" t="s">
        <v>1189</v>
      </c>
      <c r="AO571" t="s">
        <v>10278</v>
      </c>
      <c r="AP571" t="s">
        <v>10279</v>
      </c>
      <c r="AQ571" t="s">
        <v>74</v>
      </c>
      <c r="AR571" t="s">
        <v>10280</v>
      </c>
      <c r="AS571" t="s">
        <v>10281</v>
      </c>
      <c r="AT571" t="s">
        <v>10282</v>
      </c>
      <c r="AU571">
        <v>2023</v>
      </c>
      <c r="AV571">
        <v>30</v>
      </c>
      <c r="AW571">
        <v>1</v>
      </c>
      <c r="AX571" t="s">
        <v>74</v>
      </c>
      <c r="AY571" t="s">
        <v>74</v>
      </c>
      <c r="AZ571" t="s">
        <v>74</v>
      </c>
      <c r="BA571" t="s">
        <v>74</v>
      </c>
      <c r="BB571">
        <v>90</v>
      </c>
      <c r="BC571">
        <v>96</v>
      </c>
      <c r="BD571" t="s">
        <v>74</v>
      </c>
      <c r="BE571" t="s">
        <v>10283</v>
      </c>
      <c r="BF571" t="str">
        <f>HYPERLINK("http://dx.doi.org/10.1080/10749039.2023.2246947","http://dx.doi.org/10.1080/10749039.2023.2246947")</f>
        <v>http://dx.doi.org/10.1080/10749039.2023.2246947</v>
      </c>
      <c r="BG571" t="s">
        <v>74</v>
      </c>
      <c r="BH571" t="s">
        <v>8608</v>
      </c>
      <c r="BI571">
        <v>7</v>
      </c>
      <c r="BJ571" t="s">
        <v>271</v>
      </c>
      <c r="BK571" t="s">
        <v>272</v>
      </c>
      <c r="BL571" t="s">
        <v>271</v>
      </c>
      <c r="BM571" t="s">
        <v>10284</v>
      </c>
      <c r="BN571" t="s">
        <v>74</v>
      </c>
      <c r="BO571" t="s">
        <v>74</v>
      </c>
      <c r="BP571" t="s">
        <v>74</v>
      </c>
      <c r="BQ571" t="s">
        <v>74</v>
      </c>
      <c r="BR571" t="s">
        <v>105</v>
      </c>
      <c r="BS571" t="s">
        <v>10285</v>
      </c>
      <c r="BT571" t="str">
        <f>HYPERLINK("https%3A%2F%2Fwww.webofscience.com%2Fwos%2Fwoscc%2Ffull-record%2FWOS:001050284000001","View Full Record in Web of Science")</f>
        <v>View Full Record in Web of Science</v>
      </c>
    </row>
    <row r="572" spans="1:72" x14ac:dyDescent="0.15">
      <c r="A572" t="s">
        <v>72</v>
      </c>
      <c r="B572" t="s">
        <v>10286</v>
      </c>
      <c r="C572" t="s">
        <v>74</v>
      </c>
      <c r="D572" t="s">
        <v>74</v>
      </c>
      <c r="E572" t="s">
        <v>74</v>
      </c>
      <c r="F572" t="s">
        <v>10287</v>
      </c>
      <c r="G572" t="s">
        <v>74</v>
      </c>
      <c r="H572" t="s">
        <v>74</v>
      </c>
      <c r="I572" t="s">
        <v>10288</v>
      </c>
      <c r="J572" t="s">
        <v>7632</v>
      </c>
      <c r="K572" t="s">
        <v>74</v>
      </c>
      <c r="L572" t="s">
        <v>74</v>
      </c>
      <c r="M572" t="s">
        <v>78</v>
      </c>
      <c r="N572" t="s">
        <v>79</v>
      </c>
      <c r="O572" t="s">
        <v>74</v>
      </c>
      <c r="P572" t="s">
        <v>74</v>
      </c>
      <c r="Q572" t="s">
        <v>74</v>
      </c>
      <c r="R572" t="s">
        <v>74</v>
      </c>
      <c r="S572" t="s">
        <v>74</v>
      </c>
      <c r="T572" t="s">
        <v>10289</v>
      </c>
      <c r="U572" t="s">
        <v>10290</v>
      </c>
      <c r="V572" t="s">
        <v>10291</v>
      </c>
      <c r="W572" t="s">
        <v>10292</v>
      </c>
      <c r="X572" t="s">
        <v>10293</v>
      </c>
      <c r="Y572" t="s">
        <v>10294</v>
      </c>
      <c r="Z572" t="s">
        <v>10295</v>
      </c>
      <c r="AA572" t="s">
        <v>10296</v>
      </c>
      <c r="AB572" t="s">
        <v>10297</v>
      </c>
      <c r="AC572" t="s">
        <v>10298</v>
      </c>
      <c r="AD572" t="s">
        <v>10298</v>
      </c>
      <c r="AE572" t="s">
        <v>10298</v>
      </c>
      <c r="AF572" t="s">
        <v>74</v>
      </c>
      <c r="AG572">
        <v>49</v>
      </c>
      <c r="AH572">
        <v>1</v>
      </c>
      <c r="AI572">
        <v>1</v>
      </c>
      <c r="AJ572">
        <v>1</v>
      </c>
      <c r="AK572">
        <v>1</v>
      </c>
      <c r="AL572" t="s">
        <v>184</v>
      </c>
      <c r="AM572" t="s">
        <v>185</v>
      </c>
      <c r="AN572" t="s">
        <v>186</v>
      </c>
      <c r="AO572" t="s">
        <v>7642</v>
      </c>
      <c r="AP572" t="s">
        <v>7643</v>
      </c>
      <c r="AQ572" t="s">
        <v>74</v>
      </c>
      <c r="AR572" t="s">
        <v>7644</v>
      </c>
      <c r="AS572" t="s">
        <v>7645</v>
      </c>
      <c r="AT572" t="s">
        <v>10299</v>
      </c>
      <c r="AU572">
        <v>2023</v>
      </c>
      <c r="AV572" t="s">
        <v>74</v>
      </c>
      <c r="AW572" t="s">
        <v>74</v>
      </c>
      <c r="AX572" t="s">
        <v>74</v>
      </c>
      <c r="AY572" t="s">
        <v>74</v>
      </c>
      <c r="AZ572" t="s">
        <v>74</v>
      </c>
      <c r="BA572" t="s">
        <v>74</v>
      </c>
      <c r="BB572" t="s">
        <v>74</v>
      </c>
      <c r="BC572" t="s">
        <v>74</v>
      </c>
      <c r="BD572">
        <v>2249111</v>
      </c>
      <c r="BE572" t="s">
        <v>10300</v>
      </c>
      <c r="BF572" t="str">
        <f>HYPERLINK("http://dx.doi.org/10.1080/07391102.2023.2249111","http://dx.doi.org/10.1080/07391102.2023.2249111")</f>
        <v>http://dx.doi.org/10.1080/07391102.2023.2249111</v>
      </c>
      <c r="BG572" t="s">
        <v>74</v>
      </c>
      <c r="BH572" t="s">
        <v>74</v>
      </c>
      <c r="BI572">
        <v>11</v>
      </c>
      <c r="BJ572" t="s">
        <v>7647</v>
      </c>
      <c r="BK572" t="s">
        <v>102</v>
      </c>
      <c r="BL572" t="s">
        <v>7647</v>
      </c>
      <c r="BM572" t="s">
        <v>10301</v>
      </c>
      <c r="BN572">
        <v>36640101</v>
      </c>
      <c r="BO572" t="s">
        <v>74</v>
      </c>
      <c r="BP572" t="s">
        <v>74</v>
      </c>
      <c r="BQ572" t="s">
        <v>74</v>
      </c>
      <c r="BR572" t="s">
        <v>105</v>
      </c>
      <c r="BS572" t="s">
        <v>10302</v>
      </c>
      <c r="BT572" t="str">
        <f>HYPERLINK("https%3A%2F%2Fwww.webofscience.com%2Fwos%2Fwoscc%2Ffull-record%2FWOS:001053690000001","View Full Record in Web of Science")</f>
        <v>View Full Record in Web of Science</v>
      </c>
    </row>
    <row r="573" spans="1:72" x14ac:dyDescent="0.15">
      <c r="A573" t="s">
        <v>72</v>
      </c>
      <c r="B573" t="s">
        <v>10303</v>
      </c>
      <c r="C573" t="s">
        <v>74</v>
      </c>
      <c r="D573" t="s">
        <v>74</v>
      </c>
      <c r="E573" t="s">
        <v>74</v>
      </c>
      <c r="F573" t="s">
        <v>10304</v>
      </c>
      <c r="G573" t="s">
        <v>74</v>
      </c>
      <c r="H573" t="s">
        <v>74</v>
      </c>
      <c r="I573" t="s">
        <v>10305</v>
      </c>
      <c r="J573" t="s">
        <v>10306</v>
      </c>
      <c r="K573" t="s">
        <v>74</v>
      </c>
      <c r="L573" t="s">
        <v>74</v>
      </c>
      <c r="M573" t="s">
        <v>78</v>
      </c>
      <c r="N573" t="s">
        <v>79</v>
      </c>
      <c r="O573" t="s">
        <v>74</v>
      </c>
      <c r="P573" t="s">
        <v>74</v>
      </c>
      <c r="Q573" t="s">
        <v>74</v>
      </c>
      <c r="R573" t="s">
        <v>74</v>
      </c>
      <c r="S573" t="s">
        <v>74</v>
      </c>
      <c r="T573" t="s">
        <v>10307</v>
      </c>
      <c r="U573" t="s">
        <v>10308</v>
      </c>
      <c r="V573" t="s">
        <v>10309</v>
      </c>
      <c r="W573" t="s">
        <v>10310</v>
      </c>
      <c r="X573" t="s">
        <v>10311</v>
      </c>
      <c r="Y573" t="s">
        <v>10312</v>
      </c>
      <c r="Z573" t="s">
        <v>10313</v>
      </c>
      <c r="AA573" t="s">
        <v>74</v>
      </c>
      <c r="AB573" t="s">
        <v>74</v>
      </c>
      <c r="AC573" t="s">
        <v>10314</v>
      </c>
      <c r="AD573" t="s">
        <v>10315</v>
      </c>
      <c r="AE573" t="s">
        <v>10316</v>
      </c>
      <c r="AF573" t="s">
        <v>74</v>
      </c>
      <c r="AG573">
        <v>50</v>
      </c>
      <c r="AH573">
        <v>0</v>
      </c>
      <c r="AI573">
        <v>0</v>
      </c>
      <c r="AJ573">
        <v>1</v>
      </c>
      <c r="AK573">
        <v>1</v>
      </c>
      <c r="AL573" t="s">
        <v>184</v>
      </c>
      <c r="AM573" t="s">
        <v>185</v>
      </c>
      <c r="AN573" t="s">
        <v>186</v>
      </c>
      <c r="AO573" t="s">
        <v>10317</v>
      </c>
      <c r="AP573" t="s">
        <v>10318</v>
      </c>
      <c r="AQ573" t="s">
        <v>74</v>
      </c>
      <c r="AR573" t="s">
        <v>10319</v>
      </c>
      <c r="AS573" t="s">
        <v>10320</v>
      </c>
      <c r="AT573" t="s">
        <v>10299</v>
      </c>
      <c r="AU573">
        <v>2023</v>
      </c>
      <c r="AV573" t="s">
        <v>74</v>
      </c>
      <c r="AW573" t="s">
        <v>74</v>
      </c>
      <c r="AX573" t="s">
        <v>74</v>
      </c>
      <c r="AY573" t="s">
        <v>74</v>
      </c>
      <c r="AZ573" t="s">
        <v>74</v>
      </c>
      <c r="BA573" t="s">
        <v>74</v>
      </c>
      <c r="BB573" t="s">
        <v>74</v>
      </c>
      <c r="BC573" t="s">
        <v>74</v>
      </c>
      <c r="BD573">
        <v>2249032</v>
      </c>
      <c r="BE573" t="s">
        <v>10321</v>
      </c>
      <c r="BF573" t="str">
        <f>HYPERLINK("http://dx.doi.org/10.1080/10601325.2023.2249032","http://dx.doi.org/10.1080/10601325.2023.2249032")</f>
        <v>http://dx.doi.org/10.1080/10601325.2023.2249032</v>
      </c>
      <c r="BG573" t="s">
        <v>74</v>
      </c>
      <c r="BH573" t="s">
        <v>74</v>
      </c>
      <c r="BI573">
        <v>10</v>
      </c>
      <c r="BJ573" t="s">
        <v>1267</v>
      </c>
      <c r="BK573" t="s">
        <v>102</v>
      </c>
      <c r="BL573" t="s">
        <v>1267</v>
      </c>
      <c r="BM573" t="s">
        <v>10322</v>
      </c>
      <c r="BN573" t="s">
        <v>74</v>
      </c>
      <c r="BO573" t="s">
        <v>74</v>
      </c>
      <c r="BP573" t="s">
        <v>74</v>
      </c>
      <c r="BQ573" t="s">
        <v>74</v>
      </c>
      <c r="BR573" t="s">
        <v>105</v>
      </c>
      <c r="BS573" t="s">
        <v>10323</v>
      </c>
      <c r="BT573" t="str">
        <f>HYPERLINK("https%3A%2F%2Fwww.webofscience.com%2Fwos%2Fwoscc%2Ffull-record%2FWOS:001053671900001","View Full Record in Web of Science")</f>
        <v>View Full Record in Web of Science</v>
      </c>
    </row>
    <row r="574" spans="1:72" x14ac:dyDescent="0.15">
      <c r="A574" t="s">
        <v>72</v>
      </c>
      <c r="B574" t="s">
        <v>10324</v>
      </c>
      <c r="C574" t="s">
        <v>74</v>
      </c>
      <c r="D574" t="s">
        <v>74</v>
      </c>
      <c r="E574" t="s">
        <v>74</v>
      </c>
      <c r="F574" t="s">
        <v>10325</v>
      </c>
      <c r="G574" t="s">
        <v>74</v>
      </c>
      <c r="H574" t="s">
        <v>74</v>
      </c>
      <c r="I574" t="s">
        <v>10326</v>
      </c>
      <c r="J574" t="s">
        <v>10327</v>
      </c>
      <c r="K574" t="s">
        <v>74</v>
      </c>
      <c r="L574" t="s">
        <v>74</v>
      </c>
      <c r="M574" t="s">
        <v>78</v>
      </c>
      <c r="N574" t="s">
        <v>6253</v>
      </c>
      <c r="O574" t="s">
        <v>74</v>
      </c>
      <c r="P574" t="s">
        <v>74</v>
      </c>
      <c r="Q574" t="s">
        <v>74</v>
      </c>
      <c r="R574" t="s">
        <v>74</v>
      </c>
      <c r="S574" t="s">
        <v>74</v>
      </c>
      <c r="T574" t="s">
        <v>74</v>
      </c>
      <c r="U574" t="s">
        <v>74</v>
      </c>
      <c r="V574" t="s">
        <v>74</v>
      </c>
      <c r="W574" t="s">
        <v>10328</v>
      </c>
      <c r="X574" t="s">
        <v>10329</v>
      </c>
      <c r="Y574" t="s">
        <v>10330</v>
      </c>
      <c r="Z574" t="s">
        <v>10331</v>
      </c>
      <c r="AA574" t="s">
        <v>74</v>
      </c>
      <c r="AB574" t="s">
        <v>10332</v>
      </c>
      <c r="AC574" t="s">
        <v>74</v>
      </c>
      <c r="AD574" t="s">
        <v>74</v>
      </c>
      <c r="AE574" t="s">
        <v>74</v>
      </c>
      <c r="AF574" t="s">
        <v>74</v>
      </c>
      <c r="AG574">
        <v>1</v>
      </c>
      <c r="AH574">
        <v>0</v>
      </c>
      <c r="AI574">
        <v>0</v>
      </c>
      <c r="AJ574">
        <v>0</v>
      </c>
      <c r="AK574">
        <v>0</v>
      </c>
      <c r="AL574" t="s">
        <v>1188</v>
      </c>
      <c r="AM574" t="s">
        <v>93</v>
      </c>
      <c r="AN574" t="s">
        <v>1189</v>
      </c>
      <c r="AO574" t="s">
        <v>10333</v>
      </c>
      <c r="AP574" t="s">
        <v>10334</v>
      </c>
      <c r="AQ574" t="s">
        <v>74</v>
      </c>
      <c r="AR574" t="s">
        <v>10335</v>
      </c>
      <c r="AS574" t="s">
        <v>10336</v>
      </c>
      <c r="AT574" t="s">
        <v>10264</v>
      </c>
      <c r="AU574">
        <v>2023</v>
      </c>
      <c r="AV574" t="s">
        <v>74</v>
      </c>
      <c r="AW574" t="s">
        <v>74</v>
      </c>
      <c r="AX574" t="s">
        <v>74</v>
      </c>
      <c r="AY574" t="s">
        <v>74</v>
      </c>
      <c r="AZ574" t="s">
        <v>74</v>
      </c>
      <c r="BA574" t="s">
        <v>74</v>
      </c>
      <c r="BB574" t="s">
        <v>74</v>
      </c>
      <c r="BC574" t="s">
        <v>74</v>
      </c>
      <c r="BD574">
        <v>2247419</v>
      </c>
      <c r="BE574" t="s">
        <v>10337</v>
      </c>
      <c r="BF574" t="str">
        <f>HYPERLINK("http://dx.doi.org/10.1080/15387216.2023.2247419","http://dx.doi.org/10.1080/15387216.2023.2247419")</f>
        <v>http://dx.doi.org/10.1080/15387216.2023.2247419</v>
      </c>
      <c r="BG574" t="s">
        <v>74</v>
      </c>
      <c r="BH574" t="s">
        <v>8608</v>
      </c>
      <c r="BI574">
        <v>3</v>
      </c>
      <c r="BJ574" t="s">
        <v>10338</v>
      </c>
      <c r="BK574" t="s">
        <v>272</v>
      </c>
      <c r="BL574" t="s">
        <v>10338</v>
      </c>
      <c r="BM574" t="s">
        <v>10339</v>
      </c>
      <c r="BN574" t="s">
        <v>74</v>
      </c>
      <c r="BO574" t="s">
        <v>74</v>
      </c>
      <c r="BP574" t="s">
        <v>74</v>
      </c>
      <c r="BQ574" t="s">
        <v>74</v>
      </c>
      <c r="BR574" t="s">
        <v>105</v>
      </c>
      <c r="BS574" t="s">
        <v>10340</v>
      </c>
      <c r="BT574" t="str">
        <f>HYPERLINK("https%3A%2F%2Fwww.webofscience.com%2Fwos%2Fwoscc%2Ffull-record%2FWOS:001048971700001","View Full Record in Web of Science")</f>
        <v>View Full Record in Web of Science</v>
      </c>
    </row>
    <row r="575" spans="1:72" x14ac:dyDescent="0.15">
      <c r="A575" t="s">
        <v>72</v>
      </c>
      <c r="B575" t="s">
        <v>10341</v>
      </c>
      <c r="C575" t="s">
        <v>74</v>
      </c>
      <c r="D575" t="s">
        <v>74</v>
      </c>
      <c r="E575" t="s">
        <v>74</v>
      </c>
      <c r="F575" t="s">
        <v>10342</v>
      </c>
      <c r="G575" t="s">
        <v>74</v>
      </c>
      <c r="H575" t="s">
        <v>74</v>
      </c>
      <c r="I575" t="s">
        <v>10343</v>
      </c>
      <c r="J575" t="s">
        <v>5595</v>
      </c>
      <c r="K575" t="s">
        <v>74</v>
      </c>
      <c r="L575" t="s">
        <v>74</v>
      </c>
      <c r="M575" t="s">
        <v>78</v>
      </c>
      <c r="N575" t="s">
        <v>5492</v>
      </c>
      <c r="O575" t="s">
        <v>74</v>
      </c>
      <c r="P575" t="s">
        <v>74</v>
      </c>
      <c r="Q575" t="s">
        <v>74</v>
      </c>
      <c r="R575" t="s">
        <v>74</v>
      </c>
      <c r="S575" t="s">
        <v>74</v>
      </c>
      <c r="T575" t="s">
        <v>10344</v>
      </c>
      <c r="U575" t="s">
        <v>10345</v>
      </c>
      <c r="V575" t="s">
        <v>10346</v>
      </c>
      <c r="W575" t="s">
        <v>10347</v>
      </c>
      <c r="X575" t="s">
        <v>10348</v>
      </c>
      <c r="Y575" t="s">
        <v>10349</v>
      </c>
      <c r="Z575" t="s">
        <v>10350</v>
      </c>
      <c r="AA575" t="s">
        <v>10351</v>
      </c>
      <c r="AB575" t="s">
        <v>10352</v>
      </c>
      <c r="AC575" t="s">
        <v>74</v>
      </c>
      <c r="AD575" t="s">
        <v>74</v>
      </c>
      <c r="AE575" t="s">
        <v>74</v>
      </c>
      <c r="AF575" t="s">
        <v>74</v>
      </c>
      <c r="AG575">
        <v>100</v>
      </c>
      <c r="AH575">
        <v>0</v>
      </c>
      <c r="AI575">
        <v>0</v>
      </c>
      <c r="AJ575">
        <v>3</v>
      </c>
      <c r="AK575">
        <v>3</v>
      </c>
      <c r="AL575" t="s">
        <v>1188</v>
      </c>
      <c r="AM575" t="s">
        <v>93</v>
      </c>
      <c r="AN575" t="s">
        <v>1189</v>
      </c>
      <c r="AO575" t="s">
        <v>5604</v>
      </c>
      <c r="AP575" t="s">
        <v>5605</v>
      </c>
      <c r="AQ575" t="s">
        <v>74</v>
      </c>
      <c r="AR575" t="s">
        <v>5606</v>
      </c>
      <c r="AS575" t="s">
        <v>5607</v>
      </c>
      <c r="AT575" t="s">
        <v>10353</v>
      </c>
      <c r="AU575">
        <v>2023</v>
      </c>
      <c r="AV575" t="s">
        <v>74</v>
      </c>
      <c r="AW575" t="s">
        <v>74</v>
      </c>
      <c r="AX575" t="s">
        <v>74</v>
      </c>
      <c r="AY575" t="s">
        <v>74</v>
      </c>
      <c r="AZ575" t="s">
        <v>74</v>
      </c>
      <c r="BA575" t="s">
        <v>74</v>
      </c>
      <c r="BB575" t="s">
        <v>74</v>
      </c>
      <c r="BC575" t="s">
        <v>74</v>
      </c>
      <c r="BD575" t="s">
        <v>74</v>
      </c>
      <c r="BE575" t="s">
        <v>10354</v>
      </c>
      <c r="BF575" t="str">
        <f>HYPERLINK("http://dx.doi.org/10.1080/03075079.2023.2246505","http://dx.doi.org/10.1080/03075079.2023.2246505")</f>
        <v>http://dx.doi.org/10.1080/03075079.2023.2246505</v>
      </c>
      <c r="BG575" t="s">
        <v>74</v>
      </c>
      <c r="BH575" t="s">
        <v>8608</v>
      </c>
      <c r="BI575">
        <v>14</v>
      </c>
      <c r="BJ575" t="s">
        <v>271</v>
      </c>
      <c r="BK575" t="s">
        <v>272</v>
      </c>
      <c r="BL575" t="s">
        <v>271</v>
      </c>
      <c r="BM575" t="s">
        <v>10355</v>
      </c>
      <c r="BN575" t="s">
        <v>74</v>
      </c>
      <c r="BO575" t="s">
        <v>887</v>
      </c>
      <c r="BP575" t="s">
        <v>74</v>
      </c>
      <c r="BQ575" t="s">
        <v>74</v>
      </c>
      <c r="BR575" t="s">
        <v>105</v>
      </c>
      <c r="BS575" t="s">
        <v>10356</v>
      </c>
      <c r="BT575" t="str">
        <f>HYPERLINK("https%3A%2F%2Fwww.webofscience.com%2Fwos%2Fwoscc%2Ffull-record%2FWOS:001047948700001","View Full Record in Web of Science")</f>
        <v>View Full Record in Web of Science</v>
      </c>
    </row>
    <row r="576" spans="1:72" x14ac:dyDescent="0.15">
      <c r="A576" t="s">
        <v>72</v>
      </c>
      <c r="B576" t="s">
        <v>10357</v>
      </c>
      <c r="C576" t="s">
        <v>74</v>
      </c>
      <c r="D576" t="s">
        <v>74</v>
      </c>
      <c r="E576" t="s">
        <v>74</v>
      </c>
      <c r="F576" t="s">
        <v>10358</v>
      </c>
      <c r="G576" t="s">
        <v>74</v>
      </c>
      <c r="H576" t="s">
        <v>74</v>
      </c>
      <c r="I576" t="s">
        <v>10359</v>
      </c>
      <c r="J576" t="s">
        <v>10360</v>
      </c>
      <c r="K576" t="s">
        <v>74</v>
      </c>
      <c r="L576" t="s">
        <v>74</v>
      </c>
      <c r="M576" t="s">
        <v>78</v>
      </c>
      <c r="N576" t="s">
        <v>5492</v>
      </c>
      <c r="O576" t="s">
        <v>74</v>
      </c>
      <c r="P576" t="s">
        <v>74</v>
      </c>
      <c r="Q576" t="s">
        <v>74</v>
      </c>
      <c r="R576" t="s">
        <v>74</v>
      </c>
      <c r="S576" t="s">
        <v>74</v>
      </c>
      <c r="T576" t="s">
        <v>10361</v>
      </c>
      <c r="U576" t="s">
        <v>10362</v>
      </c>
      <c r="V576" t="s">
        <v>10363</v>
      </c>
      <c r="W576" t="s">
        <v>10364</v>
      </c>
      <c r="X576" t="s">
        <v>10365</v>
      </c>
      <c r="Y576" t="s">
        <v>10366</v>
      </c>
      <c r="Z576" t="s">
        <v>10367</v>
      </c>
      <c r="AA576" t="s">
        <v>10368</v>
      </c>
      <c r="AB576" t="s">
        <v>74</v>
      </c>
      <c r="AC576" t="s">
        <v>74</v>
      </c>
      <c r="AD576" t="s">
        <v>74</v>
      </c>
      <c r="AE576" t="s">
        <v>74</v>
      </c>
      <c r="AF576" t="s">
        <v>74</v>
      </c>
      <c r="AG576">
        <v>41</v>
      </c>
      <c r="AH576">
        <v>0</v>
      </c>
      <c r="AI576">
        <v>0</v>
      </c>
      <c r="AJ576">
        <v>1</v>
      </c>
      <c r="AK576">
        <v>1</v>
      </c>
      <c r="AL576" t="s">
        <v>92</v>
      </c>
      <c r="AM576" t="s">
        <v>93</v>
      </c>
      <c r="AN576" t="s">
        <v>94</v>
      </c>
      <c r="AO576" t="s">
        <v>10369</v>
      </c>
      <c r="AP576" t="s">
        <v>10370</v>
      </c>
      <c r="AQ576" t="s">
        <v>74</v>
      </c>
      <c r="AR576" t="s">
        <v>10371</v>
      </c>
      <c r="AS576" t="s">
        <v>10372</v>
      </c>
      <c r="AT576" t="s">
        <v>10353</v>
      </c>
      <c r="AU576">
        <v>2023</v>
      </c>
      <c r="AV576" t="s">
        <v>74</v>
      </c>
      <c r="AW576" t="s">
        <v>74</v>
      </c>
      <c r="AX576" t="s">
        <v>74</v>
      </c>
      <c r="AY576" t="s">
        <v>74</v>
      </c>
      <c r="AZ576" t="s">
        <v>74</v>
      </c>
      <c r="BA576" t="s">
        <v>74</v>
      </c>
      <c r="BB576" t="s">
        <v>74</v>
      </c>
      <c r="BC576" t="s">
        <v>74</v>
      </c>
      <c r="BD576" t="s">
        <v>74</v>
      </c>
      <c r="BE576" t="s">
        <v>10373</v>
      </c>
      <c r="BF576" t="str">
        <f>HYPERLINK("http://dx.doi.org/10.1080/19386362.2023.2246247","http://dx.doi.org/10.1080/19386362.2023.2246247")</f>
        <v>http://dx.doi.org/10.1080/19386362.2023.2246247</v>
      </c>
      <c r="BG576" t="s">
        <v>74</v>
      </c>
      <c r="BH576" t="s">
        <v>8608</v>
      </c>
      <c r="BI576">
        <v>15</v>
      </c>
      <c r="BJ576" t="s">
        <v>10374</v>
      </c>
      <c r="BK576" t="s">
        <v>211</v>
      </c>
      <c r="BL576" t="s">
        <v>1095</v>
      </c>
      <c r="BM576" t="s">
        <v>10375</v>
      </c>
      <c r="BN576" t="s">
        <v>74</v>
      </c>
      <c r="BO576" t="s">
        <v>74</v>
      </c>
      <c r="BP576" t="s">
        <v>74</v>
      </c>
      <c r="BQ576" t="s">
        <v>74</v>
      </c>
      <c r="BR576" t="s">
        <v>105</v>
      </c>
      <c r="BS576" t="s">
        <v>10376</v>
      </c>
      <c r="BT576" t="str">
        <f>HYPERLINK("https%3A%2F%2Fwww.webofscience.com%2Fwos%2Fwoscc%2Ffull-record%2FWOS:001050278500001","View Full Record in Web of Science")</f>
        <v>View Full Record in Web of Science</v>
      </c>
    </row>
    <row r="577" spans="1:72" x14ac:dyDescent="0.15">
      <c r="A577" t="s">
        <v>72</v>
      </c>
      <c r="B577" t="s">
        <v>10377</v>
      </c>
      <c r="C577" t="s">
        <v>74</v>
      </c>
      <c r="D577" t="s">
        <v>74</v>
      </c>
      <c r="E577" t="s">
        <v>74</v>
      </c>
      <c r="F577" t="s">
        <v>10378</v>
      </c>
      <c r="G577" t="s">
        <v>74</v>
      </c>
      <c r="H577" t="s">
        <v>74</v>
      </c>
      <c r="I577" t="s">
        <v>10379</v>
      </c>
      <c r="J577" t="s">
        <v>10380</v>
      </c>
      <c r="K577" t="s">
        <v>74</v>
      </c>
      <c r="L577" t="s">
        <v>74</v>
      </c>
      <c r="M577" t="s">
        <v>78</v>
      </c>
      <c r="N577" t="s">
        <v>5492</v>
      </c>
      <c r="O577" t="s">
        <v>74</v>
      </c>
      <c r="P577" t="s">
        <v>74</v>
      </c>
      <c r="Q577" t="s">
        <v>74</v>
      </c>
      <c r="R577" t="s">
        <v>74</v>
      </c>
      <c r="S577" t="s">
        <v>74</v>
      </c>
      <c r="T577" t="s">
        <v>10381</v>
      </c>
      <c r="U577" t="s">
        <v>10382</v>
      </c>
      <c r="V577" t="s">
        <v>10383</v>
      </c>
      <c r="W577" t="s">
        <v>10384</v>
      </c>
      <c r="X577" t="s">
        <v>10385</v>
      </c>
      <c r="Y577" t="s">
        <v>10386</v>
      </c>
      <c r="Z577" t="s">
        <v>10387</v>
      </c>
      <c r="AA577" t="s">
        <v>74</v>
      </c>
      <c r="AB577" t="s">
        <v>74</v>
      </c>
      <c r="AC577" t="s">
        <v>74</v>
      </c>
      <c r="AD577" t="s">
        <v>74</v>
      </c>
      <c r="AE577" t="s">
        <v>74</v>
      </c>
      <c r="AF577" t="s">
        <v>74</v>
      </c>
      <c r="AG577">
        <v>48</v>
      </c>
      <c r="AH577">
        <v>0</v>
      </c>
      <c r="AI577">
        <v>0</v>
      </c>
      <c r="AJ577">
        <v>2</v>
      </c>
      <c r="AK577">
        <v>2</v>
      </c>
      <c r="AL577" t="s">
        <v>1188</v>
      </c>
      <c r="AM577" t="s">
        <v>93</v>
      </c>
      <c r="AN577" t="s">
        <v>1189</v>
      </c>
      <c r="AO577" t="s">
        <v>10388</v>
      </c>
      <c r="AP577" t="s">
        <v>10389</v>
      </c>
      <c r="AQ577" t="s">
        <v>74</v>
      </c>
      <c r="AR577" t="s">
        <v>10390</v>
      </c>
      <c r="AS577" t="s">
        <v>10391</v>
      </c>
      <c r="AT577" t="s">
        <v>10353</v>
      </c>
      <c r="AU577">
        <v>2023</v>
      </c>
      <c r="AV577" t="s">
        <v>74</v>
      </c>
      <c r="AW577" t="s">
        <v>74</v>
      </c>
      <c r="AX577" t="s">
        <v>74</v>
      </c>
      <c r="AY577" t="s">
        <v>74</v>
      </c>
      <c r="AZ577" t="s">
        <v>74</v>
      </c>
      <c r="BA577" t="s">
        <v>74</v>
      </c>
      <c r="BB577" t="s">
        <v>74</v>
      </c>
      <c r="BC577" t="s">
        <v>74</v>
      </c>
      <c r="BD577" t="s">
        <v>74</v>
      </c>
      <c r="BE577" t="s">
        <v>10392</v>
      </c>
      <c r="BF577" t="str">
        <f>HYPERLINK("http://dx.doi.org/10.1080/0312407X.2023.2238697","http://dx.doi.org/10.1080/0312407X.2023.2238697")</f>
        <v>http://dx.doi.org/10.1080/0312407X.2023.2238697</v>
      </c>
      <c r="BG577" t="s">
        <v>74</v>
      </c>
      <c r="BH577" t="s">
        <v>8608</v>
      </c>
      <c r="BI577">
        <v>13</v>
      </c>
      <c r="BJ577" t="s">
        <v>5869</v>
      </c>
      <c r="BK577" t="s">
        <v>272</v>
      </c>
      <c r="BL577" t="s">
        <v>5869</v>
      </c>
      <c r="BM577" t="s">
        <v>10393</v>
      </c>
      <c r="BN577" t="s">
        <v>74</v>
      </c>
      <c r="BO577" t="s">
        <v>887</v>
      </c>
      <c r="BP577" t="s">
        <v>74</v>
      </c>
      <c r="BQ577" t="s">
        <v>74</v>
      </c>
      <c r="BR577" t="s">
        <v>105</v>
      </c>
      <c r="BS577" t="s">
        <v>10394</v>
      </c>
      <c r="BT577" t="str">
        <f>HYPERLINK("https%3A%2F%2Fwww.webofscience.com%2Fwos%2Fwoscc%2Ffull-record%2FWOS:001047947500001","View Full Record in Web of Science")</f>
        <v>View Full Record in Web of Science</v>
      </c>
    </row>
    <row r="578" spans="1:72" x14ac:dyDescent="0.15">
      <c r="A578" t="s">
        <v>72</v>
      </c>
      <c r="B578" t="s">
        <v>10395</v>
      </c>
      <c r="C578" t="s">
        <v>74</v>
      </c>
      <c r="D578" t="s">
        <v>74</v>
      </c>
      <c r="E578" t="s">
        <v>74</v>
      </c>
      <c r="F578" t="s">
        <v>10396</v>
      </c>
      <c r="G578" t="s">
        <v>74</v>
      </c>
      <c r="H578" t="s">
        <v>74</v>
      </c>
      <c r="I578" t="s">
        <v>10397</v>
      </c>
      <c r="J578" t="s">
        <v>10398</v>
      </c>
      <c r="K578" t="s">
        <v>74</v>
      </c>
      <c r="L578" t="s">
        <v>74</v>
      </c>
      <c r="M578" t="s">
        <v>78</v>
      </c>
      <c r="N578" t="s">
        <v>5492</v>
      </c>
      <c r="O578" t="s">
        <v>74</v>
      </c>
      <c r="P578" t="s">
        <v>74</v>
      </c>
      <c r="Q578" t="s">
        <v>74</v>
      </c>
      <c r="R578" t="s">
        <v>74</v>
      </c>
      <c r="S578" t="s">
        <v>74</v>
      </c>
      <c r="T578" t="s">
        <v>10399</v>
      </c>
      <c r="U578" t="s">
        <v>10400</v>
      </c>
      <c r="V578" t="s">
        <v>10401</v>
      </c>
      <c r="W578" t="s">
        <v>10402</v>
      </c>
      <c r="X578" t="s">
        <v>10403</v>
      </c>
      <c r="Y578" t="s">
        <v>10404</v>
      </c>
      <c r="Z578" t="s">
        <v>10405</v>
      </c>
      <c r="AA578" t="s">
        <v>74</v>
      </c>
      <c r="AB578" t="s">
        <v>10406</v>
      </c>
      <c r="AC578" t="s">
        <v>74</v>
      </c>
      <c r="AD578" t="s">
        <v>74</v>
      </c>
      <c r="AE578" t="s">
        <v>74</v>
      </c>
      <c r="AF578" t="s">
        <v>74</v>
      </c>
      <c r="AG578">
        <v>78</v>
      </c>
      <c r="AH578">
        <v>0</v>
      </c>
      <c r="AI578">
        <v>0</v>
      </c>
      <c r="AJ578">
        <v>0</v>
      </c>
      <c r="AK578">
        <v>0</v>
      </c>
      <c r="AL578" t="s">
        <v>1188</v>
      </c>
      <c r="AM578" t="s">
        <v>93</v>
      </c>
      <c r="AN578" t="s">
        <v>1189</v>
      </c>
      <c r="AO578" t="s">
        <v>10407</v>
      </c>
      <c r="AP578" t="s">
        <v>10408</v>
      </c>
      <c r="AQ578" t="s">
        <v>74</v>
      </c>
      <c r="AR578" t="s">
        <v>10409</v>
      </c>
      <c r="AS578" t="s">
        <v>10410</v>
      </c>
      <c r="AT578" t="s">
        <v>10353</v>
      </c>
      <c r="AU578">
        <v>2023</v>
      </c>
      <c r="AV578" t="s">
        <v>74</v>
      </c>
      <c r="AW578" t="s">
        <v>74</v>
      </c>
      <c r="AX578" t="s">
        <v>74</v>
      </c>
      <c r="AY578" t="s">
        <v>74</v>
      </c>
      <c r="AZ578" t="s">
        <v>74</v>
      </c>
      <c r="BA578" t="s">
        <v>74</v>
      </c>
      <c r="BB578" t="s">
        <v>74</v>
      </c>
      <c r="BC578" t="s">
        <v>74</v>
      </c>
      <c r="BD578" t="s">
        <v>74</v>
      </c>
      <c r="BE578" t="s">
        <v>10411</v>
      </c>
      <c r="BF578" t="str">
        <f>HYPERLINK("http://dx.doi.org/10.1080/0376835X.2023.2244530","http://dx.doi.org/10.1080/0376835X.2023.2244530")</f>
        <v>http://dx.doi.org/10.1080/0376835X.2023.2244530</v>
      </c>
      <c r="BG578" t="s">
        <v>74</v>
      </c>
      <c r="BH578" t="s">
        <v>8608</v>
      </c>
      <c r="BI578">
        <v>18</v>
      </c>
      <c r="BJ578" t="s">
        <v>10412</v>
      </c>
      <c r="BK578" t="s">
        <v>272</v>
      </c>
      <c r="BL578" t="s">
        <v>10413</v>
      </c>
      <c r="BM578" t="s">
        <v>10414</v>
      </c>
      <c r="BN578" t="s">
        <v>74</v>
      </c>
      <c r="BO578" t="s">
        <v>74</v>
      </c>
      <c r="BP578" t="s">
        <v>74</v>
      </c>
      <c r="BQ578" t="s">
        <v>74</v>
      </c>
      <c r="BR578" t="s">
        <v>105</v>
      </c>
      <c r="BS578" t="s">
        <v>10415</v>
      </c>
      <c r="BT578" t="str">
        <f>HYPERLINK("https%3A%2F%2Fwww.webofscience.com%2Fwos%2Fwoscc%2Ffull-record%2FWOS:001049010600001","View Full Record in Web of Science")</f>
        <v>View Full Record in Web of Science</v>
      </c>
    </row>
    <row r="579" spans="1:72" x14ac:dyDescent="0.15">
      <c r="A579" t="s">
        <v>72</v>
      </c>
      <c r="B579" t="s">
        <v>10416</v>
      </c>
      <c r="C579" t="s">
        <v>74</v>
      </c>
      <c r="D579" t="s">
        <v>74</v>
      </c>
      <c r="E579" t="s">
        <v>74</v>
      </c>
      <c r="F579" t="s">
        <v>10417</v>
      </c>
      <c r="G579" t="s">
        <v>74</v>
      </c>
      <c r="H579" t="s">
        <v>74</v>
      </c>
      <c r="I579" t="s">
        <v>10418</v>
      </c>
      <c r="J579" t="s">
        <v>10419</v>
      </c>
      <c r="K579" t="s">
        <v>74</v>
      </c>
      <c r="L579" t="s">
        <v>74</v>
      </c>
      <c r="M579" t="s">
        <v>78</v>
      </c>
      <c r="N579" t="s">
        <v>5492</v>
      </c>
      <c r="O579" t="s">
        <v>74</v>
      </c>
      <c r="P579" t="s">
        <v>74</v>
      </c>
      <c r="Q579" t="s">
        <v>74</v>
      </c>
      <c r="R579" t="s">
        <v>74</v>
      </c>
      <c r="S579" t="s">
        <v>74</v>
      </c>
      <c r="T579" t="s">
        <v>10420</v>
      </c>
      <c r="U579" t="s">
        <v>10421</v>
      </c>
      <c r="V579" t="s">
        <v>10422</v>
      </c>
      <c r="W579" t="s">
        <v>10423</v>
      </c>
      <c r="X579" t="s">
        <v>10424</v>
      </c>
      <c r="Y579" t="s">
        <v>10425</v>
      </c>
      <c r="Z579" t="s">
        <v>10426</v>
      </c>
      <c r="AA579" t="s">
        <v>10427</v>
      </c>
      <c r="AB579" t="s">
        <v>10428</v>
      </c>
      <c r="AC579" t="s">
        <v>10429</v>
      </c>
      <c r="AD579" t="s">
        <v>10430</v>
      </c>
      <c r="AE579" t="s">
        <v>10431</v>
      </c>
      <c r="AF579" t="s">
        <v>74</v>
      </c>
      <c r="AG579">
        <v>40</v>
      </c>
      <c r="AH579">
        <v>0</v>
      </c>
      <c r="AI579">
        <v>0</v>
      </c>
      <c r="AJ579">
        <v>6</v>
      </c>
      <c r="AK579">
        <v>6</v>
      </c>
      <c r="AL579" t="s">
        <v>92</v>
      </c>
      <c r="AM579" t="s">
        <v>93</v>
      </c>
      <c r="AN579" t="s">
        <v>94</v>
      </c>
      <c r="AO579" t="s">
        <v>10432</v>
      </c>
      <c r="AP579" t="s">
        <v>10433</v>
      </c>
      <c r="AQ579" t="s">
        <v>74</v>
      </c>
      <c r="AR579" t="s">
        <v>10434</v>
      </c>
      <c r="AS579" t="s">
        <v>10435</v>
      </c>
      <c r="AT579" t="s">
        <v>10353</v>
      </c>
      <c r="AU579">
        <v>2023</v>
      </c>
      <c r="AV579" t="s">
        <v>74</v>
      </c>
      <c r="AW579" t="s">
        <v>74</v>
      </c>
      <c r="AX579" t="s">
        <v>74</v>
      </c>
      <c r="AY579" t="s">
        <v>74</v>
      </c>
      <c r="AZ579" t="s">
        <v>74</v>
      </c>
      <c r="BA579" t="s">
        <v>74</v>
      </c>
      <c r="BB579" t="s">
        <v>74</v>
      </c>
      <c r="BC579" t="s">
        <v>74</v>
      </c>
      <c r="BD579" t="s">
        <v>74</v>
      </c>
      <c r="BE579" t="s">
        <v>10436</v>
      </c>
      <c r="BF579" t="str">
        <f>HYPERLINK("http://dx.doi.org/10.1080/17436753.2023.2243120","http://dx.doi.org/10.1080/17436753.2023.2243120")</f>
        <v>http://dx.doi.org/10.1080/17436753.2023.2243120</v>
      </c>
      <c r="BG579" t="s">
        <v>74</v>
      </c>
      <c r="BH579" t="s">
        <v>8608</v>
      </c>
      <c r="BI579">
        <v>7</v>
      </c>
      <c r="BJ579" t="s">
        <v>10437</v>
      </c>
      <c r="BK579" t="s">
        <v>102</v>
      </c>
      <c r="BL579" t="s">
        <v>1594</v>
      </c>
      <c r="BM579" t="s">
        <v>10438</v>
      </c>
      <c r="BN579" t="s">
        <v>74</v>
      </c>
      <c r="BO579" t="s">
        <v>74</v>
      </c>
      <c r="BP579" t="s">
        <v>74</v>
      </c>
      <c r="BQ579" t="s">
        <v>74</v>
      </c>
      <c r="BR579" t="s">
        <v>105</v>
      </c>
      <c r="BS579" t="s">
        <v>10439</v>
      </c>
      <c r="BT579" t="str">
        <f>HYPERLINK("https%3A%2F%2Fwww.webofscience.com%2Fwos%2Fwoscc%2Ffull-record%2FWOS:001049143700001","View Full Record in Web of Science")</f>
        <v>View Full Record in Web of Science</v>
      </c>
    </row>
    <row r="580" spans="1:72" x14ac:dyDescent="0.15">
      <c r="A580" t="s">
        <v>72</v>
      </c>
      <c r="B580" t="s">
        <v>10440</v>
      </c>
      <c r="C580" t="s">
        <v>74</v>
      </c>
      <c r="D580" t="s">
        <v>74</v>
      </c>
      <c r="E580" t="s">
        <v>74</v>
      </c>
      <c r="F580" t="s">
        <v>10441</v>
      </c>
      <c r="G580" t="s">
        <v>74</v>
      </c>
      <c r="H580" t="s">
        <v>74</v>
      </c>
      <c r="I580" t="s">
        <v>10442</v>
      </c>
      <c r="J580" t="s">
        <v>6028</v>
      </c>
      <c r="K580" t="s">
        <v>74</v>
      </c>
      <c r="L580" t="s">
        <v>74</v>
      </c>
      <c r="M580" t="s">
        <v>78</v>
      </c>
      <c r="N580" t="s">
        <v>5492</v>
      </c>
      <c r="O580" t="s">
        <v>74</v>
      </c>
      <c r="P580" t="s">
        <v>74</v>
      </c>
      <c r="Q580" t="s">
        <v>74</v>
      </c>
      <c r="R580" t="s">
        <v>74</v>
      </c>
      <c r="S580" t="s">
        <v>74</v>
      </c>
      <c r="T580" t="s">
        <v>10443</v>
      </c>
      <c r="U580" t="s">
        <v>10444</v>
      </c>
      <c r="V580" t="s">
        <v>10445</v>
      </c>
      <c r="W580" t="s">
        <v>10446</v>
      </c>
      <c r="X580" t="s">
        <v>74</v>
      </c>
      <c r="Y580" t="s">
        <v>10447</v>
      </c>
      <c r="Z580" t="s">
        <v>10448</v>
      </c>
      <c r="AA580" t="s">
        <v>10449</v>
      </c>
      <c r="AB580" t="s">
        <v>10450</v>
      </c>
      <c r="AC580" t="s">
        <v>74</v>
      </c>
      <c r="AD580" t="s">
        <v>74</v>
      </c>
      <c r="AE580" t="s">
        <v>74</v>
      </c>
      <c r="AF580" t="s">
        <v>74</v>
      </c>
      <c r="AG580">
        <v>58</v>
      </c>
      <c r="AH580">
        <v>0</v>
      </c>
      <c r="AI580">
        <v>0</v>
      </c>
      <c r="AJ580">
        <v>2</v>
      </c>
      <c r="AK580">
        <v>2</v>
      </c>
      <c r="AL580" t="s">
        <v>1188</v>
      </c>
      <c r="AM580" t="s">
        <v>93</v>
      </c>
      <c r="AN580" t="s">
        <v>1189</v>
      </c>
      <c r="AO580" t="s">
        <v>6036</v>
      </c>
      <c r="AP580" t="s">
        <v>6037</v>
      </c>
      <c r="AQ580" t="s">
        <v>74</v>
      </c>
      <c r="AR580" t="s">
        <v>6038</v>
      </c>
      <c r="AS580" t="s">
        <v>6039</v>
      </c>
      <c r="AT580" t="s">
        <v>10353</v>
      </c>
      <c r="AU580">
        <v>2023</v>
      </c>
      <c r="AV580" t="s">
        <v>74</v>
      </c>
      <c r="AW580" t="s">
        <v>74</v>
      </c>
      <c r="AX580" t="s">
        <v>74</v>
      </c>
      <c r="AY580" t="s">
        <v>74</v>
      </c>
      <c r="AZ580" t="s">
        <v>74</v>
      </c>
      <c r="BA580" t="s">
        <v>74</v>
      </c>
      <c r="BB580" t="s">
        <v>74</v>
      </c>
      <c r="BC580" t="s">
        <v>74</v>
      </c>
      <c r="BD580" t="s">
        <v>74</v>
      </c>
      <c r="BE580" t="s">
        <v>10451</v>
      </c>
      <c r="BF580" t="str">
        <f>HYPERLINK("http://dx.doi.org/10.1080/13683500.2023.2242558","http://dx.doi.org/10.1080/13683500.2023.2242558")</f>
        <v>http://dx.doi.org/10.1080/13683500.2023.2242558</v>
      </c>
      <c r="BG580" t="s">
        <v>74</v>
      </c>
      <c r="BH580" t="s">
        <v>8608</v>
      </c>
      <c r="BI580">
        <v>19</v>
      </c>
      <c r="BJ580" t="s">
        <v>5731</v>
      </c>
      <c r="BK580" t="s">
        <v>272</v>
      </c>
      <c r="BL580" t="s">
        <v>397</v>
      </c>
      <c r="BM580" t="s">
        <v>10452</v>
      </c>
      <c r="BN580" t="s">
        <v>74</v>
      </c>
      <c r="BO580" t="s">
        <v>74</v>
      </c>
      <c r="BP580" t="s">
        <v>74</v>
      </c>
      <c r="BQ580" t="s">
        <v>74</v>
      </c>
      <c r="BR580" t="s">
        <v>105</v>
      </c>
      <c r="BS580" t="s">
        <v>10453</v>
      </c>
      <c r="BT580" t="str">
        <f>HYPERLINK("https%3A%2F%2Fwww.webofscience.com%2Fwos%2Fwoscc%2Ffull-record%2FWOS:001047956200001","View Full Record in Web of Science")</f>
        <v>View Full Record in Web of Science</v>
      </c>
    </row>
    <row r="581" spans="1:72" x14ac:dyDescent="0.15">
      <c r="A581" t="s">
        <v>72</v>
      </c>
      <c r="B581" t="s">
        <v>10454</v>
      </c>
      <c r="C581" t="s">
        <v>74</v>
      </c>
      <c r="D581" t="s">
        <v>74</v>
      </c>
      <c r="E581" t="s">
        <v>74</v>
      </c>
      <c r="F581" t="s">
        <v>10455</v>
      </c>
      <c r="G581" t="s">
        <v>74</v>
      </c>
      <c r="H581" t="s">
        <v>74</v>
      </c>
      <c r="I581" t="s">
        <v>10456</v>
      </c>
      <c r="J581" t="s">
        <v>10457</v>
      </c>
      <c r="K581" t="s">
        <v>74</v>
      </c>
      <c r="L581" t="s">
        <v>74</v>
      </c>
      <c r="M581" t="s">
        <v>78</v>
      </c>
      <c r="N581" t="s">
        <v>5492</v>
      </c>
      <c r="O581" t="s">
        <v>74</v>
      </c>
      <c r="P581" t="s">
        <v>74</v>
      </c>
      <c r="Q581" t="s">
        <v>74</v>
      </c>
      <c r="R581" t="s">
        <v>74</v>
      </c>
      <c r="S581" t="s">
        <v>74</v>
      </c>
      <c r="T581" t="s">
        <v>10458</v>
      </c>
      <c r="U581" t="s">
        <v>10459</v>
      </c>
      <c r="V581" t="s">
        <v>10460</v>
      </c>
      <c r="W581" t="s">
        <v>10461</v>
      </c>
      <c r="X581" t="s">
        <v>7012</v>
      </c>
      <c r="Y581" t="s">
        <v>10462</v>
      </c>
      <c r="Z581" t="s">
        <v>10463</v>
      </c>
      <c r="AA581" t="s">
        <v>74</v>
      </c>
      <c r="AB581" t="s">
        <v>10464</v>
      </c>
      <c r="AC581" t="s">
        <v>74</v>
      </c>
      <c r="AD581" t="s">
        <v>74</v>
      </c>
      <c r="AE581" t="s">
        <v>74</v>
      </c>
      <c r="AF581" t="s">
        <v>74</v>
      </c>
      <c r="AG581">
        <v>72</v>
      </c>
      <c r="AH581">
        <v>0</v>
      </c>
      <c r="AI581">
        <v>0</v>
      </c>
      <c r="AJ581">
        <v>0</v>
      </c>
      <c r="AK581">
        <v>0</v>
      </c>
      <c r="AL581" t="s">
        <v>1188</v>
      </c>
      <c r="AM581" t="s">
        <v>93</v>
      </c>
      <c r="AN581" t="s">
        <v>1189</v>
      </c>
      <c r="AO581" t="s">
        <v>10465</v>
      </c>
      <c r="AP581" t="s">
        <v>10466</v>
      </c>
      <c r="AQ581" t="s">
        <v>74</v>
      </c>
      <c r="AR581" t="s">
        <v>10467</v>
      </c>
      <c r="AS581" t="s">
        <v>10468</v>
      </c>
      <c r="AT581" t="s">
        <v>10469</v>
      </c>
      <c r="AU581">
        <v>2023</v>
      </c>
      <c r="AV581" t="s">
        <v>74</v>
      </c>
      <c r="AW581" t="s">
        <v>74</v>
      </c>
      <c r="AX581" t="s">
        <v>74</v>
      </c>
      <c r="AY581" t="s">
        <v>74</v>
      </c>
      <c r="AZ581" t="s">
        <v>74</v>
      </c>
      <c r="BA581" t="s">
        <v>74</v>
      </c>
      <c r="BB581" t="s">
        <v>74</v>
      </c>
      <c r="BC581" t="s">
        <v>74</v>
      </c>
      <c r="BD581" t="s">
        <v>74</v>
      </c>
      <c r="BE581" t="s">
        <v>10470</v>
      </c>
      <c r="BF581" t="str">
        <f>HYPERLINK("http://dx.doi.org/10.1080/10894160.2023.2233339","http://dx.doi.org/10.1080/10894160.2023.2233339")</f>
        <v>http://dx.doi.org/10.1080/10894160.2023.2233339</v>
      </c>
      <c r="BG581" t="s">
        <v>74</v>
      </c>
      <c r="BH581" t="s">
        <v>8608</v>
      </c>
      <c r="BI581">
        <v>21</v>
      </c>
      <c r="BJ581" t="s">
        <v>396</v>
      </c>
      <c r="BK581" t="s">
        <v>211</v>
      </c>
      <c r="BL581" t="s">
        <v>397</v>
      </c>
      <c r="BM581" t="s">
        <v>10471</v>
      </c>
      <c r="BN581">
        <v>37652438</v>
      </c>
      <c r="BO581" t="s">
        <v>74</v>
      </c>
      <c r="BP581" t="s">
        <v>74</v>
      </c>
      <c r="BQ581" t="s">
        <v>74</v>
      </c>
      <c r="BR581" t="s">
        <v>105</v>
      </c>
      <c r="BS581" t="s">
        <v>10472</v>
      </c>
      <c r="BT581" t="str">
        <f>HYPERLINK("https%3A%2F%2Fwww.webofscience.com%2Fwos%2Fwoscc%2Ffull-record%2FWOS:001056907900001","View Full Record in Web of Science")</f>
        <v>View Full Record in Web of Science</v>
      </c>
    </row>
    <row r="582" spans="1:72" x14ac:dyDescent="0.15">
      <c r="A582" t="s">
        <v>72</v>
      </c>
      <c r="B582" t="s">
        <v>10473</v>
      </c>
      <c r="C582" t="s">
        <v>74</v>
      </c>
      <c r="D582" t="s">
        <v>74</v>
      </c>
      <c r="E582" t="s">
        <v>74</v>
      </c>
      <c r="F582" t="s">
        <v>10474</v>
      </c>
      <c r="G582" t="s">
        <v>74</v>
      </c>
      <c r="H582" t="s">
        <v>74</v>
      </c>
      <c r="I582" t="s">
        <v>10475</v>
      </c>
      <c r="J582" t="s">
        <v>7351</v>
      </c>
      <c r="K582" t="s">
        <v>74</v>
      </c>
      <c r="L582" t="s">
        <v>74</v>
      </c>
      <c r="M582" t="s">
        <v>78</v>
      </c>
      <c r="N582" t="s">
        <v>5492</v>
      </c>
      <c r="O582" t="s">
        <v>74</v>
      </c>
      <c r="P582" t="s">
        <v>74</v>
      </c>
      <c r="Q582" t="s">
        <v>74</v>
      </c>
      <c r="R582" t="s">
        <v>74</v>
      </c>
      <c r="S582" t="s">
        <v>74</v>
      </c>
      <c r="T582" t="s">
        <v>10476</v>
      </c>
      <c r="U582" t="s">
        <v>10477</v>
      </c>
      <c r="V582" t="s">
        <v>10478</v>
      </c>
      <c r="W582" t="s">
        <v>10479</v>
      </c>
      <c r="X582" t="s">
        <v>10480</v>
      </c>
      <c r="Y582" t="s">
        <v>10481</v>
      </c>
      <c r="Z582" t="s">
        <v>10482</v>
      </c>
      <c r="AA582" t="s">
        <v>74</v>
      </c>
      <c r="AB582" t="s">
        <v>10483</v>
      </c>
      <c r="AC582" t="s">
        <v>74</v>
      </c>
      <c r="AD582" t="s">
        <v>74</v>
      </c>
      <c r="AE582" t="s">
        <v>74</v>
      </c>
      <c r="AF582" t="s">
        <v>74</v>
      </c>
      <c r="AG582">
        <v>55</v>
      </c>
      <c r="AH582">
        <v>0</v>
      </c>
      <c r="AI582">
        <v>0</v>
      </c>
      <c r="AJ582">
        <v>0</v>
      </c>
      <c r="AK582">
        <v>0</v>
      </c>
      <c r="AL582" t="s">
        <v>92</v>
      </c>
      <c r="AM582" t="s">
        <v>93</v>
      </c>
      <c r="AN582" t="s">
        <v>94</v>
      </c>
      <c r="AO582" t="s">
        <v>7359</v>
      </c>
      <c r="AP582" t="s">
        <v>7360</v>
      </c>
      <c r="AQ582" t="s">
        <v>74</v>
      </c>
      <c r="AR582" t="s">
        <v>7361</v>
      </c>
      <c r="AS582" t="s">
        <v>7362</v>
      </c>
      <c r="AT582" t="s">
        <v>10469</v>
      </c>
      <c r="AU582">
        <v>2023</v>
      </c>
      <c r="AV582" t="s">
        <v>74</v>
      </c>
      <c r="AW582" t="s">
        <v>74</v>
      </c>
      <c r="AX582" t="s">
        <v>74</v>
      </c>
      <c r="AY582" t="s">
        <v>74</v>
      </c>
      <c r="AZ582" t="s">
        <v>74</v>
      </c>
      <c r="BA582" t="s">
        <v>74</v>
      </c>
      <c r="BB582" t="s">
        <v>74</v>
      </c>
      <c r="BC582" t="s">
        <v>74</v>
      </c>
      <c r="BD582" t="s">
        <v>74</v>
      </c>
      <c r="BE582" t="s">
        <v>10484</v>
      </c>
      <c r="BF582" t="str">
        <f>HYPERLINK("http://dx.doi.org/10.1080/00365513.2023.2220970","http://dx.doi.org/10.1080/00365513.2023.2220970")</f>
        <v>http://dx.doi.org/10.1080/00365513.2023.2220970</v>
      </c>
      <c r="BG582" t="s">
        <v>74</v>
      </c>
      <c r="BH582" t="s">
        <v>8608</v>
      </c>
      <c r="BI582">
        <v>10</v>
      </c>
      <c r="BJ582" t="s">
        <v>7364</v>
      </c>
      <c r="BK582" t="s">
        <v>102</v>
      </c>
      <c r="BL582" t="s">
        <v>7365</v>
      </c>
      <c r="BM582" t="s">
        <v>10485</v>
      </c>
      <c r="BN582">
        <v>37584362</v>
      </c>
      <c r="BO582" t="s">
        <v>5486</v>
      </c>
      <c r="BP582" t="s">
        <v>74</v>
      </c>
      <c r="BQ582" t="s">
        <v>74</v>
      </c>
      <c r="BR582" t="s">
        <v>105</v>
      </c>
      <c r="BS582" t="s">
        <v>10486</v>
      </c>
      <c r="BT582" t="str">
        <f>HYPERLINK("https%3A%2F%2Fwww.webofscience.com%2Fwos%2Fwoscc%2Ffull-record%2FWOS:001048476800001","View Full Record in Web of Science")</f>
        <v>View Full Record in Web of Science</v>
      </c>
    </row>
    <row r="583" spans="1:72" x14ac:dyDescent="0.15">
      <c r="A583" t="s">
        <v>72</v>
      </c>
      <c r="B583" t="s">
        <v>10487</v>
      </c>
      <c r="C583" t="s">
        <v>74</v>
      </c>
      <c r="D583" t="s">
        <v>74</v>
      </c>
      <c r="E583" t="s">
        <v>74</v>
      </c>
      <c r="F583" t="s">
        <v>10488</v>
      </c>
      <c r="G583" t="s">
        <v>74</v>
      </c>
      <c r="H583" t="s">
        <v>74</v>
      </c>
      <c r="I583" t="s">
        <v>10489</v>
      </c>
      <c r="J583" t="s">
        <v>8679</v>
      </c>
      <c r="K583" t="s">
        <v>74</v>
      </c>
      <c r="L583" t="s">
        <v>74</v>
      </c>
      <c r="M583" t="s">
        <v>78</v>
      </c>
      <c r="N583" t="s">
        <v>79</v>
      </c>
      <c r="O583" t="s">
        <v>74</v>
      </c>
      <c r="P583" t="s">
        <v>74</v>
      </c>
      <c r="Q583" t="s">
        <v>74</v>
      </c>
      <c r="R583" t="s">
        <v>74</v>
      </c>
      <c r="S583" t="s">
        <v>74</v>
      </c>
      <c r="T583" t="s">
        <v>10490</v>
      </c>
      <c r="U583" t="s">
        <v>10491</v>
      </c>
      <c r="V583" t="s">
        <v>10492</v>
      </c>
      <c r="W583" t="s">
        <v>10493</v>
      </c>
      <c r="X583" t="s">
        <v>10494</v>
      </c>
      <c r="Y583" t="s">
        <v>10495</v>
      </c>
      <c r="Z583" t="s">
        <v>10496</v>
      </c>
      <c r="AA583" t="s">
        <v>10497</v>
      </c>
      <c r="AB583" t="s">
        <v>10498</v>
      </c>
      <c r="AC583" t="s">
        <v>10499</v>
      </c>
      <c r="AD583" t="s">
        <v>10500</v>
      </c>
      <c r="AE583" t="s">
        <v>10501</v>
      </c>
      <c r="AF583" t="s">
        <v>74</v>
      </c>
      <c r="AG583">
        <v>36</v>
      </c>
      <c r="AH583">
        <v>0</v>
      </c>
      <c r="AI583">
        <v>0</v>
      </c>
      <c r="AJ583">
        <v>0</v>
      </c>
      <c r="AK583">
        <v>0</v>
      </c>
      <c r="AL583" t="s">
        <v>184</v>
      </c>
      <c r="AM583" t="s">
        <v>185</v>
      </c>
      <c r="AN583" t="s">
        <v>186</v>
      </c>
      <c r="AO583" t="s">
        <v>8687</v>
      </c>
      <c r="AP583" t="s">
        <v>8688</v>
      </c>
      <c r="AQ583" t="s">
        <v>74</v>
      </c>
      <c r="AR583" t="s">
        <v>8689</v>
      </c>
      <c r="AS583" t="s">
        <v>8690</v>
      </c>
      <c r="AT583" t="s">
        <v>10167</v>
      </c>
      <c r="AU583">
        <v>2023</v>
      </c>
      <c r="AV583">
        <v>53</v>
      </c>
      <c r="AW583">
        <v>20</v>
      </c>
      <c r="AX583" t="s">
        <v>74</v>
      </c>
      <c r="AY583" t="s">
        <v>74</v>
      </c>
      <c r="AZ583" t="s">
        <v>74</v>
      </c>
      <c r="BA583" t="s">
        <v>74</v>
      </c>
      <c r="BB583">
        <v>1751</v>
      </c>
      <c r="BC583">
        <v>1759</v>
      </c>
      <c r="BD583" t="s">
        <v>74</v>
      </c>
      <c r="BE583" t="s">
        <v>10502</v>
      </c>
      <c r="BF583" t="str">
        <f>HYPERLINK("http://dx.doi.org/10.1080/00397911.2023.2246086","http://dx.doi.org/10.1080/00397911.2023.2246086")</f>
        <v>http://dx.doi.org/10.1080/00397911.2023.2246086</v>
      </c>
      <c r="BG583" t="s">
        <v>74</v>
      </c>
      <c r="BH583" t="s">
        <v>8608</v>
      </c>
      <c r="BI583">
        <v>9</v>
      </c>
      <c r="BJ583" t="s">
        <v>8692</v>
      </c>
      <c r="BK583" t="s">
        <v>102</v>
      </c>
      <c r="BL583" t="s">
        <v>8693</v>
      </c>
      <c r="BM583" t="s">
        <v>10169</v>
      </c>
      <c r="BN583" t="s">
        <v>74</v>
      </c>
      <c r="BO583" t="s">
        <v>5486</v>
      </c>
      <c r="BP583" t="s">
        <v>74</v>
      </c>
      <c r="BQ583" t="s">
        <v>74</v>
      </c>
      <c r="BR583" t="s">
        <v>105</v>
      </c>
      <c r="BS583" t="s">
        <v>10503</v>
      </c>
      <c r="BT583" t="str">
        <f>HYPERLINK("https%3A%2F%2Fwww.webofscience.com%2Fwos%2Fwoscc%2Ffull-record%2FWOS:001047650800001","View Full Record in Web of Science")</f>
        <v>View Full Record in Web of Science</v>
      </c>
    </row>
    <row r="584" spans="1:72" x14ac:dyDescent="0.15">
      <c r="A584" t="s">
        <v>72</v>
      </c>
      <c r="B584" t="s">
        <v>10504</v>
      </c>
      <c r="C584" t="s">
        <v>74</v>
      </c>
      <c r="D584" t="s">
        <v>74</v>
      </c>
      <c r="E584" t="s">
        <v>74</v>
      </c>
      <c r="F584" t="s">
        <v>10505</v>
      </c>
      <c r="G584" t="s">
        <v>74</v>
      </c>
      <c r="H584" t="s">
        <v>74</v>
      </c>
      <c r="I584" t="s">
        <v>10506</v>
      </c>
      <c r="J584" t="s">
        <v>10507</v>
      </c>
      <c r="K584" t="s">
        <v>74</v>
      </c>
      <c r="L584" t="s">
        <v>74</v>
      </c>
      <c r="M584" t="s">
        <v>78</v>
      </c>
      <c r="N584" t="s">
        <v>5492</v>
      </c>
      <c r="O584" t="s">
        <v>74</v>
      </c>
      <c r="P584" t="s">
        <v>74</v>
      </c>
      <c r="Q584" t="s">
        <v>74</v>
      </c>
      <c r="R584" t="s">
        <v>74</v>
      </c>
      <c r="S584" t="s">
        <v>74</v>
      </c>
      <c r="T584" t="s">
        <v>10508</v>
      </c>
      <c r="U584" t="s">
        <v>10509</v>
      </c>
      <c r="V584" t="s">
        <v>10510</v>
      </c>
      <c r="W584" t="s">
        <v>10511</v>
      </c>
      <c r="X584" t="s">
        <v>10512</v>
      </c>
      <c r="Y584" t="s">
        <v>10513</v>
      </c>
      <c r="Z584" t="s">
        <v>10514</v>
      </c>
      <c r="AA584" t="s">
        <v>10515</v>
      </c>
      <c r="AB584" t="s">
        <v>10516</v>
      </c>
      <c r="AC584" t="s">
        <v>10517</v>
      </c>
      <c r="AD584" t="s">
        <v>10518</v>
      </c>
      <c r="AE584" t="s">
        <v>10519</v>
      </c>
      <c r="AF584" t="s">
        <v>74</v>
      </c>
      <c r="AG584">
        <v>34</v>
      </c>
      <c r="AH584">
        <v>0</v>
      </c>
      <c r="AI584">
        <v>0</v>
      </c>
      <c r="AJ584">
        <v>1</v>
      </c>
      <c r="AK584">
        <v>1</v>
      </c>
      <c r="AL584" t="s">
        <v>184</v>
      </c>
      <c r="AM584" t="s">
        <v>185</v>
      </c>
      <c r="AN584" t="s">
        <v>186</v>
      </c>
      <c r="AO584" t="s">
        <v>10520</v>
      </c>
      <c r="AP584" t="s">
        <v>10521</v>
      </c>
      <c r="AQ584" t="s">
        <v>74</v>
      </c>
      <c r="AR584" t="s">
        <v>10522</v>
      </c>
      <c r="AS584" t="s">
        <v>10523</v>
      </c>
      <c r="AT584" t="s">
        <v>10524</v>
      </c>
      <c r="AU584">
        <v>2023</v>
      </c>
      <c r="AV584" t="s">
        <v>74</v>
      </c>
      <c r="AW584" t="s">
        <v>74</v>
      </c>
      <c r="AX584" t="s">
        <v>74</v>
      </c>
      <c r="AY584" t="s">
        <v>74</v>
      </c>
      <c r="AZ584" t="s">
        <v>74</v>
      </c>
      <c r="BA584" t="s">
        <v>74</v>
      </c>
      <c r="BB584" t="s">
        <v>74</v>
      </c>
      <c r="BC584" t="s">
        <v>74</v>
      </c>
      <c r="BD584" t="s">
        <v>74</v>
      </c>
      <c r="BE584" t="s">
        <v>10525</v>
      </c>
      <c r="BF584" t="str">
        <f>HYPERLINK("http://dx.doi.org/10.1080/02286203.2023.2246849","http://dx.doi.org/10.1080/02286203.2023.2246849")</f>
        <v>http://dx.doi.org/10.1080/02286203.2023.2246849</v>
      </c>
      <c r="BG584" t="s">
        <v>74</v>
      </c>
      <c r="BH584" t="s">
        <v>8608</v>
      </c>
      <c r="BI584">
        <v>12</v>
      </c>
      <c r="BJ584" t="s">
        <v>251</v>
      </c>
      <c r="BK584" t="s">
        <v>211</v>
      </c>
      <c r="BL584" t="s">
        <v>252</v>
      </c>
      <c r="BM584" t="s">
        <v>10526</v>
      </c>
      <c r="BN584" t="s">
        <v>74</v>
      </c>
      <c r="BO584" t="s">
        <v>74</v>
      </c>
      <c r="BP584" t="s">
        <v>74</v>
      </c>
      <c r="BQ584" t="s">
        <v>74</v>
      </c>
      <c r="BR584" t="s">
        <v>105</v>
      </c>
      <c r="BS584" t="s">
        <v>10527</v>
      </c>
      <c r="BT584" t="str">
        <f>HYPERLINK("https%3A%2F%2Fwww.webofscience.com%2Fwos%2Fwoscc%2Ffull-record%2FWOS:001048998500001","View Full Record in Web of Science")</f>
        <v>View Full Record in Web of Science</v>
      </c>
    </row>
    <row r="585" spans="1:72" x14ac:dyDescent="0.15">
      <c r="A585" t="s">
        <v>72</v>
      </c>
      <c r="B585" t="s">
        <v>10528</v>
      </c>
      <c r="C585" t="s">
        <v>74</v>
      </c>
      <c r="D585" t="s">
        <v>74</v>
      </c>
      <c r="E585" t="s">
        <v>74</v>
      </c>
      <c r="F585" t="s">
        <v>10529</v>
      </c>
      <c r="G585" t="s">
        <v>74</v>
      </c>
      <c r="H585" t="s">
        <v>74</v>
      </c>
      <c r="I585" t="s">
        <v>10530</v>
      </c>
      <c r="J585" t="s">
        <v>10531</v>
      </c>
      <c r="K585" t="s">
        <v>74</v>
      </c>
      <c r="L585" t="s">
        <v>74</v>
      </c>
      <c r="M585" t="s">
        <v>78</v>
      </c>
      <c r="N585" t="s">
        <v>5492</v>
      </c>
      <c r="O585" t="s">
        <v>74</v>
      </c>
      <c r="P585" t="s">
        <v>74</v>
      </c>
      <c r="Q585" t="s">
        <v>74</v>
      </c>
      <c r="R585" t="s">
        <v>74</v>
      </c>
      <c r="S585" t="s">
        <v>74</v>
      </c>
      <c r="T585" t="s">
        <v>10532</v>
      </c>
      <c r="U585" t="s">
        <v>10533</v>
      </c>
      <c r="V585" t="s">
        <v>10534</v>
      </c>
      <c r="W585" t="s">
        <v>10535</v>
      </c>
      <c r="X585" t="s">
        <v>10536</v>
      </c>
      <c r="Y585" t="s">
        <v>10537</v>
      </c>
      <c r="Z585" t="s">
        <v>10538</v>
      </c>
      <c r="AA585" t="s">
        <v>74</v>
      </c>
      <c r="AB585" t="s">
        <v>74</v>
      </c>
      <c r="AC585" t="s">
        <v>74</v>
      </c>
      <c r="AD585" t="s">
        <v>74</v>
      </c>
      <c r="AE585" t="s">
        <v>74</v>
      </c>
      <c r="AF585" t="s">
        <v>74</v>
      </c>
      <c r="AG585">
        <v>59</v>
      </c>
      <c r="AH585">
        <v>0</v>
      </c>
      <c r="AI585">
        <v>0</v>
      </c>
      <c r="AJ585">
        <v>0</v>
      </c>
      <c r="AK585">
        <v>0</v>
      </c>
      <c r="AL585" t="s">
        <v>184</v>
      </c>
      <c r="AM585" t="s">
        <v>185</v>
      </c>
      <c r="AN585" t="s">
        <v>186</v>
      </c>
      <c r="AO585" t="s">
        <v>10539</v>
      </c>
      <c r="AP585" t="s">
        <v>10540</v>
      </c>
      <c r="AQ585" t="s">
        <v>74</v>
      </c>
      <c r="AR585" t="s">
        <v>10541</v>
      </c>
      <c r="AS585" t="s">
        <v>10542</v>
      </c>
      <c r="AT585" t="s">
        <v>10524</v>
      </c>
      <c r="AU585">
        <v>2023</v>
      </c>
      <c r="AV585" t="s">
        <v>74</v>
      </c>
      <c r="AW585" t="s">
        <v>74</v>
      </c>
      <c r="AX585" t="s">
        <v>74</v>
      </c>
      <c r="AY585" t="s">
        <v>74</v>
      </c>
      <c r="AZ585" t="s">
        <v>74</v>
      </c>
      <c r="BA585" t="s">
        <v>74</v>
      </c>
      <c r="BB585" t="s">
        <v>74</v>
      </c>
      <c r="BC585" t="s">
        <v>74</v>
      </c>
      <c r="BD585" t="s">
        <v>74</v>
      </c>
      <c r="BE585" t="s">
        <v>10543</v>
      </c>
      <c r="BF585" t="str">
        <f>HYPERLINK("http://dx.doi.org/10.1080/0735648X.2023.2244927","http://dx.doi.org/10.1080/0735648X.2023.2244927")</f>
        <v>http://dx.doi.org/10.1080/0735648X.2023.2244927</v>
      </c>
      <c r="BG585" t="s">
        <v>74</v>
      </c>
      <c r="BH585" t="s">
        <v>8608</v>
      </c>
      <c r="BI585">
        <v>15</v>
      </c>
      <c r="BJ585" t="s">
        <v>10544</v>
      </c>
      <c r="BK585" t="s">
        <v>272</v>
      </c>
      <c r="BL585" t="s">
        <v>10545</v>
      </c>
      <c r="BM585" t="s">
        <v>10546</v>
      </c>
      <c r="BN585" t="s">
        <v>74</v>
      </c>
      <c r="BO585" t="s">
        <v>74</v>
      </c>
      <c r="BP585" t="s">
        <v>74</v>
      </c>
      <c r="BQ585" t="s">
        <v>74</v>
      </c>
      <c r="BR585" t="s">
        <v>105</v>
      </c>
      <c r="BS585" t="s">
        <v>10547</v>
      </c>
      <c r="BT585" t="str">
        <f>HYPERLINK("https%3A%2F%2Fwww.webofscience.com%2Fwos%2Fwoscc%2Ffull-record%2FWOS:001047906500001","View Full Record in Web of Science")</f>
        <v>View Full Record in Web of Science</v>
      </c>
    </row>
    <row r="586" spans="1:72" x14ac:dyDescent="0.15">
      <c r="A586" t="s">
        <v>72</v>
      </c>
      <c r="B586" t="s">
        <v>10548</v>
      </c>
      <c r="C586" t="s">
        <v>74</v>
      </c>
      <c r="D586" t="s">
        <v>74</v>
      </c>
      <c r="E586" t="s">
        <v>74</v>
      </c>
      <c r="F586" t="s">
        <v>10549</v>
      </c>
      <c r="G586" t="s">
        <v>74</v>
      </c>
      <c r="H586" t="s">
        <v>74</v>
      </c>
      <c r="I586" t="s">
        <v>10550</v>
      </c>
      <c r="J586" t="s">
        <v>7433</v>
      </c>
      <c r="K586" t="s">
        <v>74</v>
      </c>
      <c r="L586" t="s">
        <v>74</v>
      </c>
      <c r="M586" t="s">
        <v>78</v>
      </c>
      <c r="N586" t="s">
        <v>5492</v>
      </c>
      <c r="O586" t="s">
        <v>74</v>
      </c>
      <c r="P586" t="s">
        <v>74</v>
      </c>
      <c r="Q586" t="s">
        <v>74</v>
      </c>
      <c r="R586" t="s">
        <v>74</v>
      </c>
      <c r="S586" t="s">
        <v>74</v>
      </c>
      <c r="T586" t="s">
        <v>10551</v>
      </c>
      <c r="U586" t="s">
        <v>10552</v>
      </c>
      <c r="V586" t="s">
        <v>10553</v>
      </c>
      <c r="W586" t="s">
        <v>10554</v>
      </c>
      <c r="X586" t="s">
        <v>10555</v>
      </c>
      <c r="Y586" t="s">
        <v>10556</v>
      </c>
      <c r="Z586" t="s">
        <v>10557</v>
      </c>
      <c r="AA586" t="s">
        <v>74</v>
      </c>
      <c r="AB586" t="s">
        <v>10558</v>
      </c>
      <c r="AC586" t="s">
        <v>74</v>
      </c>
      <c r="AD586" t="s">
        <v>74</v>
      </c>
      <c r="AE586" t="s">
        <v>74</v>
      </c>
      <c r="AF586" t="s">
        <v>74</v>
      </c>
      <c r="AG586">
        <v>38</v>
      </c>
      <c r="AH586">
        <v>0</v>
      </c>
      <c r="AI586">
        <v>0</v>
      </c>
      <c r="AJ586">
        <v>1</v>
      </c>
      <c r="AK586">
        <v>1</v>
      </c>
      <c r="AL586" t="s">
        <v>92</v>
      </c>
      <c r="AM586" t="s">
        <v>93</v>
      </c>
      <c r="AN586" t="s">
        <v>94</v>
      </c>
      <c r="AO586" t="s">
        <v>7441</v>
      </c>
      <c r="AP586" t="s">
        <v>7442</v>
      </c>
      <c r="AQ586" t="s">
        <v>74</v>
      </c>
      <c r="AR586" t="s">
        <v>7443</v>
      </c>
      <c r="AS586" t="s">
        <v>7444</v>
      </c>
      <c r="AT586" t="s">
        <v>10524</v>
      </c>
      <c r="AU586">
        <v>2023</v>
      </c>
      <c r="AV586" t="s">
        <v>74</v>
      </c>
      <c r="AW586" t="s">
        <v>74</v>
      </c>
      <c r="AX586" t="s">
        <v>74</v>
      </c>
      <c r="AY586" t="s">
        <v>74</v>
      </c>
      <c r="AZ586" t="s">
        <v>74</v>
      </c>
      <c r="BA586" t="s">
        <v>74</v>
      </c>
      <c r="BB586" t="s">
        <v>74</v>
      </c>
      <c r="BC586" t="s">
        <v>74</v>
      </c>
      <c r="BD586" t="s">
        <v>74</v>
      </c>
      <c r="BE586" t="s">
        <v>10559</v>
      </c>
      <c r="BF586" t="str">
        <f>HYPERLINK("http://dx.doi.org/10.1080/00223131.2023.2239243","http://dx.doi.org/10.1080/00223131.2023.2239243")</f>
        <v>http://dx.doi.org/10.1080/00223131.2023.2239243</v>
      </c>
      <c r="BG586" t="s">
        <v>74</v>
      </c>
      <c r="BH586" t="s">
        <v>8608</v>
      </c>
      <c r="BI586">
        <v>19</v>
      </c>
      <c r="BJ586" t="s">
        <v>7446</v>
      </c>
      <c r="BK586" t="s">
        <v>102</v>
      </c>
      <c r="BL586" t="s">
        <v>7446</v>
      </c>
      <c r="BM586" t="s">
        <v>10560</v>
      </c>
      <c r="BN586" t="s">
        <v>74</v>
      </c>
      <c r="BO586" t="s">
        <v>887</v>
      </c>
      <c r="BP586" t="s">
        <v>74</v>
      </c>
      <c r="BQ586" t="s">
        <v>74</v>
      </c>
      <c r="BR586" t="s">
        <v>105</v>
      </c>
      <c r="BS586" t="s">
        <v>10561</v>
      </c>
      <c r="BT586" t="str">
        <f>HYPERLINK("https%3A%2F%2Fwww.webofscience.com%2Fwos%2Fwoscc%2Ffull-record%2FWOS:001047668200001","View Full Record in Web of Science")</f>
        <v>View Full Record in Web of Science</v>
      </c>
    </row>
    <row r="587" spans="1:72" x14ac:dyDescent="0.15">
      <c r="A587" t="s">
        <v>72</v>
      </c>
      <c r="B587" t="s">
        <v>10562</v>
      </c>
      <c r="C587" t="s">
        <v>74</v>
      </c>
      <c r="D587" t="s">
        <v>74</v>
      </c>
      <c r="E587" t="s">
        <v>74</v>
      </c>
      <c r="F587" t="s">
        <v>10563</v>
      </c>
      <c r="G587" t="s">
        <v>74</v>
      </c>
      <c r="H587" t="s">
        <v>74</v>
      </c>
      <c r="I587" t="s">
        <v>10564</v>
      </c>
      <c r="J587" t="s">
        <v>10565</v>
      </c>
      <c r="K587" t="s">
        <v>74</v>
      </c>
      <c r="L587" t="s">
        <v>74</v>
      </c>
      <c r="M587" t="s">
        <v>78</v>
      </c>
      <c r="N587" t="s">
        <v>6754</v>
      </c>
      <c r="O587" t="s">
        <v>74</v>
      </c>
      <c r="P587" t="s">
        <v>74</v>
      </c>
      <c r="Q587" t="s">
        <v>74</v>
      </c>
      <c r="R587" t="s">
        <v>74</v>
      </c>
      <c r="S587" t="s">
        <v>74</v>
      </c>
      <c r="T587" t="s">
        <v>10566</v>
      </c>
      <c r="U587" t="s">
        <v>10567</v>
      </c>
      <c r="V587" t="s">
        <v>10568</v>
      </c>
      <c r="W587" t="s">
        <v>10569</v>
      </c>
      <c r="X587" t="s">
        <v>10570</v>
      </c>
      <c r="Y587" t="s">
        <v>10571</v>
      </c>
      <c r="Z587" t="s">
        <v>10572</v>
      </c>
      <c r="AA587" t="s">
        <v>74</v>
      </c>
      <c r="AB587" t="s">
        <v>74</v>
      </c>
      <c r="AC587" t="s">
        <v>74</v>
      </c>
      <c r="AD587" t="s">
        <v>74</v>
      </c>
      <c r="AE587" t="s">
        <v>74</v>
      </c>
      <c r="AF587" t="s">
        <v>74</v>
      </c>
      <c r="AG587">
        <v>24</v>
      </c>
      <c r="AH587">
        <v>0</v>
      </c>
      <c r="AI587">
        <v>0</v>
      </c>
      <c r="AJ587">
        <v>0</v>
      </c>
      <c r="AK587">
        <v>0</v>
      </c>
      <c r="AL587" t="s">
        <v>184</v>
      </c>
      <c r="AM587" t="s">
        <v>185</v>
      </c>
      <c r="AN587" t="s">
        <v>186</v>
      </c>
      <c r="AO587" t="s">
        <v>10573</v>
      </c>
      <c r="AP587" t="s">
        <v>10574</v>
      </c>
      <c r="AQ587" t="s">
        <v>74</v>
      </c>
      <c r="AR587" t="s">
        <v>10575</v>
      </c>
      <c r="AS587" t="s">
        <v>10576</v>
      </c>
      <c r="AT587" t="s">
        <v>10524</v>
      </c>
      <c r="AU587">
        <v>2023</v>
      </c>
      <c r="AV587" t="s">
        <v>74</v>
      </c>
      <c r="AW587" t="s">
        <v>74</v>
      </c>
      <c r="AX587" t="s">
        <v>74</v>
      </c>
      <c r="AY587" t="s">
        <v>74</v>
      </c>
      <c r="AZ587" t="s">
        <v>74</v>
      </c>
      <c r="BA587" t="s">
        <v>74</v>
      </c>
      <c r="BB587" t="s">
        <v>74</v>
      </c>
      <c r="BC587" t="s">
        <v>74</v>
      </c>
      <c r="BD587" t="s">
        <v>74</v>
      </c>
      <c r="BE587" t="s">
        <v>10577</v>
      </c>
      <c r="BF587" t="str">
        <f>HYPERLINK("http://dx.doi.org/10.1080/15361055.2023.2227839","http://dx.doi.org/10.1080/15361055.2023.2227839")</f>
        <v>http://dx.doi.org/10.1080/15361055.2023.2227839</v>
      </c>
      <c r="BG587" t="s">
        <v>74</v>
      </c>
      <c r="BH587" t="s">
        <v>8608</v>
      </c>
      <c r="BI587">
        <v>13</v>
      </c>
      <c r="BJ587" t="s">
        <v>7446</v>
      </c>
      <c r="BK587" t="s">
        <v>102</v>
      </c>
      <c r="BL587" t="s">
        <v>7446</v>
      </c>
      <c r="BM587" t="s">
        <v>10578</v>
      </c>
      <c r="BN587" t="s">
        <v>74</v>
      </c>
      <c r="BO587" t="s">
        <v>74</v>
      </c>
      <c r="BP587" t="s">
        <v>74</v>
      </c>
      <c r="BQ587" t="s">
        <v>74</v>
      </c>
      <c r="BR587" t="s">
        <v>105</v>
      </c>
      <c r="BS587" t="s">
        <v>10579</v>
      </c>
      <c r="BT587" t="str">
        <f>HYPERLINK("https%3A%2F%2Fwww.webofscience.com%2Fwos%2Fwoscc%2Ffull-record%2FWOS:001046533600001","View Full Record in Web of Science")</f>
        <v>View Full Record in Web of Science</v>
      </c>
    </row>
    <row r="588" spans="1:72" x14ac:dyDescent="0.15">
      <c r="A588" t="s">
        <v>72</v>
      </c>
      <c r="B588" t="s">
        <v>10580</v>
      </c>
      <c r="C588" t="s">
        <v>74</v>
      </c>
      <c r="D588" t="s">
        <v>74</v>
      </c>
      <c r="E588" t="s">
        <v>74</v>
      </c>
      <c r="F588" t="s">
        <v>10581</v>
      </c>
      <c r="G588" t="s">
        <v>74</v>
      </c>
      <c r="H588" t="s">
        <v>74</v>
      </c>
      <c r="I588" t="s">
        <v>10582</v>
      </c>
      <c r="J588" t="s">
        <v>10583</v>
      </c>
      <c r="K588" t="s">
        <v>74</v>
      </c>
      <c r="L588" t="s">
        <v>74</v>
      </c>
      <c r="M588" t="s">
        <v>78</v>
      </c>
      <c r="N588" t="s">
        <v>6253</v>
      </c>
      <c r="O588" t="s">
        <v>74</v>
      </c>
      <c r="P588" t="s">
        <v>74</v>
      </c>
      <c r="Q588" t="s">
        <v>74</v>
      </c>
      <c r="R588" t="s">
        <v>74</v>
      </c>
      <c r="S588" t="s">
        <v>74</v>
      </c>
      <c r="T588" t="s">
        <v>74</v>
      </c>
      <c r="U588" t="s">
        <v>74</v>
      </c>
      <c r="V588" t="s">
        <v>74</v>
      </c>
      <c r="W588" t="s">
        <v>10584</v>
      </c>
      <c r="X588" t="s">
        <v>10585</v>
      </c>
      <c r="Y588" t="s">
        <v>10586</v>
      </c>
      <c r="Z588" t="s">
        <v>10587</v>
      </c>
      <c r="AA588" t="s">
        <v>74</v>
      </c>
      <c r="AB588" t="s">
        <v>74</v>
      </c>
      <c r="AC588" t="s">
        <v>74</v>
      </c>
      <c r="AD588" t="s">
        <v>74</v>
      </c>
      <c r="AE588" t="s">
        <v>74</v>
      </c>
      <c r="AF588" t="s">
        <v>74</v>
      </c>
      <c r="AG588">
        <v>2</v>
      </c>
      <c r="AH588">
        <v>0</v>
      </c>
      <c r="AI588">
        <v>0</v>
      </c>
      <c r="AJ588">
        <v>1</v>
      </c>
      <c r="AK588">
        <v>1</v>
      </c>
      <c r="AL588" t="s">
        <v>1188</v>
      </c>
      <c r="AM588" t="s">
        <v>93</v>
      </c>
      <c r="AN588" t="s">
        <v>1189</v>
      </c>
      <c r="AO588" t="s">
        <v>10588</v>
      </c>
      <c r="AP588" t="s">
        <v>10589</v>
      </c>
      <c r="AQ588" t="s">
        <v>74</v>
      </c>
      <c r="AR588" t="s">
        <v>10590</v>
      </c>
      <c r="AS588" t="s">
        <v>10591</v>
      </c>
      <c r="AT588" t="s">
        <v>10524</v>
      </c>
      <c r="AU588">
        <v>2023</v>
      </c>
      <c r="AV588" t="s">
        <v>74</v>
      </c>
      <c r="AW588" t="s">
        <v>74</v>
      </c>
      <c r="AX588" t="s">
        <v>74</v>
      </c>
      <c r="AY588" t="s">
        <v>74</v>
      </c>
      <c r="AZ588" t="s">
        <v>74</v>
      </c>
      <c r="BA588" t="s">
        <v>74</v>
      </c>
      <c r="BB588" t="s">
        <v>74</v>
      </c>
      <c r="BC588" t="s">
        <v>74</v>
      </c>
      <c r="BD588" t="s">
        <v>74</v>
      </c>
      <c r="BE588" t="s">
        <v>10592</v>
      </c>
      <c r="BF588" t="str">
        <f>HYPERLINK("http://dx.doi.org/10.1080/02607476.2023.2247346","http://dx.doi.org/10.1080/02607476.2023.2247346")</f>
        <v>http://dx.doi.org/10.1080/02607476.2023.2247346</v>
      </c>
      <c r="BG588" t="s">
        <v>74</v>
      </c>
      <c r="BH588" t="s">
        <v>8608</v>
      </c>
      <c r="BI588">
        <v>3</v>
      </c>
      <c r="BJ588" t="s">
        <v>271</v>
      </c>
      <c r="BK588" t="s">
        <v>272</v>
      </c>
      <c r="BL588" t="s">
        <v>271</v>
      </c>
      <c r="BM588" t="s">
        <v>10593</v>
      </c>
      <c r="BN588" t="s">
        <v>74</v>
      </c>
      <c r="BO588" t="s">
        <v>74</v>
      </c>
      <c r="BP588" t="s">
        <v>74</v>
      </c>
      <c r="BQ588" t="s">
        <v>74</v>
      </c>
      <c r="BR588" t="s">
        <v>105</v>
      </c>
      <c r="BS588" t="s">
        <v>10594</v>
      </c>
      <c r="BT588" t="str">
        <f>HYPERLINK("https%3A%2F%2Fwww.webofscience.com%2Fwos%2Fwoscc%2Ffull-record%2FWOS:001048491700001","View Full Record in Web of Science")</f>
        <v>View Full Record in Web of Science</v>
      </c>
    </row>
    <row r="589" spans="1:72" x14ac:dyDescent="0.15">
      <c r="A589" t="s">
        <v>72</v>
      </c>
      <c r="B589" t="s">
        <v>10595</v>
      </c>
      <c r="C589" t="s">
        <v>74</v>
      </c>
      <c r="D589" t="s">
        <v>74</v>
      </c>
      <c r="E589" t="s">
        <v>74</v>
      </c>
      <c r="F589" t="s">
        <v>10596</v>
      </c>
      <c r="G589" t="s">
        <v>74</v>
      </c>
      <c r="H589" t="s">
        <v>74</v>
      </c>
      <c r="I589" t="s">
        <v>10597</v>
      </c>
      <c r="J589" t="s">
        <v>10598</v>
      </c>
      <c r="K589" t="s">
        <v>74</v>
      </c>
      <c r="L589" t="s">
        <v>74</v>
      </c>
      <c r="M589" t="s">
        <v>78</v>
      </c>
      <c r="N589" t="s">
        <v>5492</v>
      </c>
      <c r="O589" t="s">
        <v>74</v>
      </c>
      <c r="P589" t="s">
        <v>74</v>
      </c>
      <c r="Q589" t="s">
        <v>74</v>
      </c>
      <c r="R589" t="s">
        <v>74</v>
      </c>
      <c r="S589" t="s">
        <v>74</v>
      </c>
      <c r="T589" t="s">
        <v>10599</v>
      </c>
      <c r="U589" t="s">
        <v>10600</v>
      </c>
      <c r="V589" t="s">
        <v>10601</v>
      </c>
      <c r="W589" t="s">
        <v>10602</v>
      </c>
      <c r="X589" t="s">
        <v>10603</v>
      </c>
      <c r="Y589" t="s">
        <v>10604</v>
      </c>
      <c r="Z589" t="s">
        <v>10605</v>
      </c>
      <c r="AA589" t="s">
        <v>74</v>
      </c>
      <c r="AB589" t="s">
        <v>10606</v>
      </c>
      <c r="AC589" t="s">
        <v>74</v>
      </c>
      <c r="AD589" t="s">
        <v>74</v>
      </c>
      <c r="AE589" t="s">
        <v>74</v>
      </c>
      <c r="AF589" t="s">
        <v>74</v>
      </c>
      <c r="AG589">
        <v>38</v>
      </c>
      <c r="AH589">
        <v>0</v>
      </c>
      <c r="AI589">
        <v>0</v>
      </c>
      <c r="AJ589">
        <v>0</v>
      </c>
      <c r="AK589">
        <v>0</v>
      </c>
      <c r="AL589" t="s">
        <v>1188</v>
      </c>
      <c r="AM589" t="s">
        <v>93</v>
      </c>
      <c r="AN589" t="s">
        <v>1189</v>
      </c>
      <c r="AO589" t="s">
        <v>10607</v>
      </c>
      <c r="AP589" t="s">
        <v>10608</v>
      </c>
      <c r="AQ589" t="s">
        <v>74</v>
      </c>
      <c r="AR589" t="s">
        <v>10609</v>
      </c>
      <c r="AS589" t="s">
        <v>10610</v>
      </c>
      <c r="AT589" t="s">
        <v>10611</v>
      </c>
      <c r="AU589">
        <v>2023</v>
      </c>
      <c r="AV589" t="s">
        <v>74</v>
      </c>
      <c r="AW589" t="s">
        <v>74</v>
      </c>
      <c r="AX589" t="s">
        <v>74</v>
      </c>
      <c r="AY589" t="s">
        <v>74</v>
      </c>
      <c r="AZ589" t="s">
        <v>74</v>
      </c>
      <c r="BA589" t="s">
        <v>74</v>
      </c>
      <c r="BB589" t="s">
        <v>74</v>
      </c>
      <c r="BC589" t="s">
        <v>74</v>
      </c>
      <c r="BD589" t="s">
        <v>74</v>
      </c>
      <c r="BE589" t="s">
        <v>10612</v>
      </c>
      <c r="BF589" t="str">
        <f>HYPERLINK("http://dx.doi.org/10.1080/15299716.2023.2248126","http://dx.doi.org/10.1080/15299716.2023.2248126")</f>
        <v>http://dx.doi.org/10.1080/15299716.2023.2248126</v>
      </c>
      <c r="BG589" t="s">
        <v>74</v>
      </c>
      <c r="BH589" t="s">
        <v>8608</v>
      </c>
      <c r="BI589">
        <v>15</v>
      </c>
      <c r="BJ589" t="s">
        <v>396</v>
      </c>
      <c r="BK589" t="s">
        <v>211</v>
      </c>
      <c r="BL589" t="s">
        <v>397</v>
      </c>
      <c r="BM589" t="s">
        <v>10613</v>
      </c>
      <c r="BN589" t="s">
        <v>74</v>
      </c>
      <c r="BO589" t="s">
        <v>887</v>
      </c>
      <c r="BP589" t="s">
        <v>74</v>
      </c>
      <c r="BQ589" t="s">
        <v>74</v>
      </c>
      <c r="BR589" t="s">
        <v>105</v>
      </c>
      <c r="BS589" t="s">
        <v>10614</v>
      </c>
      <c r="BT589" t="str">
        <f>HYPERLINK("https%3A%2F%2Fwww.webofscience.com%2Fwos%2Fwoscc%2Ffull-record%2FWOS:001049753700001","View Full Record in Web of Science")</f>
        <v>View Full Record in Web of Science</v>
      </c>
    </row>
    <row r="590" spans="1:72" x14ac:dyDescent="0.15">
      <c r="A590" t="s">
        <v>72</v>
      </c>
      <c r="B590" t="s">
        <v>10615</v>
      </c>
      <c r="C590" t="s">
        <v>74</v>
      </c>
      <c r="D590" t="s">
        <v>74</v>
      </c>
      <c r="E590" t="s">
        <v>74</v>
      </c>
      <c r="F590" t="s">
        <v>10616</v>
      </c>
      <c r="G590" t="s">
        <v>74</v>
      </c>
      <c r="H590" t="s">
        <v>74</v>
      </c>
      <c r="I590" t="s">
        <v>10617</v>
      </c>
      <c r="J590" t="s">
        <v>8956</v>
      </c>
      <c r="K590" t="s">
        <v>74</v>
      </c>
      <c r="L590" t="s">
        <v>74</v>
      </c>
      <c r="M590" t="s">
        <v>78</v>
      </c>
      <c r="N590" t="s">
        <v>5492</v>
      </c>
      <c r="O590" t="s">
        <v>74</v>
      </c>
      <c r="P590" t="s">
        <v>74</v>
      </c>
      <c r="Q590" t="s">
        <v>74</v>
      </c>
      <c r="R590" t="s">
        <v>74</v>
      </c>
      <c r="S590" t="s">
        <v>74</v>
      </c>
      <c r="T590" t="s">
        <v>10618</v>
      </c>
      <c r="U590" t="s">
        <v>10619</v>
      </c>
      <c r="V590" t="s">
        <v>10620</v>
      </c>
      <c r="W590" t="s">
        <v>10621</v>
      </c>
      <c r="X590" t="s">
        <v>10622</v>
      </c>
      <c r="Y590" t="s">
        <v>10623</v>
      </c>
      <c r="Z590" t="s">
        <v>10624</v>
      </c>
      <c r="AA590" t="s">
        <v>74</v>
      </c>
      <c r="AB590" t="s">
        <v>74</v>
      </c>
      <c r="AC590" t="s">
        <v>10625</v>
      </c>
      <c r="AD590" t="s">
        <v>10626</v>
      </c>
      <c r="AE590" t="s">
        <v>10627</v>
      </c>
      <c r="AF590" t="s">
        <v>74</v>
      </c>
      <c r="AG590">
        <v>33</v>
      </c>
      <c r="AH590">
        <v>0</v>
      </c>
      <c r="AI590">
        <v>0</v>
      </c>
      <c r="AJ590">
        <v>0</v>
      </c>
      <c r="AK590">
        <v>0</v>
      </c>
      <c r="AL590" t="s">
        <v>92</v>
      </c>
      <c r="AM590" t="s">
        <v>93</v>
      </c>
      <c r="AN590" t="s">
        <v>94</v>
      </c>
      <c r="AO590" t="s">
        <v>8966</v>
      </c>
      <c r="AP590" t="s">
        <v>8967</v>
      </c>
      <c r="AQ590" t="s">
        <v>74</v>
      </c>
      <c r="AR590" t="s">
        <v>8968</v>
      </c>
      <c r="AS590" t="s">
        <v>8969</v>
      </c>
      <c r="AT590" t="s">
        <v>10611</v>
      </c>
      <c r="AU590">
        <v>2023</v>
      </c>
      <c r="AV590" t="s">
        <v>74</v>
      </c>
      <c r="AW590" t="s">
        <v>74</v>
      </c>
      <c r="AX590" t="s">
        <v>74</v>
      </c>
      <c r="AY590" t="s">
        <v>74</v>
      </c>
      <c r="AZ590" t="s">
        <v>74</v>
      </c>
      <c r="BA590" t="s">
        <v>74</v>
      </c>
      <c r="BB590" t="s">
        <v>74</v>
      </c>
      <c r="BC590" t="s">
        <v>74</v>
      </c>
      <c r="BD590" t="s">
        <v>74</v>
      </c>
      <c r="BE590" t="s">
        <v>10628</v>
      </c>
      <c r="BF590" t="str">
        <f>HYPERLINK("http://dx.doi.org/10.1080/00268976.2023.2244611","http://dx.doi.org/10.1080/00268976.2023.2244611")</f>
        <v>http://dx.doi.org/10.1080/00268976.2023.2244611</v>
      </c>
      <c r="BG590" t="s">
        <v>74</v>
      </c>
      <c r="BH590" t="s">
        <v>8608</v>
      </c>
      <c r="BI590">
        <v>11</v>
      </c>
      <c r="BJ590" t="s">
        <v>8973</v>
      </c>
      <c r="BK590" t="s">
        <v>102</v>
      </c>
      <c r="BL590" t="s">
        <v>8974</v>
      </c>
      <c r="BM590" t="s">
        <v>10629</v>
      </c>
      <c r="BN590" t="s">
        <v>74</v>
      </c>
      <c r="BO590" t="s">
        <v>5486</v>
      </c>
      <c r="BP590" t="s">
        <v>74</v>
      </c>
      <c r="BQ590" t="s">
        <v>74</v>
      </c>
      <c r="BR590" t="s">
        <v>105</v>
      </c>
      <c r="BS590" t="s">
        <v>10630</v>
      </c>
      <c r="BT590" t="str">
        <f>HYPERLINK("https%3A%2F%2Fwww.webofscience.com%2Fwos%2Fwoscc%2Ffull-record%2FWOS:001049950800001","View Full Record in Web of Science")</f>
        <v>View Full Record in Web of Science</v>
      </c>
    </row>
    <row r="591" spans="1:72" x14ac:dyDescent="0.15">
      <c r="A591" t="s">
        <v>72</v>
      </c>
      <c r="B591" t="s">
        <v>10631</v>
      </c>
      <c r="C591" t="s">
        <v>74</v>
      </c>
      <c r="D591" t="s">
        <v>74</v>
      </c>
      <c r="E591" t="s">
        <v>74</v>
      </c>
      <c r="F591" t="s">
        <v>10632</v>
      </c>
      <c r="G591" t="s">
        <v>74</v>
      </c>
      <c r="H591" t="s">
        <v>74</v>
      </c>
      <c r="I591" t="s">
        <v>10633</v>
      </c>
      <c r="J591" t="s">
        <v>10634</v>
      </c>
      <c r="K591" t="s">
        <v>74</v>
      </c>
      <c r="L591" t="s">
        <v>74</v>
      </c>
      <c r="M591" t="s">
        <v>78</v>
      </c>
      <c r="N591" t="s">
        <v>5492</v>
      </c>
      <c r="O591" t="s">
        <v>74</v>
      </c>
      <c r="P591" t="s">
        <v>74</v>
      </c>
      <c r="Q591" t="s">
        <v>74</v>
      </c>
      <c r="R591" t="s">
        <v>74</v>
      </c>
      <c r="S591" t="s">
        <v>74</v>
      </c>
      <c r="T591" t="s">
        <v>10635</v>
      </c>
      <c r="U591" t="s">
        <v>74</v>
      </c>
      <c r="V591" t="s">
        <v>10636</v>
      </c>
      <c r="W591" t="s">
        <v>10637</v>
      </c>
      <c r="X591" t="s">
        <v>10638</v>
      </c>
      <c r="Y591" t="s">
        <v>10639</v>
      </c>
      <c r="Z591" t="s">
        <v>10640</v>
      </c>
      <c r="AA591" t="s">
        <v>74</v>
      </c>
      <c r="AB591" t="s">
        <v>74</v>
      </c>
      <c r="AC591" t="s">
        <v>74</v>
      </c>
      <c r="AD591" t="s">
        <v>74</v>
      </c>
      <c r="AE591" t="s">
        <v>74</v>
      </c>
      <c r="AF591" t="s">
        <v>74</v>
      </c>
      <c r="AG591">
        <v>39</v>
      </c>
      <c r="AH591">
        <v>0</v>
      </c>
      <c r="AI591">
        <v>0</v>
      </c>
      <c r="AJ591">
        <v>0</v>
      </c>
      <c r="AK591">
        <v>0</v>
      </c>
      <c r="AL591" t="s">
        <v>1188</v>
      </c>
      <c r="AM591" t="s">
        <v>93</v>
      </c>
      <c r="AN591" t="s">
        <v>1189</v>
      </c>
      <c r="AO591" t="s">
        <v>10641</v>
      </c>
      <c r="AP591" t="s">
        <v>10642</v>
      </c>
      <c r="AQ591" t="s">
        <v>74</v>
      </c>
      <c r="AR591" t="s">
        <v>10643</v>
      </c>
      <c r="AS591" t="s">
        <v>10644</v>
      </c>
      <c r="AT591" t="s">
        <v>10611</v>
      </c>
      <c r="AU591">
        <v>2023</v>
      </c>
      <c r="AV591" t="s">
        <v>74</v>
      </c>
      <c r="AW591" t="s">
        <v>74</v>
      </c>
      <c r="AX591" t="s">
        <v>74</v>
      </c>
      <c r="AY591" t="s">
        <v>74</v>
      </c>
      <c r="AZ591" t="s">
        <v>74</v>
      </c>
      <c r="BA591" t="s">
        <v>74</v>
      </c>
      <c r="BB591" t="s">
        <v>74</v>
      </c>
      <c r="BC591" t="s">
        <v>74</v>
      </c>
      <c r="BD591" t="s">
        <v>74</v>
      </c>
      <c r="BE591" t="s">
        <v>10645</v>
      </c>
      <c r="BF591" t="str">
        <f>HYPERLINK("http://dx.doi.org/10.1080/1743727X.2023.2242273","http://dx.doi.org/10.1080/1743727X.2023.2242273")</f>
        <v>http://dx.doi.org/10.1080/1743727X.2023.2242273</v>
      </c>
      <c r="BG591" t="s">
        <v>74</v>
      </c>
      <c r="BH591" t="s">
        <v>8608</v>
      </c>
      <c r="BI591">
        <v>12</v>
      </c>
      <c r="BJ591" t="s">
        <v>271</v>
      </c>
      <c r="BK591" t="s">
        <v>211</v>
      </c>
      <c r="BL591" t="s">
        <v>271</v>
      </c>
      <c r="BM591" t="s">
        <v>10646</v>
      </c>
      <c r="BN591" t="s">
        <v>74</v>
      </c>
      <c r="BO591" t="s">
        <v>10647</v>
      </c>
      <c r="BP591" t="s">
        <v>74</v>
      </c>
      <c r="BQ591" t="s">
        <v>74</v>
      </c>
      <c r="BR591" t="s">
        <v>105</v>
      </c>
      <c r="BS591" t="s">
        <v>10648</v>
      </c>
      <c r="BT591" t="str">
        <f>HYPERLINK("https%3A%2F%2Fwww.webofscience.com%2Fwos%2Fwoscc%2Ffull-record%2FWOS:001046575000001","View Full Record in Web of Science")</f>
        <v>View Full Record in Web of Science</v>
      </c>
    </row>
    <row r="592" spans="1:72" x14ac:dyDescent="0.15">
      <c r="A592" t="s">
        <v>72</v>
      </c>
      <c r="B592" t="s">
        <v>10649</v>
      </c>
      <c r="C592" t="s">
        <v>74</v>
      </c>
      <c r="D592" t="s">
        <v>74</v>
      </c>
      <c r="E592" t="s">
        <v>74</v>
      </c>
      <c r="F592" t="s">
        <v>10650</v>
      </c>
      <c r="G592" t="s">
        <v>74</v>
      </c>
      <c r="H592" t="s">
        <v>74</v>
      </c>
      <c r="I592" t="s">
        <v>10651</v>
      </c>
      <c r="J592" t="s">
        <v>10652</v>
      </c>
      <c r="K592" t="s">
        <v>74</v>
      </c>
      <c r="L592" t="s">
        <v>74</v>
      </c>
      <c r="M592" t="s">
        <v>78</v>
      </c>
      <c r="N592" t="s">
        <v>5492</v>
      </c>
      <c r="O592" t="s">
        <v>74</v>
      </c>
      <c r="P592" t="s">
        <v>74</v>
      </c>
      <c r="Q592" t="s">
        <v>74</v>
      </c>
      <c r="R592" t="s">
        <v>74</v>
      </c>
      <c r="S592" t="s">
        <v>74</v>
      </c>
      <c r="T592" t="s">
        <v>10653</v>
      </c>
      <c r="U592" t="s">
        <v>10654</v>
      </c>
      <c r="V592" t="s">
        <v>10655</v>
      </c>
      <c r="W592" t="s">
        <v>10656</v>
      </c>
      <c r="X592" t="s">
        <v>10657</v>
      </c>
      <c r="Y592" t="s">
        <v>10658</v>
      </c>
      <c r="Z592" t="s">
        <v>10659</v>
      </c>
      <c r="AA592" t="s">
        <v>10660</v>
      </c>
      <c r="AB592" t="s">
        <v>10661</v>
      </c>
      <c r="AC592" t="s">
        <v>10662</v>
      </c>
      <c r="AD592" t="s">
        <v>10663</v>
      </c>
      <c r="AE592" t="s">
        <v>10664</v>
      </c>
      <c r="AF592" t="s">
        <v>74</v>
      </c>
      <c r="AG592">
        <v>51</v>
      </c>
      <c r="AH592">
        <v>0</v>
      </c>
      <c r="AI592">
        <v>0</v>
      </c>
      <c r="AJ592">
        <v>3</v>
      </c>
      <c r="AK592">
        <v>3</v>
      </c>
      <c r="AL592" t="s">
        <v>92</v>
      </c>
      <c r="AM592" t="s">
        <v>93</v>
      </c>
      <c r="AN592" t="s">
        <v>94</v>
      </c>
      <c r="AO592" t="s">
        <v>10665</v>
      </c>
      <c r="AP592" t="s">
        <v>10666</v>
      </c>
      <c r="AQ592" t="s">
        <v>74</v>
      </c>
      <c r="AR592" t="s">
        <v>10667</v>
      </c>
      <c r="AS592" t="s">
        <v>10668</v>
      </c>
      <c r="AT592" t="s">
        <v>10611</v>
      </c>
      <c r="AU592">
        <v>2023</v>
      </c>
      <c r="AV592" t="s">
        <v>74</v>
      </c>
      <c r="AW592" t="s">
        <v>74</v>
      </c>
      <c r="AX592" t="s">
        <v>74</v>
      </c>
      <c r="AY592" t="s">
        <v>74</v>
      </c>
      <c r="AZ592" t="s">
        <v>74</v>
      </c>
      <c r="BA592" t="s">
        <v>74</v>
      </c>
      <c r="BB592" t="s">
        <v>74</v>
      </c>
      <c r="BC592" t="s">
        <v>74</v>
      </c>
      <c r="BD592" t="s">
        <v>74</v>
      </c>
      <c r="BE592" t="s">
        <v>10669</v>
      </c>
      <c r="BF592" t="str">
        <f>HYPERLINK("http://dx.doi.org/10.1080/17445302.2023.2246183","http://dx.doi.org/10.1080/17445302.2023.2246183")</f>
        <v>http://dx.doi.org/10.1080/17445302.2023.2246183</v>
      </c>
      <c r="BG592" t="s">
        <v>74</v>
      </c>
      <c r="BH592" t="s">
        <v>8608</v>
      </c>
      <c r="BI592">
        <v>14</v>
      </c>
      <c r="BJ592" t="s">
        <v>10670</v>
      </c>
      <c r="BK592" t="s">
        <v>102</v>
      </c>
      <c r="BL592" t="s">
        <v>1095</v>
      </c>
      <c r="BM592" t="s">
        <v>10671</v>
      </c>
      <c r="BN592" t="s">
        <v>74</v>
      </c>
      <c r="BO592" t="s">
        <v>74</v>
      </c>
      <c r="BP592" t="s">
        <v>74</v>
      </c>
      <c r="BQ592" t="s">
        <v>74</v>
      </c>
      <c r="BR592" t="s">
        <v>105</v>
      </c>
      <c r="BS592" t="s">
        <v>10672</v>
      </c>
      <c r="BT592" t="str">
        <f>HYPERLINK("https%3A%2F%2Fwww.webofscience.com%2Fwos%2Fwoscc%2Ffull-record%2FWOS:001048495300001","View Full Record in Web of Science")</f>
        <v>View Full Record in Web of Science</v>
      </c>
    </row>
    <row r="593" spans="1:72" x14ac:dyDescent="0.15">
      <c r="A593" t="s">
        <v>72</v>
      </c>
      <c r="B593" t="s">
        <v>10673</v>
      </c>
      <c r="C593" t="s">
        <v>74</v>
      </c>
      <c r="D593" t="s">
        <v>74</v>
      </c>
      <c r="E593" t="s">
        <v>74</v>
      </c>
      <c r="F593" t="s">
        <v>10674</v>
      </c>
      <c r="G593" t="s">
        <v>74</v>
      </c>
      <c r="H593" t="s">
        <v>74</v>
      </c>
      <c r="I593" t="s">
        <v>10675</v>
      </c>
      <c r="J593" t="s">
        <v>10676</v>
      </c>
      <c r="K593" t="s">
        <v>74</v>
      </c>
      <c r="L593" t="s">
        <v>74</v>
      </c>
      <c r="M593" t="s">
        <v>78</v>
      </c>
      <c r="N593" t="s">
        <v>5492</v>
      </c>
      <c r="O593" t="s">
        <v>74</v>
      </c>
      <c r="P593" t="s">
        <v>74</v>
      </c>
      <c r="Q593" t="s">
        <v>74</v>
      </c>
      <c r="R593" t="s">
        <v>74</v>
      </c>
      <c r="S593" t="s">
        <v>74</v>
      </c>
      <c r="T593" t="s">
        <v>10677</v>
      </c>
      <c r="U593" t="s">
        <v>10678</v>
      </c>
      <c r="V593" t="s">
        <v>10679</v>
      </c>
      <c r="W593" t="s">
        <v>10680</v>
      </c>
      <c r="X593" t="s">
        <v>10681</v>
      </c>
      <c r="Y593" t="s">
        <v>10682</v>
      </c>
      <c r="Z593" t="s">
        <v>10683</v>
      </c>
      <c r="AA593" t="s">
        <v>10684</v>
      </c>
      <c r="AB593" t="s">
        <v>10685</v>
      </c>
      <c r="AC593" t="s">
        <v>74</v>
      </c>
      <c r="AD593" t="s">
        <v>74</v>
      </c>
      <c r="AE593" t="s">
        <v>74</v>
      </c>
      <c r="AF593" t="s">
        <v>74</v>
      </c>
      <c r="AG593">
        <v>97</v>
      </c>
      <c r="AH593">
        <v>0</v>
      </c>
      <c r="AI593">
        <v>0</v>
      </c>
      <c r="AJ593">
        <v>2</v>
      </c>
      <c r="AK593">
        <v>2</v>
      </c>
      <c r="AL593" t="s">
        <v>92</v>
      </c>
      <c r="AM593" t="s">
        <v>93</v>
      </c>
      <c r="AN593" t="s">
        <v>94</v>
      </c>
      <c r="AO593" t="s">
        <v>10686</v>
      </c>
      <c r="AP593" t="s">
        <v>10687</v>
      </c>
      <c r="AQ593" t="s">
        <v>74</v>
      </c>
      <c r="AR593" t="s">
        <v>10688</v>
      </c>
      <c r="AS593" t="s">
        <v>10689</v>
      </c>
      <c r="AT593" t="s">
        <v>10611</v>
      </c>
      <c r="AU593">
        <v>2023</v>
      </c>
      <c r="AV593" t="s">
        <v>74</v>
      </c>
      <c r="AW593" t="s">
        <v>74</v>
      </c>
      <c r="AX593" t="s">
        <v>74</v>
      </c>
      <c r="AY593" t="s">
        <v>74</v>
      </c>
      <c r="AZ593" t="s">
        <v>74</v>
      </c>
      <c r="BA593" t="s">
        <v>74</v>
      </c>
      <c r="BB593" t="s">
        <v>74</v>
      </c>
      <c r="BC593" t="s">
        <v>74</v>
      </c>
      <c r="BD593" t="s">
        <v>74</v>
      </c>
      <c r="BE593" t="s">
        <v>10690</v>
      </c>
      <c r="BF593" t="str">
        <f>HYPERLINK("http://dx.doi.org/10.1080/17442222.2023.2227023","http://dx.doi.org/10.1080/17442222.2023.2227023")</f>
        <v>http://dx.doi.org/10.1080/17442222.2023.2227023</v>
      </c>
      <c r="BG593" t="s">
        <v>74</v>
      </c>
      <c r="BH593" t="s">
        <v>8608</v>
      </c>
      <c r="BI593">
        <v>25</v>
      </c>
      <c r="BJ593" t="s">
        <v>10691</v>
      </c>
      <c r="BK593" t="s">
        <v>211</v>
      </c>
      <c r="BL593" t="s">
        <v>10691</v>
      </c>
      <c r="BM593" t="s">
        <v>10692</v>
      </c>
      <c r="BN593" t="s">
        <v>74</v>
      </c>
      <c r="BO593" t="s">
        <v>887</v>
      </c>
      <c r="BP593" t="s">
        <v>74</v>
      </c>
      <c r="BQ593" t="s">
        <v>74</v>
      </c>
      <c r="BR593" t="s">
        <v>105</v>
      </c>
      <c r="BS593" t="s">
        <v>10693</v>
      </c>
      <c r="BT593" t="str">
        <f>HYPERLINK("https%3A%2F%2Fwww.webofscience.com%2Fwos%2Fwoscc%2Ffull-record%2FWOS:001047652300001","View Full Record in Web of Science")</f>
        <v>View Full Record in Web of Science</v>
      </c>
    </row>
    <row r="594" spans="1:72" x14ac:dyDescent="0.15">
      <c r="A594" t="s">
        <v>72</v>
      </c>
      <c r="B594" t="s">
        <v>10694</v>
      </c>
      <c r="C594" t="s">
        <v>74</v>
      </c>
      <c r="D594" t="s">
        <v>74</v>
      </c>
      <c r="E594" t="s">
        <v>74</v>
      </c>
      <c r="F594" t="s">
        <v>10695</v>
      </c>
      <c r="G594" t="s">
        <v>74</v>
      </c>
      <c r="H594" t="s">
        <v>74</v>
      </c>
      <c r="I594" t="s">
        <v>10696</v>
      </c>
      <c r="J594" t="s">
        <v>10697</v>
      </c>
      <c r="K594" t="s">
        <v>74</v>
      </c>
      <c r="L594" t="s">
        <v>74</v>
      </c>
      <c r="M594" t="s">
        <v>78</v>
      </c>
      <c r="N594" t="s">
        <v>5492</v>
      </c>
      <c r="O594" t="s">
        <v>74</v>
      </c>
      <c r="P594" t="s">
        <v>74</v>
      </c>
      <c r="Q594" t="s">
        <v>74</v>
      </c>
      <c r="R594" t="s">
        <v>74</v>
      </c>
      <c r="S594" t="s">
        <v>74</v>
      </c>
      <c r="T594" t="s">
        <v>10698</v>
      </c>
      <c r="U594" t="s">
        <v>10699</v>
      </c>
      <c r="V594" t="s">
        <v>10700</v>
      </c>
      <c r="W594" t="s">
        <v>10701</v>
      </c>
      <c r="X594" t="s">
        <v>10702</v>
      </c>
      <c r="Y594" t="s">
        <v>10703</v>
      </c>
      <c r="Z594" t="s">
        <v>10704</v>
      </c>
      <c r="AA594" t="s">
        <v>10705</v>
      </c>
      <c r="AB594" t="s">
        <v>10706</v>
      </c>
      <c r="AC594" t="s">
        <v>10707</v>
      </c>
      <c r="AD594" t="s">
        <v>10708</v>
      </c>
      <c r="AE594" t="s">
        <v>10709</v>
      </c>
      <c r="AF594" t="s">
        <v>74</v>
      </c>
      <c r="AG594">
        <v>124</v>
      </c>
      <c r="AH594">
        <v>0</v>
      </c>
      <c r="AI594">
        <v>0</v>
      </c>
      <c r="AJ594">
        <v>0</v>
      </c>
      <c r="AK594">
        <v>0</v>
      </c>
      <c r="AL594" t="s">
        <v>1188</v>
      </c>
      <c r="AM594" t="s">
        <v>93</v>
      </c>
      <c r="AN594" t="s">
        <v>1189</v>
      </c>
      <c r="AO594" t="s">
        <v>10710</v>
      </c>
      <c r="AP594" t="s">
        <v>10711</v>
      </c>
      <c r="AQ594" t="s">
        <v>74</v>
      </c>
      <c r="AR594" t="s">
        <v>10712</v>
      </c>
      <c r="AS594" t="s">
        <v>10713</v>
      </c>
      <c r="AT594" t="s">
        <v>10611</v>
      </c>
      <c r="AU594">
        <v>2023</v>
      </c>
      <c r="AV594" t="s">
        <v>74</v>
      </c>
      <c r="AW594" t="s">
        <v>74</v>
      </c>
      <c r="AX594" t="s">
        <v>74</v>
      </c>
      <c r="AY594" t="s">
        <v>74</v>
      </c>
      <c r="AZ594" t="s">
        <v>74</v>
      </c>
      <c r="BA594" t="s">
        <v>74</v>
      </c>
      <c r="BB594" t="s">
        <v>74</v>
      </c>
      <c r="BC594" t="s">
        <v>74</v>
      </c>
      <c r="BD594" t="s">
        <v>74</v>
      </c>
      <c r="BE594" t="s">
        <v>10714</v>
      </c>
      <c r="BF594" t="str">
        <f>HYPERLINK("http://dx.doi.org/10.1080/09639284.2023.2244947","http://dx.doi.org/10.1080/09639284.2023.2244947")</f>
        <v>http://dx.doi.org/10.1080/09639284.2023.2244947</v>
      </c>
      <c r="BG594" t="s">
        <v>74</v>
      </c>
      <c r="BH594" t="s">
        <v>8608</v>
      </c>
      <c r="BI594">
        <v>35</v>
      </c>
      <c r="BJ594" t="s">
        <v>8798</v>
      </c>
      <c r="BK594" t="s">
        <v>211</v>
      </c>
      <c r="BL594" t="s">
        <v>295</v>
      </c>
      <c r="BM594" t="s">
        <v>10715</v>
      </c>
      <c r="BN594" t="s">
        <v>74</v>
      </c>
      <c r="BO594" t="s">
        <v>74</v>
      </c>
      <c r="BP594" t="s">
        <v>74</v>
      </c>
      <c r="BQ594" t="s">
        <v>74</v>
      </c>
      <c r="BR594" t="s">
        <v>105</v>
      </c>
      <c r="BS594" t="s">
        <v>10716</v>
      </c>
      <c r="BT594" t="str">
        <f>HYPERLINK("https%3A%2F%2Fwww.webofscience.com%2Fwos%2Fwoscc%2Ffull-record%2FWOS:001046588700001","View Full Record in Web of Science")</f>
        <v>View Full Record in Web of Science</v>
      </c>
    </row>
    <row r="595" spans="1:72" x14ac:dyDescent="0.15">
      <c r="A595" t="s">
        <v>72</v>
      </c>
      <c r="B595" t="s">
        <v>10717</v>
      </c>
      <c r="C595" t="s">
        <v>74</v>
      </c>
      <c r="D595" t="s">
        <v>74</v>
      </c>
      <c r="E595" t="s">
        <v>74</v>
      </c>
      <c r="F595" t="s">
        <v>10718</v>
      </c>
      <c r="G595" t="s">
        <v>74</v>
      </c>
      <c r="H595" t="s">
        <v>74</v>
      </c>
      <c r="I595" t="s">
        <v>10719</v>
      </c>
      <c r="J595" t="s">
        <v>10720</v>
      </c>
      <c r="K595" t="s">
        <v>74</v>
      </c>
      <c r="L595" t="s">
        <v>74</v>
      </c>
      <c r="M595" t="s">
        <v>78</v>
      </c>
      <c r="N595" t="s">
        <v>6253</v>
      </c>
      <c r="O595" t="s">
        <v>74</v>
      </c>
      <c r="P595" t="s">
        <v>74</v>
      </c>
      <c r="Q595" t="s">
        <v>74</v>
      </c>
      <c r="R595" t="s">
        <v>74</v>
      </c>
      <c r="S595" t="s">
        <v>74</v>
      </c>
      <c r="T595" t="s">
        <v>74</v>
      </c>
      <c r="U595" t="s">
        <v>74</v>
      </c>
      <c r="V595" t="s">
        <v>74</v>
      </c>
      <c r="W595" t="s">
        <v>10721</v>
      </c>
      <c r="X595" t="s">
        <v>10722</v>
      </c>
      <c r="Y595" t="s">
        <v>10723</v>
      </c>
      <c r="Z595" t="s">
        <v>10724</v>
      </c>
      <c r="AA595" t="s">
        <v>74</v>
      </c>
      <c r="AB595" t="s">
        <v>74</v>
      </c>
      <c r="AC595" t="s">
        <v>74</v>
      </c>
      <c r="AD595" t="s">
        <v>74</v>
      </c>
      <c r="AE595" t="s">
        <v>74</v>
      </c>
      <c r="AF595" t="s">
        <v>74</v>
      </c>
      <c r="AG595">
        <v>5</v>
      </c>
      <c r="AH595">
        <v>0</v>
      </c>
      <c r="AI595">
        <v>0</v>
      </c>
      <c r="AJ595">
        <v>1</v>
      </c>
      <c r="AK595">
        <v>1</v>
      </c>
      <c r="AL595" t="s">
        <v>1188</v>
      </c>
      <c r="AM595" t="s">
        <v>93</v>
      </c>
      <c r="AN595" t="s">
        <v>1189</v>
      </c>
      <c r="AO595" t="s">
        <v>10725</v>
      </c>
      <c r="AP595" t="s">
        <v>10726</v>
      </c>
      <c r="AQ595" t="s">
        <v>74</v>
      </c>
      <c r="AR595" t="s">
        <v>10727</v>
      </c>
      <c r="AS595" t="s">
        <v>10728</v>
      </c>
      <c r="AT595" t="s">
        <v>10611</v>
      </c>
      <c r="AU595">
        <v>2023</v>
      </c>
      <c r="AV595" t="s">
        <v>74</v>
      </c>
      <c r="AW595" t="s">
        <v>74</v>
      </c>
      <c r="AX595" t="s">
        <v>74</v>
      </c>
      <c r="AY595" t="s">
        <v>74</v>
      </c>
      <c r="AZ595" t="s">
        <v>74</v>
      </c>
      <c r="BA595" t="s">
        <v>74</v>
      </c>
      <c r="BB595" t="s">
        <v>74</v>
      </c>
      <c r="BC595" t="s">
        <v>74</v>
      </c>
      <c r="BD595" t="s">
        <v>74</v>
      </c>
      <c r="BE595" t="s">
        <v>10729</v>
      </c>
      <c r="BF595" t="str">
        <f>HYPERLINK("http://dx.doi.org/10.1080/02560046.2023.2244546","http://dx.doi.org/10.1080/02560046.2023.2244546")</f>
        <v>http://dx.doi.org/10.1080/02560046.2023.2244546</v>
      </c>
      <c r="BG595" t="s">
        <v>74</v>
      </c>
      <c r="BH595" t="s">
        <v>8608</v>
      </c>
      <c r="BI595">
        <v>3</v>
      </c>
      <c r="BJ595" t="s">
        <v>10730</v>
      </c>
      <c r="BK595" t="s">
        <v>7170</v>
      </c>
      <c r="BL595" t="s">
        <v>10730</v>
      </c>
      <c r="BM595" t="s">
        <v>10731</v>
      </c>
      <c r="BN595" t="s">
        <v>74</v>
      </c>
      <c r="BO595" t="s">
        <v>5391</v>
      </c>
      <c r="BP595" t="s">
        <v>74</v>
      </c>
      <c r="BQ595" t="s">
        <v>74</v>
      </c>
      <c r="BR595" t="s">
        <v>105</v>
      </c>
      <c r="BS595" t="s">
        <v>10732</v>
      </c>
      <c r="BT595" t="str">
        <f>HYPERLINK("https%3A%2F%2Fwww.webofscience.com%2Fwos%2Fwoscc%2Ffull-record%2FWOS:001048494800001","View Full Record in Web of Science")</f>
        <v>View Full Record in Web of Science</v>
      </c>
    </row>
    <row r="596" spans="1:72" x14ac:dyDescent="0.15">
      <c r="A596" t="s">
        <v>72</v>
      </c>
      <c r="B596" t="s">
        <v>10733</v>
      </c>
      <c r="C596" t="s">
        <v>74</v>
      </c>
      <c r="D596" t="s">
        <v>74</v>
      </c>
      <c r="E596" t="s">
        <v>74</v>
      </c>
      <c r="F596" t="s">
        <v>10734</v>
      </c>
      <c r="G596" t="s">
        <v>74</v>
      </c>
      <c r="H596" t="s">
        <v>74</v>
      </c>
      <c r="I596" t="s">
        <v>10735</v>
      </c>
      <c r="J596" t="s">
        <v>10736</v>
      </c>
      <c r="K596" t="s">
        <v>74</v>
      </c>
      <c r="L596" t="s">
        <v>74</v>
      </c>
      <c r="M596" t="s">
        <v>78</v>
      </c>
      <c r="N596" t="s">
        <v>5492</v>
      </c>
      <c r="O596" t="s">
        <v>74</v>
      </c>
      <c r="P596" t="s">
        <v>74</v>
      </c>
      <c r="Q596" t="s">
        <v>74</v>
      </c>
      <c r="R596" t="s">
        <v>74</v>
      </c>
      <c r="S596" t="s">
        <v>74</v>
      </c>
      <c r="T596" t="s">
        <v>10737</v>
      </c>
      <c r="U596" t="s">
        <v>74</v>
      </c>
      <c r="V596" t="s">
        <v>10738</v>
      </c>
      <c r="W596" t="s">
        <v>10739</v>
      </c>
      <c r="X596" t="s">
        <v>7993</v>
      </c>
      <c r="Y596" t="s">
        <v>10740</v>
      </c>
      <c r="Z596" t="s">
        <v>10741</v>
      </c>
      <c r="AA596" t="s">
        <v>10742</v>
      </c>
      <c r="AB596" t="s">
        <v>10743</v>
      </c>
      <c r="AC596" t="s">
        <v>74</v>
      </c>
      <c r="AD596" t="s">
        <v>74</v>
      </c>
      <c r="AE596" t="s">
        <v>74</v>
      </c>
      <c r="AF596" t="s">
        <v>74</v>
      </c>
      <c r="AG596">
        <v>42</v>
      </c>
      <c r="AH596">
        <v>0</v>
      </c>
      <c r="AI596">
        <v>0</v>
      </c>
      <c r="AJ596">
        <v>1</v>
      </c>
      <c r="AK596">
        <v>1</v>
      </c>
      <c r="AL596" t="s">
        <v>184</v>
      </c>
      <c r="AM596" t="s">
        <v>185</v>
      </c>
      <c r="AN596" t="s">
        <v>186</v>
      </c>
      <c r="AO596" t="s">
        <v>10744</v>
      </c>
      <c r="AP596" t="s">
        <v>10745</v>
      </c>
      <c r="AQ596" t="s">
        <v>74</v>
      </c>
      <c r="AR596" t="s">
        <v>10746</v>
      </c>
      <c r="AS596" t="s">
        <v>10747</v>
      </c>
      <c r="AT596" t="s">
        <v>10611</v>
      </c>
      <c r="AU596">
        <v>2023</v>
      </c>
      <c r="AV596" t="s">
        <v>74</v>
      </c>
      <c r="AW596" t="s">
        <v>74</v>
      </c>
      <c r="AX596" t="s">
        <v>74</v>
      </c>
      <c r="AY596" t="s">
        <v>74</v>
      </c>
      <c r="AZ596" t="s">
        <v>74</v>
      </c>
      <c r="BA596" t="s">
        <v>74</v>
      </c>
      <c r="BB596" t="s">
        <v>74</v>
      </c>
      <c r="BC596" t="s">
        <v>74</v>
      </c>
      <c r="BD596" t="s">
        <v>74</v>
      </c>
      <c r="BE596" t="s">
        <v>10748</v>
      </c>
      <c r="BF596" t="str">
        <f>HYPERLINK("http://dx.doi.org/10.1080/09593985.2023.2246547","http://dx.doi.org/10.1080/09593985.2023.2246547")</f>
        <v>http://dx.doi.org/10.1080/09593985.2023.2246547</v>
      </c>
      <c r="BG596" t="s">
        <v>74</v>
      </c>
      <c r="BH596" t="s">
        <v>8608</v>
      </c>
      <c r="BI596">
        <v>11</v>
      </c>
      <c r="BJ596" t="s">
        <v>7824</v>
      </c>
      <c r="BK596" t="s">
        <v>102</v>
      </c>
      <c r="BL596" t="s">
        <v>7824</v>
      </c>
      <c r="BM596" t="s">
        <v>10749</v>
      </c>
      <c r="BN596">
        <v>37585714</v>
      </c>
      <c r="BO596" t="s">
        <v>74</v>
      </c>
      <c r="BP596" t="s">
        <v>74</v>
      </c>
      <c r="BQ596" t="s">
        <v>74</v>
      </c>
      <c r="BR596" t="s">
        <v>105</v>
      </c>
      <c r="BS596" t="s">
        <v>10750</v>
      </c>
      <c r="BT596" t="str">
        <f>HYPERLINK("https%3A%2F%2Fwww.webofscience.com%2Fwos%2Fwoscc%2Ffull-record%2FWOS:001046150800001","View Full Record in Web of Science")</f>
        <v>View Full Record in Web of Science</v>
      </c>
    </row>
    <row r="597" spans="1:72" x14ac:dyDescent="0.15">
      <c r="A597" t="s">
        <v>72</v>
      </c>
      <c r="B597" t="s">
        <v>10751</v>
      </c>
      <c r="C597" t="s">
        <v>74</v>
      </c>
      <c r="D597" t="s">
        <v>74</v>
      </c>
      <c r="E597" t="s">
        <v>74</v>
      </c>
      <c r="F597" t="s">
        <v>10752</v>
      </c>
      <c r="G597" t="s">
        <v>74</v>
      </c>
      <c r="H597" t="s">
        <v>74</v>
      </c>
      <c r="I597" t="s">
        <v>10753</v>
      </c>
      <c r="J597" t="s">
        <v>10754</v>
      </c>
      <c r="K597" t="s">
        <v>74</v>
      </c>
      <c r="L597" t="s">
        <v>74</v>
      </c>
      <c r="M597" t="s">
        <v>78</v>
      </c>
      <c r="N597" t="s">
        <v>5492</v>
      </c>
      <c r="O597" t="s">
        <v>74</v>
      </c>
      <c r="P597" t="s">
        <v>74</v>
      </c>
      <c r="Q597" t="s">
        <v>74</v>
      </c>
      <c r="R597" t="s">
        <v>74</v>
      </c>
      <c r="S597" t="s">
        <v>74</v>
      </c>
      <c r="T597" t="s">
        <v>10755</v>
      </c>
      <c r="U597" t="s">
        <v>10756</v>
      </c>
      <c r="V597" t="s">
        <v>10757</v>
      </c>
      <c r="W597" t="s">
        <v>10758</v>
      </c>
      <c r="X597" t="s">
        <v>10759</v>
      </c>
      <c r="Y597" t="s">
        <v>10760</v>
      </c>
      <c r="Z597" t="s">
        <v>10761</v>
      </c>
      <c r="AA597" t="s">
        <v>74</v>
      </c>
      <c r="AB597" t="s">
        <v>10762</v>
      </c>
      <c r="AC597" t="s">
        <v>10763</v>
      </c>
      <c r="AD597" t="s">
        <v>10764</v>
      </c>
      <c r="AE597" t="s">
        <v>10765</v>
      </c>
      <c r="AF597" t="s">
        <v>74</v>
      </c>
      <c r="AG597">
        <v>67</v>
      </c>
      <c r="AH597">
        <v>0</v>
      </c>
      <c r="AI597">
        <v>0</v>
      </c>
      <c r="AJ597">
        <v>5</v>
      </c>
      <c r="AK597">
        <v>5</v>
      </c>
      <c r="AL597" t="s">
        <v>92</v>
      </c>
      <c r="AM597" t="s">
        <v>93</v>
      </c>
      <c r="AN597" t="s">
        <v>94</v>
      </c>
      <c r="AO597" t="s">
        <v>10766</v>
      </c>
      <c r="AP597" t="s">
        <v>10767</v>
      </c>
      <c r="AQ597" t="s">
        <v>74</v>
      </c>
      <c r="AR597" t="s">
        <v>10768</v>
      </c>
      <c r="AS597" t="s">
        <v>10769</v>
      </c>
      <c r="AT597" t="s">
        <v>10611</v>
      </c>
      <c r="AU597">
        <v>2023</v>
      </c>
      <c r="AV597" t="s">
        <v>74</v>
      </c>
      <c r="AW597" t="s">
        <v>74</v>
      </c>
      <c r="AX597" t="s">
        <v>74</v>
      </c>
      <c r="AY597" t="s">
        <v>74</v>
      </c>
      <c r="AZ597" t="s">
        <v>74</v>
      </c>
      <c r="BA597" t="s">
        <v>74</v>
      </c>
      <c r="BB597" t="s">
        <v>74</v>
      </c>
      <c r="BC597" t="s">
        <v>74</v>
      </c>
      <c r="BD597" t="s">
        <v>74</v>
      </c>
      <c r="BE597" t="s">
        <v>10770</v>
      </c>
      <c r="BF597" t="str">
        <f>HYPERLINK("http://dx.doi.org/10.1080/23249935.2023.2246586","http://dx.doi.org/10.1080/23249935.2023.2246586")</f>
        <v>http://dx.doi.org/10.1080/23249935.2023.2246586</v>
      </c>
      <c r="BG597" t="s">
        <v>74</v>
      </c>
      <c r="BH597" t="s">
        <v>8608</v>
      </c>
      <c r="BI597">
        <v>29</v>
      </c>
      <c r="BJ597" t="s">
        <v>10771</v>
      </c>
      <c r="BK597" t="s">
        <v>123</v>
      </c>
      <c r="BL597" t="s">
        <v>6006</v>
      </c>
      <c r="BM597" t="s">
        <v>10772</v>
      </c>
      <c r="BN597" t="s">
        <v>74</v>
      </c>
      <c r="BO597" t="s">
        <v>3096</v>
      </c>
      <c r="BP597" t="s">
        <v>74</v>
      </c>
      <c r="BQ597" t="s">
        <v>74</v>
      </c>
      <c r="BR597" t="s">
        <v>105</v>
      </c>
      <c r="BS597" t="s">
        <v>10773</v>
      </c>
      <c r="BT597" t="str">
        <f>HYPERLINK("https%3A%2F%2Fwww.webofscience.com%2Fwos%2Fwoscc%2Ffull-record%2FWOS:001049733800001","View Full Record in Web of Science")</f>
        <v>View Full Record in Web of Science</v>
      </c>
    </row>
    <row r="598" spans="1:72" x14ac:dyDescent="0.15">
      <c r="A598" t="s">
        <v>72</v>
      </c>
      <c r="B598" t="s">
        <v>10774</v>
      </c>
      <c r="C598" t="s">
        <v>74</v>
      </c>
      <c r="D598" t="s">
        <v>74</v>
      </c>
      <c r="E598" t="s">
        <v>74</v>
      </c>
      <c r="F598" t="s">
        <v>10775</v>
      </c>
      <c r="G598" t="s">
        <v>74</v>
      </c>
      <c r="H598" t="s">
        <v>74</v>
      </c>
      <c r="I598" t="s">
        <v>10776</v>
      </c>
      <c r="J598" t="s">
        <v>10777</v>
      </c>
      <c r="K598" t="s">
        <v>74</v>
      </c>
      <c r="L598" t="s">
        <v>74</v>
      </c>
      <c r="M598" t="s">
        <v>78</v>
      </c>
      <c r="N598" t="s">
        <v>5492</v>
      </c>
      <c r="O598" t="s">
        <v>74</v>
      </c>
      <c r="P598" t="s">
        <v>74</v>
      </c>
      <c r="Q598" t="s">
        <v>74</v>
      </c>
      <c r="R598" t="s">
        <v>74</v>
      </c>
      <c r="S598" t="s">
        <v>74</v>
      </c>
      <c r="T598" t="s">
        <v>10778</v>
      </c>
      <c r="U598" t="s">
        <v>10779</v>
      </c>
      <c r="V598" t="s">
        <v>10780</v>
      </c>
      <c r="W598" t="s">
        <v>10781</v>
      </c>
      <c r="X598" t="s">
        <v>10782</v>
      </c>
      <c r="Y598" t="s">
        <v>10783</v>
      </c>
      <c r="Z598" t="s">
        <v>10784</v>
      </c>
      <c r="AA598" t="s">
        <v>74</v>
      </c>
      <c r="AB598" t="s">
        <v>74</v>
      </c>
      <c r="AC598" t="s">
        <v>10785</v>
      </c>
      <c r="AD598" t="s">
        <v>10785</v>
      </c>
      <c r="AE598" t="s">
        <v>10785</v>
      </c>
      <c r="AF598" t="s">
        <v>74</v>
      </c>
      <c r="AG598">
        <v>22</v>
      </c>
      <c r="AH598">
        <v>0</v>
      </c>
      <c r="AI598">
        <v>0</v>
      </c>
      <c r="AJ598">
        <v>1</v>
      </c>
      <c r="AK598">
        <v>1</v>
      </c>
      <c r="AL598" t="s">
        <v>1188</v>
      </c>
      <c r="AM598" t="s">
        <v>93</v>
      </c>
      <c r="AN598" t="s">
        <v>1189</v>
      </c>
      <c r="AO598" t="s">
        <v>10786</v>
      </c>
      <c r="AP598" t="s">
        <v>10787</v>
      </c>
      <c r="AQ598" t="s">
        <v>74</v>
      </c>
      <c r="AR598" t="s">
        <v>10788</v>
      </c>
      <c r="AS598" t="s">
        <v>10789</v>
      </c>
      <c r="AT598" t="s">
        <v>10611</v>
      </c>
      <c r="AU598">
        <v>2023</v>
      </c>
      <c r="AV598" t="s">
        <v>74</v>
      </c>
      <c r="AW598" t="s">
        <v>74</v>
      </c>
      <c r="AX598" t="s">
        <v>74</v>
      </c>
      <c r="AY598" t="s">
        <v>74</v>
      </c>
      <c r="AZ598" t="s">
        <v>74</v>
      </c>
      <c r="BA598" t="s">
        <v>74</v>
      </c>
      <c r="BB598" t="s">
        <v>74</v>
      </c>
      <c r="BC598" t="s">
        <v>74</v>
      </c>
      <c r="BD598" t="s">
        <v>74</v>
      </c>
      <c r="BE598" t="s">
        <v>10790</v>
      </c>
      <c r="BF598" t="str">
        <f>HYPERLINK("http://dx.doi.org/10.1080/10550887.2023.2247950","http://dx.doi.org/10.1080/10550887.2023.2247950")</f>
        <v>http://dx.doi.org/10.1080/10550887.2023.2247950</v>
      </c>
      <c r="BG598" t="s">
        <v>74</v>
      </c>
      <c r="BH598" t="s">
        <v>8608</v>
      </c>
      <c r="BI598">
        <v>8</v>
      </c>
      <c r="BJ598" t="s">
        <v>10791</v>
      </c>
      <c r="BK598" t="s">
        <v>272</v>
      </c>
      <c r="BL598" t="s">
        <v>10791</v>
      </c>
      <c r="BM598" t="s">
        <v>10792</v>
      </c>
      <c r="BN598">
        <v>37650610</v>
      </c>
      <c r="BO598" t="s">
        <v>74</v>
      </c>
      <c r="BP598" t="s">
        <v>74</v>
      </c>
      <c r="BQ598" t="s">
        <v>74</v>
      </c>
      <c r="BR598" t="s">
        <v>105</v>
      </c>
      <c r="BS598" t="s">
        <v>10793</v>
      </c>
      <c r="BT598" t="str">
        <f>HYPERLINK("https%3A%2F%2Fwww.webofscience.com%2Fwos%2Fwoscc%2Ffull-record%2FWOS:001065063000001","View Full Record in Web of Science")</f>
        <v>View Full Record in Web of Science</v>
      </c>
    </row>
    <row r="599" spans="1:72" x14ac:dyDescent="0.15">
      <c r="A599" t="s">
        <v>72</v>
      </c>
      <c r="B599" t="s">
        <v>10794</v>
      </c>
      <c r="C599" t="s">
        <v>74</v>
      </c>
      <c r="D599" t="s">
        <v>74</v>
      </c>
      <c r="E599" t="s">
        <v>74</v>
      </c>
      <c r="F599" t="s">
        <v>10795</v>
      </c>
      <c r="G599" t="s">
        <v>74</v>
      </c>
      <c r="H599" t="s">
        <v>74</v>
      </c>
      <c r="I599" t="s">
        <v>10796</v>
      </c>
      <c r="J599" t="s">
        <v>10196</v>
      </c>
      <c r="K599" t="s">
        <v>74</v>
      </c>
      <c r="L599" t="s">
        <v>74</v>
      </c>
      <c r="M599" t="s">
        <v>78</v>
      </c>
      <c r="N599" t="s">
        <v>2650</v>
      </c>
      <c r="O599" t="s">
        <v>74</v>
      </c>
      <c r="P599" t="s">
        <v>74</v>
      </c>
      <c r="Q599" t="s">
        <v>74</v>
      </c>
      <c r="R599" t="s">
        <v>74</v>
      </c>
      <c r="S599" t="s">
        <v>74</v>
      </c>
      <c r="T599" t="s">
        <v>10797</v>
      </c>
      <c r="U599" t="s">
        <v>10798</v>
      </c>
      <c r="V599" t="s">
        <v>74</v>
      </c>
      <c r="W599" t="s">
        <v>10799</v>
      </c>
      <c r="X599" t="s">
        <v>10800</v>
      </c>
      <c r="Y599" t="s">
        <v>10801</v>
      </c>
      <c r="Z599" t="s">
        <v>10802</v>
      </c>
      <c r="AA599" t="s">
        <v>74</v>
      </c>
      <c r="AB599" t="s">
        <v>74</v>
      </c>
      <c r="AC599" t="s">
        <v>74</v>
      </c>
      <c r="AD599" t="s">
        <v>74</v>
      </c>
      <c r="AE599" t="s">
        <v>74</v>
      </c>
      <c r="AF599" t="s">
        <v>74</v>
      </c>
      <c r="AG599">
        <v>30</v>
      </c>
      <c r="AH599">
        <v>0</v>
      </c>
      <c r="AI599">
        <v>0</v>
      </c>
      <c r="AJ599">
        <v>1</v>
      </c>
      <c r="AK599">
        <v>1</v>
      </c>
      <c r="AL599" t="s">
        <v>92</v>
      </c>
      <c r="AM599" t="s">
        <v>93</v>
      </c>
      <c r="AN599" t="s">
        <v>94</v>
      </c>
      <c r="AO599" t="s">
        <v>10204</v>
      </c>
      <c r="AP599" t="s">
        <v>10205</v>
      </c>
      <c r="AQ599" t="s">
        <v>74</v>
      </c>
      <c r="AR599" t="s">
        <v>10206</v>
      </c>
      <c r="AS599" t="s">
        <v>10207</v>
      </c>
      <c r="AT599" t="s">
        <v>5386</v>
      </c>
      <c r="AU599">
        <v>2023</v>
      </c>
      <c r="AV599">
        <v>16</v>
      </c>
      <c r="AW599">
        <v>10</v>
      </c>
      <c r="AX599" t="s">
        <v>74</v>
      </c>
      <c r="AY599" t="s">
        <v>74</v>
      </c>
      <c r="AZ599" t="s">
        <v>74</v>
      </c>
      <c r="BA599" t="s">
        <v>74</v>
      </c>
      <c r="BB599">
        <v>711</v>
      </c>
      <c r="BC599">
        <v>714</v>
      </c>
      <c r="BD599" t="s">
        <v>74</v>
      </c>
      <c r="BE599" t="s">
        <v>10803</v>
      </c>
      <c r="BF599" t="str">
        <f>HYPERLINK("http://dx.doi.org/10.1080/17474086.2023.2245973","http://dx.doi.org/10.1080/17474086.2023.2245973")</f>
        <v>http://dx.doi.org/10.1080/17474086.2023.2245973</v>
      </c>
      <c r="BG599" t="s">
        <v>74</v>
      </c>
      <c r="BH599" t="s">
        <v>8608</v>
      </c>
      <c r="BI599">
        <v>4</v>
      </c>
      <c r="BJ599" t="s">
        <v>144</v>
      </c>
      <c r="BK599" t="s">
        <v>102</v>
      </c>
      <c r="BL599" t="s">
        <v>144</v>
      </c>
      <c r="BM599" t="s">
        <v>10804</v>
      </c>
      <c r="BN599">
        <v>37542390</v>
      </c>
      <c r="BO599" t="s">
        <v>5391</v>
      </c>
      <c r="BP599" t="s">
        <v>74</v>
      </c>
      <c r="BQ599" t="s">
        <v>74</v>
      </c>
      <c r="BR599" t="s">
        <v>105</v>
      </c>
      <c r="BS599" t="s">
        <v>10805</v>
      </c>
      <c r="BT599" t="str">
        <f>HYPERLINK("https%3A%2F%2Fwww.webofscience.com%2Fwos%2Fwoscc%2Ffull-record%2FWOS:001046189200001","View Full Record in Web of Science")</f>
        <v>View Full Record in Web of Science</v>
      </c>
    </row>
    <row r="600" spans="1:72" x14ac:dyDescent="0.15">
      <c r="A600" t="s">
        <v>72</v>
      </c>
      <c r="B600" t="s">
        <v>10806</v>
      </c>
      <c r="C600" t="s">
        <v>74</v>
      </c>
      <c r="D600" t="s">
        <v>74</v>
      </c>
      <c r="E600" t="s">
        <v>74</v>
      </c>
      <c r="F600" t="s">
        <v>10807</v>
      </c>
      <c r="G600" t="s">
        <v>74</v>
      </c>
      <c r="H600" t="s">
        <v>74</v>
      </c>
      <c r="I600" t="s">
        <v>10808</v>
      </c>
      <c r="J600" t="s">
        <v>10809</v>
      </c>
      <c r="K600" t="s">
        <v>74</v>
      </c>
      <c r="L600" t="s">
        <v>74</v>
      </c>
      <c r="M600" t="s">
        <v>78</v>
      </c>
      <c r="N600" t="s">
        <v>6754</v>
      </c>
      <c r="O600" t="s">
        <v>74</v>
      </c>
      <c r="P600" t="s">
        <v>74</v>
      </c>
      <c r="Q600" t="s">
        <v>74</v>
      </c>
      <c r="R600" t="s">
        <v>74</v>
      </c>
      <c r="S600" t="s">
        <v>74</v>
      </c>
      <c r="T600" t="s">
        <v>10810</v>
      </c>
      <c r="U600" t="s">
        <v>10811</v>
      </c>
      <c r="V600" t="s">
        <v>10812</v>
      </c>
      <c r="W600" t="s">
        <v>10813</v>
      </c>
      <c r="X600" t="s">
        <v>10814</v>
      </c>
      <c r="Y600" t="s">
        <v>10815</v>
      </c>
      <c r="Z600" t="s">
        <v>10816</v>
      </c>
      <c r="AA600" t="s">
        <v>74</v>
      </c>
      <c r="AB600" t="s">
        <v>74</v>
      </c>
      <c r="AC600" t="s">
        <v>74</v>
      </c>
      <c r="AD600" t="s">
        <v>74</v>
      </c>
      <c r="AE600" t="s">
        <v>74</v>
      </c>
      <c r="AF600" t="s">
        <v>74</v>
      </c>
      <c r="AG600">
        <v>36</v>
      </c>
      <c r="AH600">
        <v>0</v>
      </c>
      <c r="AI600">
        <v>0</v>
      </c>
      <c r="AJ600">
        <v>0</v>
      </c>
      <c r="AK600">
        <v>0</v>
      </c>
      <c r="AL600" t="s">
        <v>1188</v>
      </c>
      <c r="AM600" t="s">
        <v>93</v>
      </c>
      <c r="AN600" t="s">
        <v>1189</v>
      </c>
      <c r="AO600" t="s">
        <v>10817</v>
      </c>
      <c r="AP600" t="s">
        <v>10818</v>
      </c>
      <c r="AQ600" t="s">
        <v>74</v>
      </c>
      <c r="AR600" t="s">
        <v>10819</v>
      </c>
      <c r="AS600" t="s">
        <v>10820</v>
      </c>
      <c r="AT600" t="s">
        <v>10611</v>
      </c>
      <c r="AU600">
        <v>2023</v>
      </c>
      <c r="AV600" t="s">
        <v>74</v>
      </c>
      <c r="AW600" t="s">
        <v>74</v>
      </c>
      <c r="AX600" t="s">
        <v>74</v>
      </c>
      <c r="AY600" t="s">
        <v>74</v>
      </c>
      <c r="AZ600" t="s">
        <v>74</v>
      </c>
      <c r="BA600" t="s">
        <v>74</v>
      </c>
      <c r="BB600" t="s">
        <v>74</v>
      </c>
      <c r="BC600" t="s">
        <v>74</v>
      </c>
      <c r="BD600" t="s">
        <v>74</v>
      </c>
      <c r="BE600" t="s">
        <v>10821</v>
      </c>
      <c r="BF600" t="str">
        <f>HYPERLINK("http://dx.doi.org/10.1080/13811118.2023.2240870","http://dx.doi.org/10.1080/13811118.2023.2240870")</f>
        <v>http://dx.doi.org/10.1080/13811118.2023.2240870</v>
      </c>
      <c r="BG600" t="s">
        <v>74</v>
      </c>
      <c r="BH600" t="s">
        <v>8608</v>
      </c>
      <c r="BI600">
        <v>14</v>
      </c>
      <c r="BJ600" t="s">
        <v>10822</v>
      </c>
      <c r="BK600" t="s">
        <v>272</v>
      </c>
      <c r="BL600" t="s">
        <v>10823</v>
      </c>
      <c r="BM600" t="s">
        <v>10824</v>
      </c>
      <c r="BN600">
        <v>37578189</v>
      </c>
      <c r="BO600" t="s">
        <v>10825</v>
      </c>
      <c r="BP600" t="s">
        <v>74</v>
      </c>
      <c r="BQ600" t="s">
        <v>74</v>
      </c>
      <c r="BR600" t="s">
        <v>105</v>
      </c>
      <c r="BS600" t="s">
        <v>10826</v>
      </c>
      <c r="BT600" t="str">
        <f>HYPERLINK("https%3A%2F%2Fwww.webofscience.com%2Fwos%2Fwoscc%2Ffull-record%2FWOS:001047965000001","View Full Record in Web of Science")</f>
        <v>View Full Record in Web of Science</v>
      </c>
    </row>
    <row r="601" spans="1:72" x14ac:dyDescent="0.15">
      <c r="A601" t="s">
        <v>72</v>
      </c>
      <c r="B601" t="s">
        <v>10827</v>
      </c>
      <c r="C601" t="s">
        <v>74</v>
      </c>
      <c r="D601" t="s">
        <v>74</v>
      </c>
      <c r="E601" t="s">
        <v>74</v>
      </c>
      <c r="F601" t="s">
        <v>10828</v>
      </c>
      <c r="G601" t="s">
        <v>74</v>
      </c>
      <c r="H601" t="s">
        <v>74</v>
      </c>
      <c r="I601" t="s">
        <v>10829</v>
      </c>
      <c r="J601" t="s">
        <v>7433</v>
      </c>
      <c r="K601" t="s">
        <v>74</v>
      </c>
      <c r="L601" t="s">
        <v>74</v>
      </c>
      <c r="M601" t="s">
        <v>78</v>
      </c>
      <c r="N601" t="s">
        <v>5492</v>
      </c>
      <c r="O601" t="s">
        <v>74</v>
      </c>
      <c r="P601" t="s">
        <v>74</v>
      </c>
      <c r="Q601" t="s">
        <v>74</v>
      </c>
      <c r="R601" t="s">
        <v>74</v>
      </c>
      <c r="S601" t="s">
        <v>74</v>
      </c>
      <c r="T601" t="s">
        <v>10830</v>
      </c>
      <c r="U601" t="s">
        <v>10831</v>
      </c>
      <c r="V601" t="s">
        <v>10832</v>
      </c>
      <c r="W601" t="s">
        <v>10833</v>
      </c>
      <c r="X601" t="s">
        <v>10834</v>
      </c>
      <c r="Y601" t="s">
        <v>10835</v>
      </c>
      <c r="Z601" t="s">
        <v>10836</v>
      </c>
      <c r="AA601" t="s">
        <v>10837</v>
      </c>
      <c r="AB601" t="s">
        <v>10838</v>
      </c>
      <c r="AC601" t="s">
        <v>10839</v>
      </c>
      <c r="AD601" t="s">
        <v>10840</v>
      </c>
      <c r="AE601" t="s">
        <v>10841</v>
      </c>
      <c r="AF601" t="s">
        <v>74</v>
      </c>
      <c r="AG601">
        <v>53</v>
      </c>
      <c r="AH601">
        <v>0</v>
      </c>
      <c r="AI601">
        <v>0</v>
      </c>
      <c r="AJ601">
        <v>0</v>
      </c>
      <c r="AK601">
        <v>0</v>
      </c>
      <c r="AL601" t="s">
        <v>92</v>
      </c>
      <c r="AM601" t="s">
        <v>93</v>
      </c>
      <c r="AN601" t="s">
        <v>94</v>
      </c>
      <c r="AO601" t="s">
        <v>7441</v>
      </c>
      <c r="AP601" t="s">
        <v>7442</v>
      </c>
      <c r="AQ601" t="s">
        <v>74</v>
      </c>
      <c r="AR601" t="s">
        <v>7443</v>
      </c>
      <c r="AS601" t="s">
        <v>7444</v>
      </c>
      <c r="AT601" t="s">
        <v>10611</v>
      </c>
      <c r="AU601">
        <v>2023</v>
      </c>
      <c r="AV601" t="s">
        <v>74</v>
      </c>
      <c r="AW601" t="s">
        <v>74</v>
      </c>
      <c r="AX601" t="s">
        <v>74</v>
      </c>
      <c r="AY601" t="s">
        <v>74</v>
      </c>
      <c r="AZ601" t="s">
        <v>74</v>
      </c>
      <c r="BA601" t="s">
        <v>74</v>
      </c>
      <c r="BB601" t="s">
        <v>74</v>
      </c>
      <c r="BC601" t="s">
        <v>74</v>
      </c>
      <c r="BD601" t="s">
        <v>74</v>
      </c>
      <c r="BE601" t="s">
        <v>10842</v>
      </c>
      <c r="BF601" t="str">
        <f>HYPERLINK("http://dx.doi.org/10.1080/00223131.2023.2239885","http://dx.doi.org/10.1080/00223131.2023.2239885")</f>
        <v>http://dx.doi.org/10.1080/00223131.2023.2239885</v>
      </c>
      <c r="BG601" t="s">
        <v>74</v>
      </c>
      <c r="BH601" t="s">
        <v>8608</v>
      </c>
      <c r="BI601">
        <v>19</v>
      </c>
      <c r="BJ601" t="s">
        <v>7446</v>
      </c>
      <c r="BK601" t="s">
        <v>102</v>
      </c>
      <c r="BL601" t="s">
        <v>7446</v>
      </c>
      <c r="BM601" t="s">
        <v>10843</v>
      </c>
      <c r="BN601" t="s">
        <v>74</v>
      </c>
      <c r="BO601" t="s">
        <v>74</v>
      </c>
      <c r="BP601" t="s">
        <v>74</v>
      </c>
      <c r="BQ601" t="s">
        <v>74</v>
      </c>
      <c r="BR601" t="s">
        <v>105</v>
      </c>
      <c r="BS601" t="s">
        <v>10844</v>
      </c>
      <c r="BT601" t="str">
        <f>HYPERLINK("https%3A%2F%2Fwww.webofscience.com%2Fwos%2Fwoscc%2Ffull-record%2FWOS:001051744300001","View Full Record in Web of Science")</f>
        <v>View Full Record in Web of Science</v>
      </c>
    </row>
    <row r="602" spans="1:72" x14ac:dyDescent="0.15">
      <c r="A602" t="s">
        <v>72</v>
      </c>
      <c r="B602" t="s">
        <v>10845</v>
      </c>
      <c r="C602" t="s">
        <v>74</v>
      </c>
      <c r="D602" t="s">
        <v>74</v>
      </c>
      <c r="E602" t="s">
        <v>74</v>
      </c>
      <c r="F602" t="s">
        <v>10846</v>
      </c>
      <c r="G602" t="s">
        <v>74</v>
      </c>
      <c r="H602" t="s">
        <v>74</v>
      </c>
      <c r="I602" t="s">
        <v>10847</v>
      </c>
      <c r="J602" t="s">
        <v>10848</v>
      </c>
      <c r="K602" t="s">
        <v>74</v>
      </c>
      <c r="L602" t="s">
        <v>74</v>
      </c>
      <c r="M602" t="s">
        <v>78</v>
      </c>
      <c r="N602" t="s">
        <v>5492</v>
      </c>
      <c r="O602" t="s">
        <v>74</v>
      </c>
      <c r="P602" t="s">
        <v>74</v>
      </c>
      <c r="Q602" t="s">
        <v>74</v>
      </c>
      <c r="R602" t="s">
        <v>74</v>
      </c>
      <c r="S602" t="s">
        <v>74</v>
      </c>
      <c r="T602" t="s">
        <v>10849</v>
      </c>
      <c r="U602" t="s">
        <v>10850</v>
      </c>
      <c r="V602" t="s">
        <v>10851</v>
      </c>
      <c r="W602" t="s">
        <v>10852</v>
      </c>
      <c r="X602" t="s">
        <v>10853</v>
      </c>
      <c r="Y602" t="s">
        <v>10854</v>
      </c>
      <c r="Z602" t="s">
        <v>10855</v>
      </c>
      <c r="AA602" t="s">
        <v>74</v>
      </c>
      <c r="AB602" t="s">
        <v>74</v>
      </c>
      <c r="AC602" t="s">
        <v>74</v>
      </c>
      <c r="AD602" t="s">
        <v>74</v>
      </c>
      <c r="AE602" t="s">
        <v>74</v>
      </c>
      <c r="AF602" t="s">
        <v>74</v>
      </c>
      <c r="AG602">
        <v>62</v>
      </c>
      <c r="AH602">
        <v>0</v>
      </c>
      <c r="AI602">
        <v>0</v>
      </c>
      <c r="AJ602">
        <v>6</v>
      </c>
      <c r="AK602">
        <v>6</v>
      </c>
      <c r="AL602" t="s">
        <v>92</v>
      </c>
      <c r="AM602" t="s">
        <v>93</v>
      </c>
      <c r="AN602" t="s">
        <v>94</v>
      </c>
      <c r="AO602" t="s">
        <v>10856</v>
      </c>
      <c r="AP602" t="s">
        <v>10857</v>
      </c>
      <c r="AQ602" t="s">
        <v>74</v>
      </c>
      <c r="AR602" t="s">
        <v>10858</v>
      </c>
      <c r="AS602" t="s">
        <v>10859</v>
      </c>
      <c r="AT602" t="s">
        <v>10611</v>
      </c>
      <c r="AU602">
        <v>2023</v>
      </c>
      <c r="AV602" t="s">
        <v>74</v>
      </c>
      <c r="AW602" t="s">
        <v>74</v>
      </c>
      <c r="AX602" t="s">
        <v>74</v>
      </c>
      <c r="AY602" t="s">
        <v>74</v>
      </c>
      <c r="AZ602" t="s">
        <v>74</v>
      </c>
      <c r="BA602" t="s">
        <v>74</v>
      </c>
      <c r="BB602" t="s">
        <v>74</v>
      </c>
      <c r="BC602" t="s">
        <v>74</v>
      </c>
      <c r="BD602" t="s">
        <v>74</v>
      </c>
      <c r="BE602" t="s">
        <v>10860</v>
      </c>
      <c r="BF602" t="str">
        <f>HYPERLINK("http://dx.doi.org/10.1080/14693062.2023.2245792","http://dx.doi.org/10.1080/14693062.2023.2245792")</f>
        <v>http://dx.doi.org/10.1080/14693062.2023.2245792</v>
      </c>
      <c r="BG602" t="s">
        <v>74</v>
      </c>
      <c r="BH602" t="s">
        <v>8608</v>
      </c>
      <c r="BI602">
        <v>14</v>
      </c>
      <c r="BJ602" t="s">
        <v>10861</v>
      </c>
      <c r="BK602" t="s">
        <v>272</v>
      </c>
      <c r="BL602" t="s">
        <v>10862</v>
      </c>
      <c r="BM602" t="s">
        <v>10863</v>
      </c>
      <c r="BN602" t="s">
        <v>74</v>
      </c>
      <c r="BO602" t="s">
        <v>74</v>
      </c>
      <c r="BP602" t="s">
        <v>74</v>
      </c>
      <c r="BQ602" t="s">
        <v>74</v>
      </c>
      <c r="BR602" t="s">
        <v>105</v>
      </c>
      <c r="BS602" t="s">
        <v>10864</v>
      </c>
      <c r="BT602" t="str">
        <f>HYPERLINK("https%3A%2F%2Fwww.webofscience.com%2Fwos%2Fwoscc%2Ffull-record%2FWOS:001047945400001","View Full Record in Web of Science")</f>
        <v>View Full Record in Web of Science</v>
      </c>
    </row>
    <row r="603" spans="1:72" x14ac:dyDescent="0.15">
      <c r="A603" t="s">
        <v>72</v>
      </c>
      <c r="B603" t="s">
        <v>10865</v>
      </c>
      <c r="C603" t="s">
        <v>74</v>
      </c>
      <c r="D603" t="s">
        <v>74</v>
      </c>
      <c r="E603" t="s">
        <v>74</v>
      </c>
      <c r="F603" t="s">
        <v>10866</v>
      </c>
      <c r="G603" t="s">
        <v>74</v>
      </c>
      <c r="H603" t="s">
        <v>74</v>
      </c>
      <c r="I603" t="s">
        <v>10867</v>
      </c>
      <c r="J603" t="s">
        <v>10868</v>
      </c>
      <c r="K603" t="s">
        <v>74</v>
      </c>
      <c r="L603" t="s">
        <v>74</v>
      </c>
      <c r="M603" t="s">
        <v>78</v>
      </c>
      <c r="N603" t="s">
        <v>5492</v>
      </c>
      <c r="O603" t="s">
        <v>74</v>
      </c>
      <c r="P603" t="s">
        <v>74</v>
      </c>
      <c r="Q603" t="s">
        <v>74</v>
      </c>
      <c r="R603" t="s">
        <v>74</v>
      </c>
      <c r="S603" t="s">
        <v>74</v>
      </c>
      <c r="T603" t="s">
        <v>10869</v>
      </c>
      <c r="U603" t="s">
        <v>74</v>
      </c>
      <c r="V603" t="s">
        <v>10870</v>
      </c>
      <c r="W603" t="s">
        <v>10871</v>
      </c>
      <c r="X603" t="s">
        <v>10872</v>
      </c>
      <c r="Y603" t="s">
        <v>10873</v>
      </c>
      <c r="Z603" t="s">
        <v>10874</v>
      </c>
      <c r="AA603" t="s">
        <v>74</v>
      </c>
      <c r="AB603" t="s">
        <v>74</v>
      </c>
      <c r="AC603" t="s">
        <v>10875</v>
      </c>
      <c r="AD603" t="s">
        <v>10876</v>
      </c>
      <c r="AE603" t="s">
        <v>10877</v>
      </c>
      <c r="AF603" t="s">
        <v>74</v>
      </c>
      <c r="AG603">
        <v>29</v>
      </c>
      <c r="AH603">
        <v>0</v>
      </c>
      <c r="AI603">
        <v>0</v>
      </c>
      <c r="AJ603">
        <v>4</v>
      </c>
      <c r="AK603">
        <v>4</v>
      </c>
      <c r="AL603" t="s">
        <v>92</v>
      </c>
      <c r="AM603" t="s">
        <v>93</v>
      </c>
      <c r="AN603" t="s">
        <v>94</v>
      </c>
      <c r="AO603" t="s">
        <v>10878</v>
      </c>
      <c r="AP603" t="s">
        <v>10879</v>
      </c>
      <c r="AQ603" t="s">
        <v>74</v>
      </c>
      <c r="AR603" t="s">
        <v>10868</v>
      </c>
      <c r="AS603" t="s">
        <v>10880</v>
      </c>
      <c r="AT603" t="s">
        <v>10611</v>
      </c>
      <c r="AU603">
        <v>2023</v>
      </c>
      <c r="AV603" t="s">
        <v>74</v>
      </c>
      <c r="AW603" t="s">
        <v>74</v>
      </c>
      <c r="AX603" t="s">
        <v>74</v>
      </c>
      <c r="AY603" t="s">
        <v>74</v>
      </c>
      <c r="AZ603" t="s">
        <v>74</v>
      </c>
      <c r="BA603" t="s">
        <v>74</v>
      </c>
      <c r="BB603" t="s">
        <v>74</v>
      </c>
      <c r="BC603" t="s">
        <v>74</v>
      </c>
      <c r="BD603" t="s">
        <v>74</v>
      </c>
      <c r="BE603" t="s">
        <v>10881</v>
      </c>
      <c r="BF603" t="str">
        <f>HYPERLINK("http://dx.doi.org/10.1080/02331934.2023.2245406","http://dx.doi.org/10.1080/02331934.2023.2245406")</f>
        <v>http://dx.doi.org/10.1080/02331934.2023.2245406</v>
      </c>
      <c r="BG603" t="s">
        <v>74</v>
      </c>
      <c r="BH603" t="s">
        <v>8608</v>
      </c>
      <c r="BI603">
        <v>24</v>
      </c>
      <c r="BJ603" t="s">
        <v>10882</v>
      </c>
      <c r="BK603" t="s">
        <v>102</v>
      </c>
      <c r="BL603" t="s">
        <v>10883</v>
      </c>
      <c r="BM603" t="s">
        <v>10884</v>
      </c>
      <c r="BN603" t="s">
        <v>74</v>
      </c>
      <c r="BO603" t="s">
        <v>74</v>
      </c>
      <c r="BP603" t="s">
        <v>74</v>
      </c>
      <c r="BQ603" t="s">
        <v>74</v>
      </c>
      <c r="BR603" t="s">
        <v>105</v>
      </c>
      <c r="BS603" t="s">
        <v>10885</v>
      </c>
      <c r="BT603" t="str">
        <f>HYPERLINK("https%3A%2F%2Fwww.webofscience.com%2Fwos%2Fwoscc%2Ffull-record%2FWOS:001050333800001","View Full Record in Web of Science")</f>
        <v>View Full Record in Web of Science</v>
      </c>
    </row>
    <row r="604" spans="1:72" x14ac:dyDescent="0.15">
      <c r="A604" t="s">
        <v>72</v>
      </c>
      <c r="B604" t="s">
        <v>10886</v>
      </c>
      <c r="C604" t="s">
        <v>74</v>
      </c>
      <c r="D604" t="s">
        <v>74</v>
      </c>
      <c r="E604" t="s">
        <v>74</v>
      </c>
      <c r="F604" t="s">
        <v>10887</v>
      </c>
      <c r="G604" t="s">
        <v>74</v>
      </c>
      <c r="H604" t="s">
        <v>74</v>
      </c>
      <c r="I604" t="s">
        <v>10888</v>
      </c>
      <c r="J604" t="s">
        <v>10889</v>
      </c>
      <c r="K604" t="s">
        <v>74</v>
      </c>
      <c r="L604" t="s">
        <v>74</v>
      </c>
      <c r="M604" t="s">
        <v>78</v>
      </c>
      <c r="N604" t="s">
        <v>5492</v>
      </c>
      <c r="O604" t="s">
        <v>74</v>
      </c>
      <c r="P604" t="s">
        <v>74</v>
      </c>
      <c r="Q604" t="s">
        <v>74</v>
      </c>
      <c r="R604" t="s">
        <v>74</v>
      </c>
      <c r="S604" t="s">
        <v>74</v>
      </c>
      <c r="T604" t="s">
        <v>10890</v>
      </c>
      <c r="U604" t="s">
        <v>10891</v>
      </c>
      <c r="V604" t="s">
        <v>10892</v>
      </c>
      <c r="W604" t="s">
        <v>10893</v>
      </c>
      <c r="X604" t="s">
        <v>10894</v>
      </c>
      <c r="Y604" t="s">
        <v>10895</v>
      </c>
      <c r="Z604" t="s">
        <v>10896</v>
      </c>
      <c r="AA604" t="s">
        <v>74</v>
      </c>
      <c r="AB604" t="s">
        <v>74</v>
      </c>
      <c r="AC604" t="s">
        <v>10897</v>
      </c>
      <c r="AD604" t="s">
        <v>10898</v>
      </c>
      <c r="AE604" t="s">
        <v>10899</v>
      </c>
      <c r="AF604" t="s">
        <v>74</v>
      </c>
      <c r="AG604">
        <v>45</v>
      </c>
      <c r="AH604">
        <v>0</v>
      </c>
      <c r="AI604">
        <v>0</v>
      </c>
      <c r="AJ604">
        <v>0</v>
      </c>
      <c r="AK604">
        <v>0</v>
      </c>
      <c r="AL604" t="s">
        <v>92</v>
      </c>
      <c r="AM604" t="s">
        <v>93</v>
      </c>
      <c r="AN604" t="s">
        <v>94</v>
      </c>
      <c r="AO604" t="s">
        <v>10900</v>
      </c>
      <c r="AP604" t="s">
        <v>10901</v>
      </c>
      <c r="AQ604" t="s">
        <v>74</v>
      </c>
      <c r="AR604" t="s">
        <v>10902</v>
      </c>
      <c r="AS604" t="s">
        <v>10903</v>
      </c>
      <c r="AT604" t="s">
        <v>10611</v>
      </c>
      <c r="AU604">
        <v>2023</v>
      </c>
      <c r="AV604" t="s">
        <v>74</v>
      </c>
      <c r="AW604" t="s">
        <v>74</v>
      </c>
      <c r="AX604" t="s">
        <v>74</v>
      </c>
      <c r="AY604" t="s">
        <v>74</v>
      </c>
      <c r="AZ604" t="s">
        <v>74</v>
      </c>
      <c r="BA604" t="s">
        <v>74</v>
      </c>
      <c r="BB604" t="s">
        <v>74</v>
      </c>
      <c r="BC604" t="s">
        <v>74</v>
      </c>
      <c r="BD604" t="s">
        <v>74</v>
      </c>
      <c r="BE604" t="s">
        <v>10904</v>
      </c>
      <c r="BF604" t="str">
        <f>HYPERLINK("http://dx.doi.org/10.1080/19401493.2023.2245796","http://dx.doi.org/10.1080/19401493.2023.2245796")</f>
        <v>http://dx.doi.org/10.1080/19401493.2023.2245796</v>
      </c>
      <c r="BG604" t="s">
        <v>74</v>
      </c>
      <c r="BH604" t="s">
        <v>8608</v>
      </c>
      <c r="BI604">
        <v>15</v>
      </c>
      <c r="BJ604" t="s">
        <v>10905</v>
      </c>
      <c r="BK604" t="s">
        <v>102</v>
      </c>
      <c r="BL604" t="s">
        <v>10905</v>
      </c>
      <c r="BM604" t="s">
        <v>10906</v>
      </c>
      <c r="BN604" t="s">
        <v>74</v>
      </c>
      <c r="BO604" t="s">
        <v>74</v>
      </c>
      <c r="BP604" t="s">
        <v>74</v>
      </c>
      <c r="BQ604" t="s">
        <v>74</v>
      </c>
      <c r="BR604" t="s">
        <v>105</v>
      </c>
      <c r="BS604" t="s">
        <v>10907</v>
      </c>
      <c r="BT604" t="str">
        <f>HYPERLINK("https%3A%2F%2Fwww.webofscience.com%2Fwos%2Fwoscc%2Ffull-record%2FWOS:001049017400001","View Full Record in Web of Science")</f>
        <v>View Full Record in Web of Science</v>
      </c>
    </row>
    <row r="605" spans="1:72" x14ac:dyDescent="0.15">
      <c r="A605" t="s">
        <v>72</v>
      </c>
      <c r="B605" t="s">
        <v>10908</v>
      </c>
      <c r="C605" t="s">
        <v>74</v>
      </c>
      <c r="D605" t="s">
        <v>74</v>
      </c>
      <c r="E605" t="s">
        <v>74</v>
      </c>
      <c r="F605" t="s">
        <v>10909</v>
      </c>
      <c r="G605" t="s">
        <v>74</v>
      </c>
      <c r="H605" t="s">
        <v>74</v>
      </c>
      <c r="I605" t="s">
        <v>10910</v>
      </c>
      <c r="J605" t="s">
        <v>8767</v>
      </c>
      <c r="K605" t="s">
        <v>74</v>
      </c>
      <c r="L605" t="s">
        <v>74</v>
      </c>
      <c r="M605" t="s">
        <v>78</v>
      </c>
      <c r="N605" t="s">
        <v>5492</v>
      </c>
      <c r="O605" t="s">
        <v>74</v>
      </c>
      <c r="P605" t="s">
        <v>74</v>
      </c>
      <c r="Q605" t="s">
        <v>74</v>
      </c>
      <c r="R605" t="s">
        <v>74</v>
      </c>
      <c r="S605" t="s">
        <v>74</v>
      </c>
      <c r="T605" t="s">
        <v>10911</v>
      </c>
      <c r="U605" t="s">
        <v>10912</v>
      </c>
      <c r="V605" t="s">
        <v>10913</v>
      </c>
      <c r="W605" t="s">
        <v>10914</v>
      </c>
      <c r="X605" t="s">
        <v>10915</v>
      </c>
      <c r="Y605" t="s">
        <v>10916</v>
      </c>
      <c r="Z605" t="s">
        <v>10917</v>
      </c>
      <c r="AA605" t="s">
        <v>74</v>
      </c>
      <c r="AB605" t="s">
        <v>74</v>
      </c>
      <c r="AC605" t="s">
        <v>74</v>
      </c>
      <c r="AD605" t="s">
        <v>74</v>
      </c>
      <c r="AE605" t="s">
        <v>74</v>
      </c>
      <c r="AF605" t="s">
        <v>74</v>
      </c>
      <c r="AG605">
        <v>18</v>
      </c>
      <c r="AH605">
        <v>0</v>
      </c>
      <c r="AI605">
        <v>0</v>
      </c>
      <c r="AJ605">
        <v>2</v>
      </c>
      <c r="AK605">
        <v>2</v>
      </c>
      <c r="AL605" t="s">
        <v>92</v>
      </c>
      <c r="AM605" t="s">
        <v>93</v>
      </c>
      <c r="AN605" t="s">
        <v>94</v>
      </c>
      <c r="AO605" t="s">
        <v>8774</v>
      </c>
      <c r="AP605" t="s">
        <v>8775</v>
      </c>
      <c r="AQ605" t="s">
        <v>74</v>
      </c>
      <c r="AR605" t="s">
        <v>8776</v>
      </c>
      <c r="AS605" t="s">
        <v>8777</v>
      </c>
      <c r="AT605" t="s">
        <v>10611</v>
      </c>
      <c r="AU605">
        <v>2023</v>
      </c>
      <c r="AV605" t="s">
        <v>74</v>
      </c>
      <c r="AW605" t="s">
        <v>74</v>
      </c>
      <c r="AX605" t="s">
        <v>74</v>
      </c>
      <c r="AY605" t="s">
        <v>74</v>
      </c>
      <c r="AZ605" t="s">
        <v>74</v>
      </c>
      <c r="BA605" t="s">
        <v>74</v>
      </c>
      <c r="BB605" t="s">
        <v>74</v>
      </c>
      <c r="BC605" t="s">
        <v>74</v>
      </c>
      <c r="BD605" t="s">
        <v>74</v>
      </c>
      <c r="BE605" t="s">
        <v>10918</v>
      </c>
      <c r="BF605" t="str">
        <f>HYPERLINK("http://dx.doi.org/10.1080/00207217.2023.2245194","http://dx.doi.org/10.1080/00207217.2023.2245194")</f>
        <v>http://dx.doi.org/10.1080/00207217.2023.2245194</v>
      </c>
      <c r="BG605" t="s">
        <v>74</v>
      </c>
      <c r="BH605" t="s">
        <v>8608</v>
      </c>
      <c r="BI605">
        <v>13</v>
      </c>
      <c r="BJ605" t="s">
        <v>8780</v>
      </c>
      <c r="BK605" t="s">
        <v>102</v>
      </c>
      <c r="BL605" t="s">
        <v>1095</v>
      </c>
      <c r="BM605" t="s">
        <v>10919</v>
      </c>
      <c r="BN605" t="s">
        <v>74</v>
      </c>
      <c r="BO605" t="s">
        <v>74</v>
      </c>
      <c r="BP605" t="s">
        <v>74</v>
      </c>
      <c r="BQ605" t="s">
        <v>74</v>
      </c>
      <c r="BR605" t="s">
        <v>105</v>
      </c>
      <c r="BS605" t="s">
        <v>10920</v>
      </c>
      <c r="BT605" t="str">
        <f>HYPERLINK("https%3A%2F%2Fwww.webofscience.com%2Fwos%2Fwoscc%2Ffull-record%2FWOS:001045336500001","View Full Record in Web of Science")</f>
        <v>View Full Record in Web of Science</v>
      </c>
    </row>
    <row r="606" spans="1:72" x14ac:dyDescent="0.15">
      <c r="A606" t="s">
        <v>72</v>
      </c>
      <c r="B606" t="s">
        <v>10921</v>
      </c>
      <c r="C606" t="s">
        <v>74</v>
      </c>
      <c r="D606" t="s">
        <v>74</v>
      </c>
      <c r="E606" t="s">
        <v>74</v>
      </c>
      <c r="F606" t="s">
        <v>10922</v>
      </c>
      <c r="G606" t="s">
        <v>74</v>
      </c>
      <c r="H606" t="s">
        <v>74</v>
      </c>
      <c r="I606" t="s">
        <v>10923</v>
      </c>
      <c r="J606" t="s">
        <v>10924</v>
      </c>
      <c r="K606" t="s">
        <v>74</v>
      </c>
      <c r="L606" t="s">
        <v>74</v>
      </c>
      <c r="M606" t="s">
        <v>78</v>
      </c>
      <c r="N606" t="s">
        <v>79</v>
      </c>
      <c r="O606" t="s">
        <v>74</v>
      </c>
      <c r="P606" t="s">
        <v>74</v>
      </c>
      <c r="Q606" t="s">
        <v>74</v>
      </c>
      <c r="R606" t="s">
        <v>74</v>
      </c>
      <c r="S606" t="s">
        <v>74</v>
      </c>
      <c r="T606" t="s">
        <v>10925</v>
      </c>
      <c r="U606" t="s">
        <v>10926</v>
      </c>
      <c r="V606" t="s">
        <v>10927</v>
      </c>
      <c r="W606" t="s">
        <v>10928</v>
      </c>
      <c r="X606" t="s">
        <v>10929</v>
      </c>
      <c r="Y606" t="s">
        <v>10930</v>
      </c>
      <c r="Z606" t="s">
        <v>74</v>
      </c>
      <c r="AA606" t="s">
        <v>74</v>
      </c>
      <c r="AB606" t="s">
        <v>10931</v>
      </c>
      <c r="AC606" t="s">
        <v>10932</v>
      </c>
      <c r="AD606" t="s">
        <v>10932</v>
      </c>
      <c r="AE606" t="s">
        <v>10932</v>
      </c>
      <c r="AF606" t="s">
        <v>74</v>
      </c>
      <c r="AG606">
        <v>21</v>
      </c>
      <c r="AH606">
        <v>0</v>
      </c>
      <c r="AI606">
        <v>0</v>
      </c>
      <c r="AJ606">
        <v>1</v>
      </c>
      <c r="AK606">
        <v>1</v>
      </c>
      <c r="AL606" t="s">
        <v>184</v>
      </c>
      <c r="AM606" t="s">
        <v>185</v>
      </c>
      <c r="AN606" t="s">
        <v>186</v>
      </c>
      <c r="AO606" t="s">
        <v>10933</v>
      </c>
      <c r="AP606" t="s">
        <v>10934</v>
      </c>
      <c r="AQ606" t="s">
        <v>74</v>
      </c>
      <c r="AR606" t="s">
        <v>10935</v>
      </c>
      <c r="AS606" t="s">
        <v>10936</v>
      </c>
      <c r="AT606" t="s">
        <v>10937</v>
      </c>
      <c r="AU606">
        <v>2023</v>
      </c>
      <c r="AV606" t="s">
        <v>74</v>
      </c>
      <c r="AW606" t="s">
        <v>74</v>
      </c>
      <c r="AX606" t="s">
        <v>74</v>
      </c>
      <c r="AY606" t="s">
        <v>74</v>
      </c>
      <c r="AZ606" t="s">
        <v>74</v>
      </c>
      <c r="BA606" t="s">
        <v>74</v>
      </c>
      <c r="BB606" t="s">
        <v>74</v>
      </c>
      <c r="BC606" t="s">
        <v>74</v>
      </c>
      <c r="BD606">
        <v>2246467</v>
      </c>
      <c r="BE606" t="s">
        <v>10938</v>
      </c>
      <c r="BF606" t="str">
        <f>HYPERLINK("http://dx.doi.org/10.1080/15325008.2023.2246467","http://dx.doi.org/10.1080/15325008.2023.2246467")</f>
        <v>http://dx.doi.org/10.1080/15325008.2023.2246467</v>
      </c>
      <c r="BG606" t="s">
        <v>74</v>
      </c>
      <c r="BH606" t="s">
        <v>74</v>
      </c>
      <c r="BI606">
        <v>10</v>
      </c>
      <c r="BJ606" t="s">
        <v>8780</v>
      </c>
      <c r="BK606" t="s">
        <v>102</v>
      </c>
      <c r="BL606" t="s">
        <v>1095</v>
      </c>
      <c r="BM606" t="s">
        <v>10939</v>
      </c>
      <c r="BN606" t="s">
        <v>74</v>
      </c>
      <c r="BO606" t="s">
        <v>74</v>
      </c>
      <c r="BP606" t="s">
        <v>74</v>
      </c>
      <c r="BQ606" t="s">
        <v>74</v>
      </c>
      <c r="BR606" t="s">
        <v>105</v>
      </c>
      <c r="BS606" t="s">
        <v>10940</v>
      </c>
      <c r="BT606" t="str">
        <f>HYPERLINK("https%3A%2F%2Fwww.webofscience.com%2Fwos%2Fwoscc%2Ffull-record%2FWOS:001053469600001","View Full Record in Web of Science")</f>
        <v>View Full Record in Web of Science</v>
      </c>
    </row>
    <row r="607" spans="1:72" x14ac:dyDescent="0.15">
      <c r="A607" t="s">
        <v>72</v>
      </c>
      <c r="B607" t="s">
        <v>10941</v>
      </c>
      <c r="C607" t="s">
        <v>74</v>
      </c>
      <c r="D607" t="s">
        <v>74</v>
      </c>
      <c r="E607" t="s">
        <v>74</v>
      </c>
      <c r="F607" t="s">
        <v>10942</v>
      </c>
      <c r="G607" t="s">
        <v>74</v>
      </c>
      <c r="H607" t="s">
        <v>74</v>
      </c>
      <c r="I607" t="s">
        <v>10943</v>
      </c>
      <c r="J607" t="s">
        <v>6921</v>
      </c>
      <c r="K607" t="s">
        <v>74</v>
      </c>
      <c r="L607" t="s">
        <v>74</v>
      </c>
      <c r="M607" t="s">
        <v>78</v>
      </c>
      <c r="N607" t="s">
        <v>9926</v>
      </c>
      <c r="O607" t="s">
        <v>74</v>
      </c>
      <c r="P607" t="s">
        <v>74</v>
      </c>
      <c r="Q607" t="s">
        <v>74</v>
      </c>
      <c r="R607" t="s">
        <v>74</v>
      </c>
      <c r="S607" t="s">
        <v>74</v>
      </c>
      <c r="T607" t="s">
        <v>74</v>
      </c>
      <c r="U607" t="s">
        <v>74</v>
      </c>
      <c r="V607" t="s">
        <v>74</v>
      </c>
      <c r="W607" t="s">
        <v>74</v>
      </c>
      <c r="X607" t="s">
        <v>74</v>
      </c>
      <c r="Y607" t="s">
        <v>74</v>
      </c>
      <c r="Z607" t="s">
        <v>74</v>
      </c>
      <c r="AA607" t="s">
        <v>74</v>
      </c>
      <c r="AB607" t="s">
        <v>74</v>
      </c>
      <c r="AC607" t="s">
        <v>74</v>
      </c>
      <c r="AD607" t="s">
        <v>74</v>
      </c>
      <c r="AE607" t="s">
        <v>74</v>
      </c>
      <c r="AF607" t="s">
        <v>74</v>
      </c>
      <c r="AG607">
        <v>1</v>
      </c>
      <c r="AH607">
        <v>0</v>
      </c>
      <c r="AI607">
        <v>0</v>
      </c>
      <c r="AJ607">
        <v>0</v>
      </c>
      <c r="AK607">
        <v>0</v>
      </c>
      <c r="AL607" t="s">
        <v>92</v>
      </c>
      <c r="AM607" t="s">
        <v>93</v>
      </c>
      <c r="AN607" t="s">
        <v>94</v>
      </c>
      <c r="AO607" t="s">
        <v>6929</v>
      </c>
      <c r="AP607" t="s">
        <v>6930</v>
      </c>
      <c r="AQ607" t="s">
        <v>74</v>
      </c>
      <c r="AR607" t="s">
        <v>6931</v>
      </c>
      <c r="AS607" t="s">
        <v>6932</v>
      </c>
      <c r="AT607" t="s">
        <v>10944</v>
      </c>
      <c r="AU607">
        <v>2023</v>
      </c>
      <c r="AV607" t="s">
        <v>74</v>
      </c>
      <c r="AW607" t="s">
        <v>74</v>
      </c>
      <c r="AX607" t="s">
        <v>74</v>
      </c>
      <c r="AY607" t="s">
        <v>74</v>
      </c>
      <c r="AZ607" t="s">
        <v>74</v>
      </c>
      <c r="BA607" t="s">
        <v>74</v>
      </c>
      <c r="BB607" t="s">
        <v>74</v>
      </c>
      <c r="BC607" t="s">
        <v>74</v>
      </c>
      <c r="BD607" t="s">
        <v>74</v>
      </c>
      <c r="BE607" t="s">
        <v>10945</v>
      </c>
      <c r="BF607" t="str">
        <f>HYPERLINK("http://dx.doi.org/10.1080/0284186X.2023.2244794","http://dx.doi.org/10.1080/0284186X.2023.2244794")</f>
        <v>http://dx.doi.org/10.1080/0284186X.2023.2244794</v>
      </c>
      <c r="BG607" t="s">
        <v>74</v>
      </c>
      <c r="BH607" t="s">
        <v>8608</v>
      </c>
      <c r="BI607">
        <v>1</v>
      </c>
      <c r="BJ607" t="s">
        <v>1353</v>
      </c>
      <c r="BK607" t="s">
        <v>102</v>
      </c>
      <c r="BL607" t="s">
        <v>1353</v>
      </c>
      <c r="BM607" t="s">
        <v>10946</v>
      </c>
      <c r="BN607" t="s">
        <v>74</v>
      </c>
      <c r="BO607" t="s">
        <v>5391</v>
      </c>
      <c r="BP607" t="s">
        <v>74</v>
      </c>
      <c r="BQ607" t="s">
        <v>74</v>
      </c>
      <c r="BR607" t="s">
        <v>105</v>
      </c>
      <c r="BS607" t="s">
        <v>10947</v>
      </c>
      <c r="BT607" t="str">
        <f>HYPERLINK("https%3A%2F%2Fwww.webofscience.com%2Fwos%2Fwoscc%2Ffull-record%2FWOS:001048495900001","View Full Record in Web of Science")</f>
        <v>View Full Record in Web of Science</v>
      </c>
    </row>
    <row r="608" spans="1:72" x14ac:dyDescent="0.15">
      <c r="A608" t="s">
        <v>72</v>
      </c>
      <c r="B608" t="s">
        <v>10948</v>
      </c>
      <c r="C608" t="s">
        <v>74</v>
      </c>
      <c r="D608" t="s">
        <v>74</v>
      </c>
      <c r="E608" t="s">
        <v>74</v>
      </c>
      <c r="F608" t="s">
        <v>10949</v>
      </c>
      <c r="G608" t="s">
        <v>74</v>
      </c>
      <c r="H608" t="s">
        <v>74</v>
      </c>
      <c r="I608" t="s">
        <v>10950</v>
      </c>
      <c r="J608" t="s">
        <v>10951</v>
      </c>
      <c r="K608" t="s">
        <v>74</v>
      </c>
      <c r="L608" t="s">
        <v>74</v>
      </c>
      <c r="M608" t="s">
        <v>78</v>
      </c>
      <c r="N608" t="s">
        <v>5492</v>
      </c>
      <c r="O608" t="s">
        <v>74</v>
      </c>
      <c r="P608" t="s">
        <v>74</v>
      </c>
      <c r="Q608" t="s">
        <v>74</v>
      </c>
      <c r="R608" t="s">
        <v>74</v>
      </c>
      <c r="S608" t="s">
        <v>74</v>
      </c>
      <c r="T608" t="s">
        <v>10952</v>
      </c>
      <c r="U608" t="s">
        <v>10953</v>
      </c>
      <c r="V608" t="s">
        <v>10954</v>
      </c>
      <c r="W608" t="s">
        <v>10955</v>
      </c>
      <c r="X608" t="s">
        <v>10956</v>
      </c>
      <c r="Y608" t="s">
        <v>10957</v>
      </c>
      <c r="Z608" t="s">
        <v>10958</v>
      </c>
      <c r="AA608" t="s">
        <v>74</v>
      </c>
      <c r="AB608" t="s">
        <v>74</v>
      </c>
      <c r="AC608" t="s">
        <v>74</v>
      </c>
      <c r="AD608" t="s">
        <v>74</v>
      </c>
      <c r="AE608" t="s">
        <v>74</v>
      </c>
      <c r="AF608" t="s">
        <v>74</v>
      </c>
      <c r="AG608">
        <v>61</v>
      </c>
      <c r="AH608">
        <v>0</v>
      </c>
      <c r="AI608">
        <v>0</v>
      </c>
      <c r="AJ608">
        <v>0</v>
      </c>
      <c r="AK608">
        <v>0</v>
      </c>
      <c r="AL608" t="s">
        <v>1188</v>
      </c>
      <c r="AM608" t="s">
        <v>93</v>
      </c>
      <c r="AN608" t="s">
        <v>1189</v>
      </c>
      <c r="AO608" t="s">
        <v>10959</v>
      </c>
      <c r="AP608" t="s">
        <v>10960</v>
      </c>
      <c r="AQ608" t="s">
        <v>74</v>
      </c>
      <c r="AR608" t="s">
        <v>10961</v>
      </c>
      <c r="AS608" t="s">
        <v>10962</v>
      </c>
      <c r="AT608" t="s">
        <v>10944</v>
      </c>
      <c r="AU608">
        <v>2023</v>
      </c>
      <c r="AV608" t="s">
        <v>74</v>
      </c>
      <c r="AW608" t="s">
        <v>74</v>
      </c>
      <c r="AX608" t="s">
        <v>74</v>
      </c>
      <c r="AY608" t="s">
        <v>74</v>
      </c>
      <c r="AZ608" t="s">
        <v>74</v>
      </c>
      <c r="BA608" t="s">
        <v>74</v>
      </c>
      <c r="BB608" t="s">
        <v>74</v>
      </c>
      <c r="BC608" t="s">
        <v>74</v>
      </c>
      <c r="BD608" t="s">
        <v>74</v>
      </c>
      <c r="BE608" t="s">
        <v>10963</v>
      </c>
      <c r="BF608" t="str">
        <f>HYPERLINK("http://dx.doi.org/10.1080/10572252.2023.2245442","http://dx.doi.org/10.1080/10572252.2023.2245442")</f>
        <v>http://dx.doi.org/10.1080/10572252.2023.2245442</v>
      </c>
      <c r="BG608" t="s">
        <v>74</v>
      </c>
      <c r="BH608" t="s">
        <v>8608</v>
      </c>
      <c r="BI608">
        <v>16</v>
      </c>
      <c r="BJ608" t="s">
        <v>7911</v>
      </c>
      <c r="BK608" t="s">
        <v>211</v>
      </c>
      <c r="BL608" t="s">
        <v>7911</v>
      </c>
      <c r="BM608" t="s">
        <v>10964</v>
      </c>
      <c r="BN608" t="s">
        <v>74</v>
      </c>
      <c r="BO608" t="s">
        <v>74</v>
      </c>
      <c r="BP608" t="s">
        <v>74</v>
      </c>
      <c r="BQ608" t="s">
        <v>74</v>
      </c>
      <c r="BR608" t="s">
        <v>105</v>
      </c>
      <c r="BS608" t="s">
        <v>10965</v>
      </c>
      <c r="BT608" t="str">
        <f>HYPERLINK("https%3A%2F%2Fwww.webofscience.com%2Fwos%2Fwoscc%2Ffull-record%2FWOS:001045332900001","View Full Record in Web of Science")</f>
        <v>View Full Record in Web of Science</v>
      </c>
    </row>
    <row r="609" spans="1:72" x14ac:dyDescent="0.15">
      <c r="A609" t="s">
        <v>72</v>
      </c>
      <c r="B609" t="s">
        <v>10966</v>
      </c>
      <c r="C609" t="s">
        <v>74</v>
      </c>
      <c r="D609" t="s">
        <v>74</v>
      </c>
      <c r="E609" t="s">
        <v>74</v>
      </c>
      <c r="F609" t="s">
        <v>10967</v>
      </c>
      <c r="G609" t="s">
        <v>74</v>
      </c>
      <c r="H609" t="s">
        <v>74</v>
      </c>
      <c r="I609" t="s">
        <v>10968</v>
      </c>
      <c r="J609" t="s">
        <v>10969</v>
      </c>
      <c r="K609" t="s">
        <v>74</v>
      </c>
      <c r="L609" t="s">
        <v>74</v>
      </c>
      <c r="M609" t="s">
        <v>78</v>
      </c>
      <c r="N609" t="s">
        <v>5492</v>
      </c>
      <c r="O609" t="s">
        <v>74</v>
      </c>
      <c r="P609" t="s">
        <v>74</v>
      </c>
      <c r="Q609" t="s">
        <v>74</v>
      </c>
      <c r="R609" t="s">
        <v>74</v>
      </c>
      <c r="S609" t="s">
        <v>74</v>
      </c>
      <c r="T609" t="s">
        <v>10970</v>
      </c>
      <c r="U609" t="s">
        <v>10971</v>
      </c>
      <c r="V609" t="s">
        <v>10972</v>
      </c>
      <c r="W609" t="s">
        <v>10973</v>
      </c>
      <c r="X609" t="s">
        <v>10974</v>
      </c>
      <c r="Y609" t="s">
        <v>10975</v>
      </c>
      <c r="Z609" t="s">
        <v>10976</v>
      </c>
      <c r="AA609" t="s">
        <v>74</v>
      </c>
      <c r="AB609" t="s">
        <v>74</v>
      </c>
      <c r="AC609" t="s">
        <v>74</v>
      </c>
      <c r="AD609" t="s">
        <v>74</v>
      </c>
      <c r="AE609" t="s">
        <v>74</v>
      </c>
      <c r="AF609" t="s">
        <v>74</v>
      </c>
      <c r="AG609">
        <v>67</v>
      </c>
      <c r="AH609">
        <v>0</v>
      </c>
      <c r="AI609">
        <v>0</v>
      </c>
      <c r="AJ609">
        <v>0</v>
      </c>
      <c r="AK609">
        <v>0</v>
      </c>
      <c r="AL609" t="s">
        <v>92</v>
      </c>
      <c r="AM609" t="s">
        <v>93</v>
      </c>
      <c r="AN609" t="s">
        <v>94</v>
      </c>
      <c r="AO609" t="s">
        <v>10977</v>
      </c>
      <c r="AP609" t="s">
        <v>10978</v>
      </c>
      <c r="AQ609" t="s">
        <v>74</v>
      </c>
      <c r="AR609" t="s">
        <v>10979</v>
      </c>
      <c r="AS609" t="s">
        <v>10980</v>
      </c>
      <c r="AT609" t="s">
        <v>10944</v>
      </c>
      <c r="AU609">
        <v>2023</v>
      </c>
      <c r="AV609" t="s">
        <v>74</v>
      </c>
      <c r="AW609" t="s">
        <v>74</v>
      </c>
      <c r="AX609" t="s">
        <v>74</v>
      </c>
      <c r="AY609" t="s">
        <v>74</v>
      </c>
      <c r="AZ609" t="s">
        <v>74</v>
      </c>
      <c r="BA609" t="s">
        <v>74</v>
      </c>
      <c r="BB609" t="s">
        <v>74</v>
      </c>
      <c r="BC609" t="s">
        <v>74</v>
      </c>
      <c r="BD609" t="s">
        <v>74</v>
      </c>
      <c r="BE609" t="s">
        <v>10981</v>
      </c>
      <c r="BF609" t="str">
        <f>HYPERLINK("http://dx.doi.org/10.1080/21681163.2023.2244603","http://dx.doi.org/10.1080/21681163.2023.2244603")</f>
        <v>http://dx.doi.org/10.1080/21681163.2023.2244603</v>
      </c>
      <c r="BG609" t="s">
        <v>74</v>
      </c>
      <c r="BH609" t="s">
        <v>8608</v>
      </c>
      <c r="BI609">
        <v>17</v>
      </c>
      <c r="BJ609" t="s">
        <v>10982</v>
      </c>
      <c r="BK609" t="s">
        <v>211</v>
      </c>
      <c r="BL609" t="s">
        <v>1095</v>
      </c>
      <c r="BM609" t="s">
        <v>10983</v>
      </c>
      <c r="BN609" t="s">
        <v>74</v>
      </c>
      <c r="BO609" t="s">
        <v>74</v>
      </c>
      <c r="BP609" t="s">
        <v>74</v>
      </c>
      <c r="BQ609" t="s">
        <v>74</v>
      </c>
      <c r="BR609" t="s">
        <v>105</v>
      </c>
      <c r="BS609" t="s">
        <v>10984</v>
      </c>
      <c r="BT609" t="str">
        <f>HYPERLINK("https%3A%2F%2Fwww.webofscience.com%2Fwos%2Fwoscc%2Ffull-record%2FWOS:001047955800001","View Full Record in Web of Science")</f>
        <v>View Full Record in Web of Science</v>
      </c>
    </row>
    <row r="610" spans="1:72" x14ac:dyDescent="0.15">
      <c r="A610" t="s">
        <v>72</v>
      </c>
      <c r="B610" t="s">
        <v>10985</v>
      </c>
      <c r="C610" t="s">
        <v>74</v>
      </c>
      <c r="D610" t="s">
        <v>74</v>
      </c>
      <c r="E610" t="s">
        <v>74</v>
      </c>
      <c r="F610" t="s">
        <v>10986</v>
      </c>
      <c r="G610" t="s">
        <v>74</v>
      </c>
      <c r="H610" t="s">
        <v>74</v>
      </c>
      <c r="I610" t="s">
        <v>10987</v>
      </c>
      <c r="J610" t="s">
        <v>10988</v>
      </c>
      <c r="K610" t="s">
        <v>74</v>
      </c>
      <c r="L610" t="s">
        <v>74</v>
      </c>
      <c r="M610" t="s">
        <v>78</v>
      </c>
      <c r="N610" t="s">
        <v>6253</v>
      </c>
      <c r="O610" t="s">
        <v>74</v>
      </c>
      <c r="P610" t="s">
        <v>74</v>
      </c>
      <c r="Q610" t="s">
        <v>74</v>
      </c>
      <c r="R610" t="s">
        <v>74</v>
      </c>
      <c r="S610" t="s">
        <v>74</v>
      </c>
      <c r="T610" t="s">
        <v>74</v>
      </c>
      <c r="U610" t="s">
        <v>74</v>
      </c>
      <c r="V610" t="s">
        <v>74</v>
      </c>
      <c r="W610" t="s">
        <v>10989</v>
      </c>
      <c r="X610" t="s">
        <v>10990</v>
      </c>
      <c r="Y610" t="s">
        <v>10991</v>
      </c>
      <c r="Z610" t="s">
        <v>10992</v>
      </c>
      <c r="AA610" t="s">
        <v>74</v>
      </c>
      <c r="AB610" t="s">
        <v>10993</v>
      </c>
      <c r="AC610" t="s">
        <v>74</v>
      </c>
      <c r="AD610" t="s">
        <v>74</v>
      </c>
      <c r="AE610" t="s">
        <v>74</v>
      </c>
      <c r="AF610" t="s">
        <v>74</v>
      </c>
      <c r="AG610">
        <v>2</v>
      </c>
      <c r="AH610">
        <v>0</v>
      </c>
      <c r="AI610">
        <v>0</v>
      </c>
      <c r="AJ610">
        <v>0</v>
      </c>
      <c r="AK610">
        <v>0</v>
      </c>
      <c r="AL610" t="s">
        <v>92</v>
      </c>
      <c r="AM610" t="s">
        <v>93</v>
      </c>
      <c r="AN610" t="s">
        <v>94</v>
      </c>
      <c r="AO610" t="s">
        <v>10994</v>
      </c>
      <c r="AP610" t="s">
        <v>10995</v>
      </c>
      <c r="AQ610" t="s">
        <v>74</v>
      </c>
      <c r="AR610" t="s">
        <v>10996</v>
      </c>
      <c r="AS610" t="s">
        <v>10997</v>
      </c>
      <c r="AT610" t="s">
        <v>10944</v>
      </c>
      <c r="AU610">
        <v>2023</v>
      </c>
      <c r="AV610" t="s">
        <v>74</v>
      </c>
      <c r="AW610" t="s">
        <v>74</v>
      </c>
      <c r="AX610" t="s">
        <v>74</v>
      </c>
      <c r="AY610" t="s">
        <v>74</v>
      </c>
      <c r="AZ610" t="s">
        <v>74</v>
      </c>
      <c r="BA610" t="s">
        <v>74</v>
      </c>
      <c r="BB610" t="s">
        <v>74</v>
      </c>
      <c r="BC610" t="s">
        <v>74</v>
      </c>
      <c r="BD610" t="s">
        <v>74</v>
      </c>
      <c r="BE610" t="s">
        <v>10998</v>
      </c>
      <c r="BF610" t="str">
        <f>HYPERLINK("http://dx.doi.org/10.1080/03721426.2023.2244786","http://dx.doi.org/10.1080/03721426.2023.2244786")</f>
        <v>http://dx.doi.org/10.1080/03721426.2023.2244786</v>
      </c>
      <c r="BG610" t="s">
        <v>74</v>
      </c>
      <c r="BH610" t="s">
        <v>8608</v>
      </c>
      <c r="BI610">
        <v>3</v>
      </c>
      <c r="BJ610" t="s">
        <v>352</v>
      </c>
      <c r="BK610" t="s">
        <v>102</v>
      </c>
      <c r="BL610" t="s">
        <v>353</v>
      </c>
      <c r="BM610" t="s">
        <v>10999</v>
      </c>
      <c r="BN610" t="s">
        <v>74</v>
      </c>
      <c r="BO610" t="s">
        <v>74</v>
      </c>
      <c r="BP610" t="s">
        <v>74</v>
      </c>
      <c r="BQ610" t="s">
        <v>74</v>
      </c>
      <c r="BR610" t="s">
        <v>105</v>
      </c>
      <c r="BS610" t="s">
        <v>11000</v>
      </c>
      <c r="BT610" t="str">
        <f>HYPERLINK("https%3A%2F%2Fwww.webofscience.com%2Fwos%2Fwoscc%2Ffull-record%2FWOS:001046136400001","View Full Record in Web of Science")</f>
        <v>View Full Record in Web of Science</v>
      </c>
    </row>
    <row r="611" spans="1:72" x14ac:dyDescent="0.15">
      <c r="A611" t="s">
        <v>72</v>
      </c>
      <c r="B611" t="s">
        <v>11001</v>
      </c>
      <c r="C611" t="s">
        <v>74</v>
      </c>
      <c r="D611" t="s">
        <v>74</v>
      </c>
      <c r="E611" t="s">
        <v>74</v>
      </c>
      <c r="F611" t="s">
        <v>11002</v>
      </c>
      <c r="G611" t="s">
        <v>74</v>
      </c>
      <c r="H611" t="s">
        <v>74</v>
      </c>
      <c r="I611" t="s">
        <v>11003</v>
      </c>
      <c r="J611" t="s">
        <v>11004</v>
      </c>
      <c r="K611" t="s">
        <v>74</v>
      </c>
      <c r="L611" t="s">
        <v>74</v>
      </c>
      <c r="M611" t="s">
        <v>78</v>
      </c>
      <c r="N611" t="s">
        <v>5492</v>
      </c>
      <c r="O611" t="s">
        <v>74</v>
      </c>
      <c r="P611" t="s">
        <v>74</v>
      </c>
      <c r="Q611" t="s">
        <v>74</v>
      </c>
      <c r="R611" t="s">
        <v>74</v>
      </c>
      <c r="S611" t="s">
        <v>74</v>
      </c>
      <c r="T611" t="s">
        <v>11005</v>
      </c>
      <c r="U611" t="s">
        <v>11006</v>
      </c>
      <c r="V611" t="s">
        <v>11007</v>
      </c>
      <c r="W611" t="s">
        <v>11008</v>
      </c>
      <c r="X611" t="s">
        <v>11009</v>
      </c>
      <c r="Y611" t="s">
        <v>11010</v>
      </c>
      <c r="Z611" t="s">
        <v>11011</v>
      </c>
      <c r="AA611" t="s">
        <v>74</v>
      </c>
      <c r="AB611" t="s">
        <v>74</v>
      </c>
      <c r="AC611" t="s">
        <v>74</v>
      </c>
      <c r="AD611" t="s">
        <v>74</v>
      </c>
      <c r="AE611" t="s">
        <v>74</v>
      </c>
      <c r="AF611" t="s">
        <v>74</v>
      </c>
      <c r="AG611">
        <v>30</v>
      </c>
      <c r="AH611">
        <v>0</v>
      </c>
      <c r="AI611">
        <v>0</v>
      </c>
      <c r="AJ611">
        <v>0</v>
      </c>
      <c r="AK611">
        <v>0</v>
      </c>
      <c r="AL611" t="s">
        <v>92</v>
      </c>
      <c r="AM611" t="s">
        <v>93</v>
      </c>
      <c r="AN611" t="s">
        <v>94</v>
      </c>
      <c r="AO611" t="s">
        <v>11012</v>
      </c>
      <c r="AP611" t="s">
        <v>11013</v>
      </c>
      <c r="AQ611" t="s">
        <v>74</v>
      </c>
      <c r="AR611" t="s">
        <v>11014</v>
      </c>
      <c r="AS611" t="s">
        <v>11015</v>
      </c>
      <c r="AT611" t="s">
        <v>11016</v>
      </c>
      <c r="AU611">
        <v>2023</v>
      </c>
      <c r="AV611" t="s">
        <v>74</v>
      </c>
      <c r="AW611" t="s">
        <v>74</v>
      </c>
      <c r="AX611" t="s">
        <v>74</v>
      </c>
      <c r="AY611" t="s">
        <v>74</v>
      </c>
      <c r="AZ611" t="s">
        <v>74</v>
      </c>
      <c r="BA611" t="s">
        <v>74</v>
      </c>
      <c r="BB611" t="s">
        <v>74</v>
      </c>
      <c r="BC611" t="s">
        <v>74</v>
      </c>
      <c r="BD611" t="s">
        <v>74</v>
      </c>
      <c r="BE611" t="s">
        <v>11017</v>
      </c>
      <c r="BF611" t="str">
        <f>HYPERLINK("http://dx.doi.org/10.1080/02664763.2023.2245179","http://dx.doi.org/10.1080/02664763.2023.2245179")</f>
        <v>http://dx.doi.org/10.1080/02664763.2023.2245179</v>
      </c>
      <c r="BG611" t="s">
        <v>74</v>
      </c>
      <c r="BH611" t="s">
        <v>8608</v>
      </c>
      <c r="BI611">
        <v>17</v>
      </c>
      <c r="BJ611" t="s">
        <v>5630</v>
      </c>
      <c r="BK611" t="s">
        <v>102</v>
      </c>
      <c r="BL611" t="s">
        <v>5435</v>
      </c>
      <c r="BM611" t="s">
        <v>11018</v>
      </c>
      <c r="BN611" t="s">
        <v>74</v>
      </c>
      <c r="BO611" t="s">
        <v>74</v>
      </c>
      <c r="BP611" t="s">
        <v>74</v>
      </c>
      <c r="BQ611" t="s">
        <v>74</v>
      </c>
      <c r="BR611" t="s">
        <v>105</v>
      </c>
      <c r="BS611" t="s">
        <v>11019</v>
      </c>
      <c r="BT611" t="str">
        <f>HYPERLINK("https%3A%2F%2Fwww.webofscience.com%2Fwos%2Fwoscc%2Ffull-record%2FWOS:001044771400001","View Full Record in Web of Science")</f>
        <v>View Full Record in Web of Science</v>
      </c>
    </row>
    <row r="612" spans="1:72" x14ac:dyDescent="0.15">
      <c r="A612" t="s">
        <v>72</v>
      </c>
      <c r="B612" t="s">
        <v>11020</v>
      </c>
      <c r="C612" t="s">
        <v>74</v>
      </c>
      <c r="D612" t="s">
        <v>74</v>
      </c>
      <c r="E612" t="s">
        <v>74</v>
      </c>
      <c r="F612" t="s">
        <v>11021</v>
      </c>
      <c r="G612" t="s">
        <v>74</v>
      </c>
      <c r="H612" t="s">
        <v>74</v>
      </c>
      <c r="I612" t="s">
        <v>11022</v>
      </c>
      <c r="J612" t="s">
        <v>11023</v>
      </c>
      <c r="K612" t="s">
        <v>74</v>
      </c>
      <c r="L612" t="s">
        <v>74</v>
      </c>
      <c r="M612" t="s">
        <v>78</v>
      </c>
      <c r="N612" t="s">
        <v>171</v>
      </c>
      <c r="O612" t="s">
        <v>74</v>
      </c>
      <c r="P612" t="s">
        <v>74</v>
      </c>
      <c r="Q612" t="s">
        <v>74</v>
      </c>
      <c r="R612" t="s">
        <v>74</v>
      </c>
      <c r="S612" t="s">
        <v>74</v>
      </c>
      <c r="T612" t="s">
        <v>11024</v>
      </c>
      <c r="U612" t="s">
        <v>11025</v>
      </c>
      <c r="V612" t="s">
        <v>11026</v>
      </c>
      <c r="W612" t="s">
        <v>11027</v>
      </c>
      <c r="X612" t="s">
        <v>11028</v>
      </c>
      <c r="Y612" t="s">
        <v>11029</v>
      </c>
      <c r="Z612" t="s">
        <v>11030</v>
      </c>
      <c r="AA612" t="s">
        <v>11031</v>
      </c>
      <c r="AB612" t="s">
        <v>11032</v>
      </c>
      <c r="AC612" t="s">
        <v>74</v>
      </c>
      <c r="AD612" t="s">
        <v>74</v>
      </c>
      <c r="AE612" t="s">
        <v>74</v>
      </c>
      <c r="AF612" t="s">
        <v>74</v>
      </c>
      <c r="AG612">
        <v>45</v>
      </c>
      <c r="AH612">
        <v>0</v>
      </c>
      <c r="AI612">
        <v>0</v>
      </c>
      <c r="AJ612">
        <v>0</v>
      </c>
      <c r="AK612">
        <v>0</v>
      </c>
      <c r="AL612" t="s">
        <v>92</v>
      </c>
      <c r="AM612" t="s">
        <v>93</v>
      </c>
      <c r="AN612" t="s">
        <v>94</v>
      </c>
      <c r="AO612" t="s">
        <v>11033</v>
      </c>
      <c r="AP612" t="s">
        <v>11034</v>
      </c>
      <c r="AQ612" t="s">
        <v>74</v>
      </c>
      <c r="AR612" t="s">
        <v>11035</v>
      </c>
      <c r="AS612" t="s">
        <v>11036</v>
      </c>
      <c r="AT612" t="s">
        <v>5386</v>
      </c>
      <c r="AU612">
        <v>2023</v>
      </c>
      <c r="AV612">
        <v>19</v>
      </c>
      <c r="AW612">
        <v>10</v>
      </c>
      <c r="AX612" t="s">
        <v>74</v>
      </c>
      <c r="AY612" t="s">
        <v>74</v>
      </c>
      <c r="AZ612" t="s">
        <v>74</v>
      </c>
      <c r="BA612" t="s">
        <v>74</v>
      </c>
      <c r="BB612">
        <v>1187</v>
      </c>
      <c r="BC612">
        <v>1194</v>
      </c>
      <c r="BD612" t="s">
        <v>74</v>
      </c>
      <c r="BE612" t="s">
        <v>11037</v>
      </c>
      <c r="BF612" t="str">
        <f>HYPERLINK("http://dx.doi.org/10.1080/1744666X.2023.2234641","http://dx.doi.org/10.1080/1744666X.2023.2234641")</f>
        <v>http://dx.doi.org/10.1080/1744666X.2023.2234641</v>
      </c>
      <c r="BG612" t="s">
        <v>74</v>
      </c>
      <c r="BH612" t="s">
        <v>8608</v>
      </c>
      <c r="BI612">
        <v>8</v>
      </c>
      <c r="BJ612" t="s">
        <v>1425</v>
      </c>
      <c r="BK612" t="s">
        <v>102</v>
      </c>
      <c r="BL612" t="s">
        <v>1425</v>
      </c>
      <c r="BM612" t="s">
        <v>11038</v>
      </c>
      <c r="BN612">
        <v>37551702</v>
      </c>
      <c r="BO612" t="s">
        <v>887</v>
      </c>
      <c r="BP612" t="s">
        <v>74</v>
      </c>
      <c r="BQ612" t="s">
        <v>74</v>
      </c>
      <c r="BR612" t="s">
        <v>105</v>
      </c>
      <c r="BS612" t="s">
        <v>11039</v>
      </c>
      <c r="BT612" t="str">
        <f>HYPERLINK("https%3A%2F%2Fwww.webofscience.com%2Fwos%2Fwoscc%2Ffull-record%2FWOS:001044069700001","View Full Record in Web of Science")</f>
        <v>View Full Record in Web of Science</v>
      </c>
    </row>
    <row r="613" spans="1:72" x14ac:dyDescent="0.15">
      <c r="A613" t="s">
        <v>72</v>
      </c>
      <c r="B613" t="s">
        <v>11040</v>
      </c>
      <c r="C613" t="s">
        <v>74</v>
      </c>
      <c r="D613" t="s">
        <v>74</v>
      </c>
      <c r="E613" t="s">
        <v>74</v>
      </c>
      <c r="F613" t="s">
        <v>11041</v>
      </c>
      <c r="G613" t="s">
        <v>74</v>
      </c>
      <c r="H613" t="s">
        <v>74</v>
      </c>
      <c r="I613" t="s">
        <v>11042</v>
      </c>
      <c r="J613" t="s">
        <v>11043</v>
      </c>
      <c r="K613" t="s">
        <v>74</v>
      </c>
      <c r="L613" t="s">
        <v>74</v>
      </c>
      <c r="M613" t="s">
        <v>78</v>
      </c>
      <c r="N613" t="s">
        <v>79</v>
      </c>
      <c r="O613" t="s">
        <v>74</v>
      </c>
      <c r="P613" t="s">
        <v>74</v>
      </c>
      <c r="Q613" t="s">
        <v>74</v>
      </c>
      <c r="R613" t="s">
        <v>74</v>
      </c>
      <c r="S613" t="s">
        <v>74</v>
      </c>
      <c r="T613" t="s">
        <v>11044</v>
      </c>
      <c r="U613" t="s">
        <v>11045</v>
      </c>
      <c r="V613" t="s">
        <v>11046</v>
      </c>
      <c r="W613" t="s">
        <v>11047</v>
      </c>
      <c r="X613" t="s">
        <v>74</v>
      </c>
      <c r="Y613" t="s">
        <v>11048</v>
      </c>
      <c r="Z613" t="s">
        <v>11049</v>
      </c>
      <c r="AA613" t="s">
        <v>74</v>
      </c>
      <c r="AB613" t="s">
        <v>11050</v>
      </c>
      <c r="AC613" t="s">
        <v>74</v>
      </c>
      <c r="AD613" t="s">
        <v>74</v>
      </c>
      <c r="AE613" t="s">
        <v>74</v>
      </c>
      <c r="AF613" t="s">
        <v>74</v>
      </c>
      <c r="AG613">
        <v>20</v>
      </c>
      <c r="AH613">
        <v>0</v>
      </c>
      <c r="AI613">
        <v>0</v>
      </c>
      <c r="AJ613">
        <v>1</v>
      </c>
      <c r="AK613">
        <v>1</v>
      </c>
      <c r="AL613" t="s">
        <v>92</v>
      </c>
      <c r="AM613" t="s">
        <v>93</v>
      </c>
      <c r="AN613" t="s">
        <v>94</v>
      </c>
      <c r="AO613" t="s">
        <v>11051</v>
      </c>
      <c r="AP613" t="s">
        <v>11052</v>
      </c>
      <c r="AQ613" t="s">
        <v>74</v>
      </c>
      <c r="AR613" t="s">
        <v>11053</v>
      </c>
      <c r="AS613" t="s">
        <v>11054</v>
      </c>
      <c r="AT613" t="s">
        <v>7946</v>
      </c>
      <c r="AU613">
        <v>2023</v>
      </c>
      <c r="AV613">
        <v>40</v>
      </c>
      <c r="AW613">
        <v>9</v>
      </c>
      <c r="AX613" t="s">
        <v>74</v>
      </c>
      <c r="AY613" t="s">
        <v>74</v>
      </c>
      <c r="AZ613" t="s">
        <v>74</v>
      </c>
      <c r="BA613" t="s">
        <v>74</v>
      </c>
      <c r="BB613">
        <v>1183</v>
      </c>
      <c r="BC613">
        <v>1197</v>
      </c>
      <c r="BD613" t="s">
        <v>74</v>
      </c>
      <c r="BE613" t="s">
        <v>11055</v>
      </c>
      <c r="BF613" t="str">
        <f>HYPERLINK("http://dx.doi.org/10.1080/19440049.2023.2240437","http://dx.doi.org/10.1080/19440049.2023.2240437")</f>
        <v>http://dx.doi.org/10.1080/19440049.2023.2240437</v>
      </c>
      <c r="BG613" t="s">
        <v>74</v>
      </c>
      <c r="BH613" t="s">
        <v>8608</v>
      </c>
      <c r="BI613">
        <v>15</v>
      </c>
      <c r="BJ613" t="s">
        <v>11056</v>
      </c>
      <c r="BK613" t="s">
        <v>102</v>
      </c>
      <c r="BL613" t="s">
        <v>11057</v>
      </c>
      <c r="BM613" t="s">
        <v>11058</v>
      </c>
      <c r="BN613">
        <v>37561415</v>
      </c>
      <c r="BO613" t="s">
        <v>887</v>
      </c>
      <c r="BP613" t="s">
        <v>74</v>
      </c>
      <c r="BQ613" t="s">
        <v>74</v>
      </c>
      <c r="BR613" t="s">
        <v>105</v>
      </c>
      <c r="BS613" t="s">
        <v>11059</v>
      </c>
      <c r="BT613" t="str">
        <f>HYPERLINK("https%3A%2F%2Fwww.webofscience.com%2Fwos%2Fwoscc%2Ffull-record%2FWOS:001044927200001","View Full Record in Web of Science")</f>
        <v>View Full Record in Web of Science</v>
      </c>
    </row>
    <row r="614" spans="1:72" x14ac:dyDescent="0.15">
      <c r="A614" t="s">
        <v>72</v>
      </c>
      <c r="B614" t="s">
        <v>11060</v>
      </c>
      <c r="C614" t="s">
        <v>74</v>
      </c>
      <c r="D614" t="s">
        <v>74</v>
      </c>
      <c r="E614" t="s">
        <v>74</v>
      </c>
      <c r="F614" t="s">
        <v>11061</v>
      </c>
      <c r="G614" t="s">
        <v>74</v>
      </c>
      <c r="H614" t="s">
        <v>74</v>
      </c>
      <c r="I614" t="s">
        <v>11062</v>
      </c>
      <c r="J614" t="s">
        <v>11063</v>
      </c>
      <c r="K614" t="s">
        <v>74</v>
      </c>
      <c r="L614" t="s">
        <v>74</v>
      </c>
      <c r="M614" t="s">
        <v>78</v>
      </c>
      <c r="N614" t="s">
        <v>5492</v>
      </c>
      <c r="O614" t="s">
        <v>74</v>
      </c>
      <c r="P614" t="s">
        <v>74</v>
      </c>
      <c r="Q614" t="s">
        <v>74</v>
      </c>
      <c r="R614" t="s">
        <v>74</v>
      </c>
      <c r="S614" t="s">
        <v>74</v>
      </c>
      <c r="T614" t="s">
        <v>11064</v>
      </c>
      <c r="U614" t="s">
        <v>74</v>
      </c>
      <c r="V614" t="s">
        <v>11065</v>
      </c>
      <c r="W614" t="s">
        <v>11066</v>
      </c>
      <c r="X614" t="s">
        <v>11067</v>
      </c>
      <c r="Y614" t="s">
        <v>11068</v>
      </c>
      <c r="Z614" t="s">
        <v>11069</v>
      </c>
      <c r="AA614" t="s">
        <v>74</v>
      </c>
      <c r="AB614" t="s">
        <v>11070</v>
      </c>
      <c r="AC614" t="s">
        <v>11071</v>
      </c>
      <c r="AD614" t="s">
        <v>11072</v>
      </c>
      <c r="AE614" t="s">
        <v>11073</v>
      </c>
      <c r="AF614" t="s">
        <v>74</v>
      </c>
      <c r="AG614">
        <v>13</v>
      </c>
      <c r="AH614">
        <v>0</v>
      </c>
      <c r="AI614">
        <v>0</v>
      </c>
      <c r="AJ614">
        <v>2</v>
      </c>
      <c r="AK614">
        <v>2</v>
      </c>
      <c r="AL614" t="s">
        <v>92</v>
      </c>
      <c r="AM614" t="s">
        <v>93</v>
      </c>
      <c r="AN614" t="s">
        <v>94</v>
      </c>
      <c r="AO614" t="s">
        <v>11074</v>
      </c>
      <c r="AP614" t="s">
        <v>11075</v>
      </c>
      <c r="AQ614" t="s">
        <v>74</v>
      </c>
      <c r="AR614" t="s">
        <v>11076</v>
      </c>
      <c r="AS614" t="s">
        <v>11077</v>
      </c>
      <c r="AT614" t="s">
        <v>11016</v>
      </c>
      <c r="AU614">
        <v>2023</v>
      </c>
      <c r="AV614" t="s">
        <v>74</v>
      </c>
      <c r="AW614" t="s">
        <v>74</v>
      </c>
      <c r="AX614" t="s">
        <v>74</v>
      </c>
      <c r="AY614" t="s">
        <v>74</v>
      </c>
      <c r="AZ614" t="s">
        <v>74</v>
      </c>
      <c r="BA614" t="s">
        <v>74</v>
      </c>
      <c r="BB614" t="s">
        <v>74</v>
      </c>
      <c r="BC614" t="s">
        <v>74</v>
      </c>
      <c r="BD614" t="s">
        <v>74</v>
      </c>
      <c r="BE614" t="s">
        <v>11078</v>
      </c>
      <c r="BF614" t="str">
        <f>HYPERLINK("http://dx.doi.org/10.1080/09553002.2023.2241896","http://dx.doi.org/10.1080/09553002.2023.2241896")</f>
        <v>http://dx.doi.org/10.1080/09553002.2023.2241896</v>
      </c>
      <c r="BG614" t="s">
        <v>74</v>
      </c>
      <c r="BH614" t="s">
        <v>8608</v>
      </c>
      <c r="BI614">
        <v>12</v>
      </c>
      <c r="BJ614" t="s">
        <v>11079</v>
      </c>
      <c r="BK614" t="s">
        <v>102</v>
      </c>
      <c r="BL614" t="s">
        <v>11080</v>
      </c>
      <c r="BM614" t="s">
        <v>11081</v>
      </c>
      <c r="BN614">
        <v>37540281</v>
      </c>
      <c r="BO614" t="s">
        <v>74</v>
      </c>
      <c r="BP614" t="s">
        <v>74</v>
      </c>
      <c r="BQ614" t="s">
        <v>74</v>
      </c>
      <c r="BR614" t="s">
        <v>105</v>
      </c>
      <c r="BS614" t="s">
        <v>11082</v>
      </c>
      <c r="BT614" t="str">
        <f>HYPERLINK("https%3A%2F%2Fwww.webofscience.com%2Fwos%2Fwoscc%2Ffull-record%2FWOS:001047955600001","View Full Record in Web of Science")</f>
        <v>View Full Record in Web of Science</v>
      </c>
    </row>
    <row r="615" spans="1:72" x14ac:dyDescent="0.15">
      <c r="A615" t="s">
        <v>72</v>
      </c>
      <c r="B615" t="s">
        <v>11083</v>
      </c>
      <c r="C615" t="s">
        <v>74</v>
      </c>
      <c r="D615" t="s">
        <v>74</v>
      </c>
      <c r="E615" t="s">
        <v>74</v>
      </c>
      <c r="F615" t="s">
        <v>11084</v>
      </c>
      <c r="G615" t="s">
        <v>74</v>
      </c>
      <c r="H615" t="s">
        <v>74</v>
      </c>
      <c r="I615" t="s">
        <v>11085</v>
      </c>
      <c r="J615" t="s">
        <v>5441</v>
      </c>
      <c r="K615" t="s">
        <v>74</v>
      </c>
      <c r="L615" t="s">
        <v>74</v>
      </c>
      <c r="M615" t="s">
        <v>78</v>
      </c>
      <c r="N615" t="s">
        <v>5492</v>
      </c>
      <c r="O615" t="s">
        <v>74</v>
      </c>
      <c r="P615" t="s">
        <v>74</v>
      </c>
      <c r="Q615" t="s">
        <v>74</v>
      </c>
      <c r="R615" t="s">
        <v>74</v>
      </c>
      <c r="S615" t="s">
        <v>74</v>
      </c>
      <c r="T615" t="s">
        <v>11086</v>
      </c>
      <c r="U615" t="s">
        <v>11087</v>
      </c>
      <c r="V615" t="s">
        <v>11088</v>
      </c>
      <c r="W615" t="s">
        <v>11089</v>
      </c>
      <c r="X615" t="s">
        <v>11090</v>
      </c>
      <c r="Y615" t="s">
        <v>11091</v>
      </c>
      <c r="Z615" t="s">
        <v>11092</v>
      </c>
      <c r="AA615" t="s">
        <v>74</v>
      </c>
      <c r="AB615" t="s">
        <v>74</v>
      </c>
      <c r="AC615" t="s">
        <v>74</v>
      </c>
      <c r="AD615" t="s">
        <v>74</v>
      </c>
      <c r="AE615" t="s">
        <v>74</v>
      </c>
      <c r="AF615" t="s">
        <v>74</v>
      </c>
      <c r="AG615">
        <v>80</v>
      </c>
      <c r="AH615">
        <v>0</v>
      </c>
      <c r="AI615">
        <v>0</v>
      </c>
      <c r="AJ615">
        <v>0</v>
      </c>
      <c r="AK615">
        <v>0</v>
      </c>
      <c r="AL615" t="s">
        <v>1188</v>
      </c>
      <c r="AM615" t="s">
        <v>93</v>
      </c>
      <c r="AN615" t="s">
        <v>1189</v>
      </c>
      <c r="AO615" t="s">
        <v>5442</v>
      </c>
      <c r="AP615" t="s">
        <v>5443</v>
      </c>
      <c r="AQ615" t="s">
        <v>74</v>
      </c>
      <c r="AR615" t="s">
        <v>5444</v>
      </c>
      <c r="AS615" t="s">
        <v>5445</v>
      </c>
      <c r="AT615" t="s">
        <v>11016</v>
      </c>
      <c r="AU615">
        <v>2023</v>
      </c>
      <c r="AV615" t="s">
        <v>74</v>
      </c>
      <c r="AW615" t="s">
        <v>74</v>
      </c>
      <c r="AX615" t="s">
        <v>74</v>
      </c>
      <c r="AY615" t="s">
        <v>74</v>
      </c>
      <c r="AZ615" t="s">
        <v>74</v>
      </c>
      <c r="BA615" t="s">
        <v>74</v>
      </c>
      <c r="BB615" t="s">
        <v>74</v>
      </c>
      <c r="BC615" t="s">
        <v>74</v>
      </c>
      <c r="BD615" t="s">
        <v>74</v>
      </c>
      <c r="BE615" t="s">
        <v>11093</v>
      </c>
      <c r="BF615" t="str">
        <f>HYPERLINK("http://dx.doi.org/10.1080/01419870.2023.2243306","http://dx.doi.org/10.1080/01419870.2023.2243306")</f>
        <v>http://dx.doi.org/10.1080/01419870.2023.2243306</v>
      </c>
      <c r="BG615" t="s">
        <v>74</v>
      </c>
      <c r="BH615" t="s">
        <v>8608</v>
      </c>
      <c r="BI615">
        <v>24</v>
      </c>
      <c r="BJ615" t="s">
        <v>5447</v>
      </c>
      <c r="BK615" t="s">
        <v>272</v>
      </c>
      <c r="BL615" t="s">
        <v>5447</v>
      </c>
      <c r="BM615" t="s">
        <v>11094</v>
      </c>
      <c r="BN615" t="s">
        <v>74</v>
      </c>
      <c r="BO615" t="s">
        <v>74</v>
      </c>
      <c r="BP615" t="s">
        <v>74</v>
      </c>
      <c r="BQ615" t="s">
        <v>74</v>
      </c>
      <c r="BR615" t="s">
        <v>105</v>
      </c>
      <c r="BS615" t="s">
        <v>11095</v>
      </c>
      <c r="BT615" t="str">
        <f>HYPERLINK("https%3A%2F%2Fwww.webofscience.com%2Fwos%2Fwoscc%2Ffull-record%2FWOS:001044082100001","View Full Record in Web of Science")</f>
        <v>View Full Record in Web of Science</v>
      </c>
    </row>
    <row r="616" spans="1:72" x14ac:dyDescent="0.15">
      <c r="A616" t="s">
        <v>72</v>
      </c>
      <c r="B616" t="s">
        <v>11096</v>
      </c>
      <c r="C616" t="s">
        <v>74</v>
      </c>
      <c r="D616" t="s">
        <v>74</v>
      </c>
      <c r="E616" t="s">
        <v>74</v>
      </c>
      <c r="F616" t="s">
        <v>11097</v>
      </c>
      <c r="G616" t="s">
        <v>74</v>
      </c>
      <c r="H616" t="s">
        <v>74</v>
      </c>
      <c r="I616" t="s">
        <v>11098</v>
      </c>
      <c r="J616" t="s">
        <v>8579</v>
      </c>
      <c r="K616" t="s">
        <v>74</v>
      </c>
      <c r="L616" t="s">
        <v>74</v>
      </c>
      <c r="M616" t="s">
        <v>78</v>
      </c>
      <c r="N616" t="s">
        <v>5492</v>
      </c>
      <c r="O616" t="s">
        <v>74</v>
      </c>
      <c r="P616" t="s">
        <v>74</v>
      </c>
      <c r="Q616" t="s">
        <v>74</v>
      </c>
      <c r="R616" t="s">
        <v>74</v>
      </c>
      <c r="S616" t="s">
        <v>74</v>
      </c>
      <c r="T616" t="s">
        <v>11099</v>
      </c>
      <c r="U616" t="s">
        <v>11100</v>
      </c>
      <c r="V616" t="s">
        <v>11101</v>
      </c>
      <c r="W616" t="s">
        <v>11102</v>
      </c>
      <c r="X616" t="s">
        <v>11103</v>
      </c>
      <c r="Y616" t="s">
        <v>11104</v>
      </c>
      <c r="Z616" t="s">
        <v>11105</v>
      </c>
      <c r="AA616" t="s">
        <v>11106</v>
      </c>
      <c r="AB616" t="s">
        <v>11107</v>
      </c>
      <c r="AC616" t="s">
        <v>74</v>
      </c>
      <c r="AD616" t="s">
        <v>74</v>
      </c>
      <c r="AE616" t="s">
        <v>74</v>
      </c>
      <c r="AF616" t="s">
        <v>74</v>
      </c>
      <c r="AG616">
        <v>54</v>
      </c>
      <c r="AH616">
        <v>0</v>
      </c>
      <c r="AI616">
        <v>0</v>
      </c>
      <c r="AJ616">
        <v>3</v>
      </c>
      <c r="AK616">
        <v>3</v>
      </c>
      <c r="AL616" t="s">
        <v>92</v>
      </c>
      <c r="AM616" t="s">
        <v>93</v>
      </c>
      <c r="AN616" t="s">
        <v>94</v>
      </c>
      <c r="AO616" t="s">
        <v>8588</v>
      </c>
      <c r="AP616" t="s">
        <v>8589</v>
      </c>
      <c r="AQ616" t="s">
        <v>74</v>
      </c>
      <c r="AR616" t="s">
        <v>8590</v>
      </c>
      <c r="AS616" t="s">
        <v>8591</v>
      </c>
      <c r="AT616" t="s">
        <v>11108</v>
      </c>
      <c r="AU616">
        <v>2023</v>
      </c>
      <c r="AV616" t="s">
        <v>74</v>
      </c>
      <c r="AW616" t="s">
        <v>74</v>
      </c>
      <c r="AX616" t="s">
        <v>74</v>
      </c>
      <c r="AY616" t="s">
        <v>74</v>
      </c>
      <c r="AZ616" t="s">
        <v>74</v>
      </c>
      <c r="BA616" t="s">
        <v>74</v>
      </c>
      <c r="BB616" t="s">
        <v>74</v>
      </c>
      <c r="BC616" t="s">
        <v>74</v>
      </c>
      <c r="BD616" t="s">
        <v>74</v>
      </c>
      <c r="BE616" t="s">
        <v>11109</v>
      </c>
      <c r="BF616" t="str">
        <f>HYPERLINK("http://dx.doi.org/10.1080/0020739X.2023.2236611","http://dx.doi.org/10.1080/0020739X.2023.2236611")</f>
        <v>http://dx.doi.org/10.1080/0020739X.2023.2236611</v>
      </c>
      <c r="BG616" t="s">
        <v>74</v>
      </c>
      <c r="BH616" t="s">
        <v>8608</v>
      </c>
      <c r="BI616">
        <v>17</v>
      </c>
      <c r="BJ616" t="s">
        <v>271</v>
      </c>
      <c r="BK616" t="s">
        <v>211</v>
      </c>
      <c r="BL616" t="s">
        <v>271</v>
      </c>
      <c r="BM616" t="s">
        <v>11110</v>
      </c>
      <c r="BN616" t="s">
        <v>74</v>
      </c>
      <c r="BO616" t="s">
        <v>74</v>
      </c>
      <c r="BP616" t="s">
        <v>74</v>
      </c>
      <c r="BQ616" t="s">
        <v>74</v>
      </c>
      <c r="BR616" t="s">
        <v>105</v>
      </c>
      <c r="BS616" t="s">
        <v>11111</v>
      </c>
      <c r="BT616" t="str">
        <f>HYPERLINK("https%3A%2F%2Fwww.webofscience.com%2Fwos%2Fwoscc%2Ffull-record%2FWOS:001047954400001","View Full Record in Web of Science")</f>
        <v>View Full Record in Web of Science</v>
      </c>
    </row>
    <row r="617" spans="1:72" x14ac:dyDescent="0.15">
      <c r="A617" t="s">
        <v>72</v>
      </c>
      <c r="B617" t="s">
        <v>11112</v>
      </c>
      <c r="C617" t="s">
        <v>74</v>
      </c>
      <c r="D617" t="s">
        <v>74</v>
      </c>
      <c r="E617" t="s">
        <v>74</v>
      </c>
      <c r="F617" t="s">
        <v>11113</v>
      </c>
      <c r="G617" t="s">
        <v>74</v>
      </c>
      <c r="H617" t="s">
        <v>74</v>
      </c>
      <c r="I617" t="s">
        <v>11114</v>
      </c>
      <c r="J617" t="s">
        <v>9699</v>
      </c>
      <c r="K617" t="s">
        <v>74</v>
      </c>
      <c r="L617" t="s">
        <v>74</v>
      </c>
      <c r="M617" t="s">
        <v>78</v>
      </c>
      <c r="N617" t="s">
        <v>5492</v>
      </c>
      <c r="O617" t="s">
        <v>74</v>
      </c>
      <c r="P617" t="s">
        <v>74</v>
      </c>
      <c r="Q617" t="s">
        <v>74</v>
      </c>
      <c r="R617" t="s">
        <v>74</v>
      </c>
      <c r="S617" t="s">
        <v>74</v>
      </c>
      <c r="T617" t="s">
        <v>11115</v>
      </c>
      <c r="U617" t="s">
        <v>11116</v>
      </c>
      <c r="V617" t="s">
        <v>11117</v>
      </c>
      <c r="W617" t="s">
        <v>11118</v>
      </c>
      <c r="X617" t="s">
        <v>11119</v>
      </c>
      <c r="Y617" t="s">
        <v>11120</v>
      </c>
      <c r="Z617" t="s">
        <v>11121</v>
      </c>
      <c r="AA617" t="s">
        <v>74</v>
      </c>
      <c r="AB617" t="s">
        <v>74</v>
      </c>
      <c r="AC617" t="s">
        <v>11122</v>
      </c>
      <c r="AD617" t="s">
        <v>11123</v>
      </c>
      <c r="AE617" t="s">
        <v>11124</v>
      </c>
      <c r="AF617" t="s">
        <v>74</v>
      </c>
      <c r="AG617">
        <v>45</v>
      </c>
      <c r="AH617">
        <v>0</v>
      </c>
      <c r="AI617">
        <v>0</v>
      </c>
      <c r="AJ617">
        <v>0</v>
      </c>
      <c r="AK617">
        <v>0</v>
      </c>
      <c r="AL617" t="s">
        <v>184</v>
      </c>
      <c r="AM617" t="s">
        <v>185</v>
      </c>
      <c r="AN617" t="s">
        <v>186</v>
      </c>
      <c r="AO617" t="s">
        <v>9707</v>
      </c>
      <c r="AP617" t="s">
        <v>9708</v>
      </c>
      <c r="AQ617" t="s">
        <v>74</v>
      </c>
      <c r="AR617" t="s">
        <v>9709</v>
      </c>
      <c r="AS617" t="s">
        <v>9710</v>
      </c>
      <c r="AT617" t="s">
        <v>11108</v>
      </c>
      <c r="AU617">
        <v>2023</v>
      </c>
      <c r="AV617" t="s">
        <v>74</v>
      </c>
      <c r="AW617" t="s">
        <v>74</v>
      </c>
      <c r="AX617" t="s">
        <v>74</v>
      </c>
      <c r="AY617" t="s">
        <v>74</v>
      </c>
      <c r="AZ617" t="s">
        <v>74</v>
      </c>
      <c r="BA617" t="s">
        <v>74</v>
      </c>
      <c r="BB617" t="s">
        <v>74</v>
      </c>
      <c r="BC617" t="s">
        <v>74</v>
      </c>
      <c r="BD617" t="s">
        <v>74</v>
      </c>
      <c r="BE617" t="s">
        <v>11125</v>
      </c>
      <c r="BF617" t="str">
        <f>HYPERLINK("http://dx.doi.org/10.1080/10826068.2023.2243493","http://dx.doi.org/10.1080/10826068.2023.2243493")</f>
        <v>http://dx.doi.org/10.1080/10826068.2023.2243493</v>
      </c>
      <c r="BG617" t="s">
        <v>74</v>
      </c>
      <c r="BH617" t="s">
        <v>8608</v>
      </c>
      <c r="BI617">
        <v>16</v>
      </c>
      <c r="BJ617" t="s">
        <v>9712</v>
      </c>
      <c r="BK617" t="s">
        <v>102</v>
      </c>
      <c r="BL617" t="s">
        <v>9713</v>
      </c>
      <c r="BM617" t="s">
        <v>11126</v>
      </c>
      <c r="BN617">
        <v>37585713</v>
      </c>
      <c r="BO617" t="s">
        <v>74</v>
      </c>
      <c r="BP617" t="s">
        <v>74</v>
      </c>
      <c r="BQ617" t="s">
        <v>74</v>
      </c>
      <c r="BR617" t="s">
        <v>105</v>
      </c>
      <c r="BS617" t="s">
        <v>11127</v>
      </c>
      <c r="BT617" t="str">
        <f>HYPERLINK("https%3A%2F%2Fwww.webofscience.com%2Fwos%2Fwoscc%2Ffull-record%2FWOS:001044922100001","View Full Record in Web of Science")</f>
        <v>View Full Record in Web of Science</v>
      </c>
    </row>
    <row r="618" spans="1:72" x14ac:dyDescent="0.15">
      <c r="A618" t="s">
        <v>72</v>
      </c>
      <c r="B618" t="s">
        <v>11128</v>
      </c>
      <c r="C618" t="s">
        <v>74</v>
      </c>
      <c r="D618" t="s">
        <v>74</v>
      </c>
      <c r="E618" t="s">
        <v>74</v>
      </c>
      <c r="F618" t="s">
        <v>11129</v>
      </c>
      <c r="G618" t="s">
        <v>74</v>
      </c>
      <c r="H618" t="s">
        <v>74</v>
      </c>
      <c r="I618" t="s">
        <v>11130</v>
      </c>
      <c r="J618" t="s">
        <v>11131</v>
      </c>
      <c r="K618" t="s">
        <v>74</v>
      </c>
      <c r="L618" t="s">
        <v>74</v>
      </c>
      <c r="M618" t="s">
        <v>78</v>
      </c>
      <c r="N618" t="s">
        <v>5492</v>
      </c>
      <c r="O618" t="s">
        <v>74</v>
      </c>
      <c r="P618" t="s">
        <v>74</v>
      </c>
      <c r="Q618" t="s">
        <v>74</v>
      </c>
      <c r="R618" t="s">
        <v>74</v>
      </c>
      <c r="S618" t="s">
        <v>74</v>
      </c>
      <c r="T618" t="s">
        <v>11132</v>
      </c>
      <c r="U618" t="s">
        <v>11133</v>
      </c>
      <c r="V618" t="s">
        <v>11134</v>
      </c>
      <c r="W618" t="s">
        <v>11135</v>
      </c>
      <c r="X618" t="s">
        <v>11136</v>
      </c>
      <c r="Y618" t="s">
        <v>11137</v>
      </c>
      <c r="Z618" t="s">
        <v>11138</v>
      </c>
      <c r="AA618" t="s">
        <v>11139</v>
      </c>
      <c r="AB618" t="s">
        <v>11140</v>
      </c>
      <c r="AC618" t="s">
        <v>74</v>
      </c>
      <c r="AD618" t="s">
        <v>74</v>
      </c>
      <c r="AE618" t="s">
        <v>74</v>
      </c>
      <c r="AF618" t="s">
        <v>74</v>
      </c>
      <c r="AG618">
        <v>52</v>
      </c>
      <c r="AH618">
        <v>0</v>
      </c>
      <c r="AI618">
        <v>0</v>
      </c>
      <c r="AJ618">
        <v>0</v>
      </c>
      <c r="AK618">
        <v>0</v>
      </c>
      <c r="AL618" t="s">
        <v>92</v>
      </c>
      <c r="AM618" t="s">
        <v>93</v>
      </c>
      <c r="AN618" t="s">
        <v>94</v>
      </c>
      <c r="AO618" t="s">
        <v>11141</v>
      </c>
      <c r="AP618" t="s">
        <v>11142</v>
      </c>
      <c r="AQ618" t="s">
        <v>74</v>
      </c>
      <c r="AR618" t="s">
        <v>11143</v>
      </c>
      <c r="AS618" t="s">
        <v>11144</v>
      </c>
      <c r="AT618" t="s">
        <v>11108</v>
      </c>
      <c r="AU618">
        <v>2023</v>
      </c>
      <c r="AV618" t="s">
        <v>74</v>
      </c>
      <c r="AW618" t="s">
        <v>74</v>
      </c>
      <c r="AX618" t="s">
        <v>74</v>
      </c>
      <c r="AY618" t="s">
        <v>74</v>
      </c>
      <c r="AZ618" t="s">
        <v>74</v>
      </c>
      <c r="BA618" t="s">
        <v>74</v>
      </c>
      <c r="BB618" t="s">
        <v>74</v>
      </c>
      <c r="BC618" t="s">
        <v>74</v>
      </c>
      <c r="BD618" t="s">
        <v>74</v>
      </c>
      <c r="BE618" t="s">
        <v>11145</v>
      </c>
      <c r="BF618" t="str">
        <f>HYPERLINK("http://dx.doi.org/10.1080/20954816.2023.2226827","http://dx.doi.org/10.1080/20954816.2023.2226827")</f>
        <v>http://dx.doi.org/10.1080/20954816.2023.2226827</v>
      </c>
      <c r="BG618" t="s">
        <v>74</v>
      </c>
      <c r="BH618" t="s">
        <v>8608</v>
      </c>
      <c r="BI618">
        <v>27</v>
      </c>
      <c r="BJ618" t="s">
        <v>396</v>
      </c>
      <c r="BK618" t="s">
        <v>211</v>
      </c>
      <c r="BL618" t="s">
        <v>397</v>
      </c>
      <c r="BM618" t="s">
        <v>11146</v>
      </c>
      <c r="BN618" t="s">
        <v>74</v>
      </c>
      <c r="BO618" t="s">
        <v>74</v>
      </c>
      <c r="BP618" t="s">
        <v>74</v>
      </c>
      <c r="BQ618" t="s">
        <v>74</v>
      </c>
      <c r="BR618" t="s">
        <v>105</v>
      </c>
      <c r="BS618" t="s">
        <v>11147</v>
      </c>
      <c r="BT618" t="str">
        <f>HYPERLINK("https%3A%2F%2Fwww.webofscience.com%2Fwos%2Fwoscc%2Ffull-record%2FWOS:001045403300001","View Full Record in Web of Science")</f>
        <v>View Full Record in Web of Science</v>
      </c>
    </row>
    <row r="619" spans="1:72" x14ac:dyDescent="0.15">
      <c r="A619" t="s">
        <v>72</v>
      </c>
      <c r="B619" t="s">
        <v>11148</v>
      </c>
      <c r="C619" t="s">
        <v>74</v>
      </c>
      <c r="D619" t="s">
        <v>74</v>
      </c>
      <c r="E619" t="s">
        <v>74</v>
      </c>
      <c r="F619" t="s">
        <v>11149</v>
      </c>
      <c r="G619" t="s">
        <v>74</v>
      </c>
      <c r="H619" t="s">
        <v>74</v>
      </c>
      <c r="I619" t="s">
        <v>11150</v>
      </c>
      <c r="J619" t="s">
        <v>11151</v>
      </c>
      <c r="K619" t="s">
        <v>74</v>
      </c>
      <c r="L619" t="s">
        <v>74</v>
      </c>
      <c r="M619" t="s">
        <v>78</v>
      </c>
      <c r="N619" t="s">
        <v>5492</v>
      </c>
      <c r="O619" t="s">
        <v>74</v>
      </c>
      <c r="P619" t="s">
        <v>74</v>
      </c>
      <c r="Q619" t="s">
        <v>74</v>
      </c>
      <c r="R619" t="s">
        <v>74</v>
      </c>
      <c r="S619" t="s">
        <v>74</v>
      </c>
      <c r="T619" t="s">
        <v>74</v>
      </c>
      <c r="U619" t="s">
        <v>11152</v>
      </c>
      <c r="V619" t="s">
        <v>11153</v>
      </c>
      <c r="W619" t="s">
        <v>11154</v>
      </c>
      <c r="X619" t="s">
        <v>11155</v>
      </c>
      <c r="Y619" t="s">
        <v>11156</v>
      </c>
      <c r="Z619" t="s">
        <v>11157</v>
      </c>
      <c r="AA619" t="s">
        <v>11158</v>
      </c>
      <c r="AB619" t="s">
        <v>11159</v>
      </c>
      <c r="AC619" t="s">
        <v>74</v>
      </c>
      <c r="AD619" t="s">
        <v>74</v>
      </c>
      <c r="AE619" t="s">
        <v>74</v>
      </c>
      <c r="AF619" t="s">
        <v>74</v>
      </c>
      <c r="AG619">
        <v>67</v>
      </c>
      <c r="AH619">
        <v>0</v>
      </c>
      <c r="AI619">
        <v>0</v>
      </c>
      <c r="AJ619">
        <v>0</v>
      </c>
      <c r="AK619">
        <v>0</v>
      </c>
      <c r="AL619" t="s">
        <v>184</v>
      </c>
      <c r="AM619" t="s">
        <v>185</v>
      </c>
      <c r="AN619" t="s">
        <v>186</v>
      </c>
      <c r="AO619" t="s">
        <v>11160</v>
      </c>
      <c r="AP619" t="s">
        <v>11161</v>
      </c>
      <c r="AQ619" t="s">
        <v>74</v>
      </c>
      <c r="AR619" t="s">
        <v>11162</v>
      </c>
      <c r="AS619" t="s">
        <v>11163</v>
      </c>
      <c r="AT619" t="s">
        <v>11108</v>
      </c>
      <c r="AU619">
        <v>2023</v>
      </c>
      <c r="AV619" t="s">
        <v>74</v>
      </c>
      <c r="AW619" t="s">
        <v>74</v>
      </c>
      <c r="AX619" t="s">
        <v>74</v>
      </c>
      <c r="AY619" t="s">
        <v>74</v>
      </c>
      <c r="AZ619" t="s">
        <v>74</v>
      </c>
      <c r="BA619" t="s">
        <v>74</v>
      </c>
      <c r="BB619" t="s">
        <v>74</v>
      </c>
      <c r="BC619" t="s">
        <v>74</v>
      </c>
      <c r="BD619" t="s">
        <v>74</v>
      </c>
      <c r="BE619" t="s">
        <v>11164</v>
      </c>
      <c r="BF619" t="str">
        <f>HYPERLINK("http://dx.doi.org/10.1080/01639625.2023.2244116","http://dx.doi.org/10.1080/01639625.2023.2244116")</f>
        <v>http://dx.doi.org/10.1080/01639625.2023.2244116</v>
      </c>
      <c r="BG619" t="s">
        <v>74</v>
      </c>
      <c r="BH619" t="s">
        <v>8608</v>
      </c>
      <c r="BI619">
        <v>21</v>
      </c>
      <c r="BJ619" t="s">
        <v>11165</v>
      </c>
      <c r="BK619" t="s">
        <v>272</v>
      </c>
      <c r="BL619" t="s">
        <v>11166</v>
      </c>
      <c r="BM619" t="s">
        <v>11167</v>
      </c>
      <c r="BN619" t="s">
        <v>74</v>
      </c>
      <c r="BO619" t="s">
        <v>887</v>
      </c>
      <c r="BP619" t="s">
        <v>74</v>
      </c>
      <c r="BQ619" t="s">
        <v>74</v>
      </c>
      <c r="BR619" t="s">
        <v>105</v>
      </c>
      <c r="BS619" t="s">
        <v>11168</v>
      </c>
      <c r="BT619" t="str">
        <f>HYPERLINK("https%3A%2F%2Fwww.webofscience.com%2Fwos%2Fwoscc%2Ffull-record%2FWOS:001043206300001","View Full Record in Web of Science")</f>
        <v>View Full Record in Web of Science</v>
      </c>
    </row>
    <row r="620" spans="1:72" x14ac:dyDescent="0.15">
      <c r="A620" t="s">
        <v>72</v>
      </c>
      <c r="B620" t="s">
        <v>11169</v>
      </c>
      <c r="C620" t="s">
        <v>74</v>
      </c>
      <c r="D620" t="s">
        <v>74</v>
      </c>
      <c r="E620" t="s">
        <v>74</v>
      </c>
      <c r="F620" t="s">
        <v>11170</v>
      </c>
      <c r="G620" t="s">
        <v>74</v>
      </c>
      <c r="H620" t="s">
        <v>74</v>
      </c>
      <c r="I620" t="s">
        <v>11171</v>
      </c>
      <c r="J620" t="s">
        <v>11172</v>
      </c>
      <c r="K620" t="s">
        <v>74</v>
      </c>
      <c r="L620" t="s">
        <v>74</v>
      </c>
      <c r="M620" t="s">
        <v>78</v>
      </c>
      <c r="N620" t="s">
        <v>5492</v>
      </c>
      <c r="O620" t="s">
        <v>74</v>
      </c>
      <c r="P620" t="s">
        <v>74</v>
      </c>
      <c r="Q620" t="s">
        <v>74</v>
      </c>
      <c r="R620" t="s">
        <v>74</v>
      </c>
      <c r="S620" t="s">
        <v>74</v>
      </c>
      <c r="T620" t="s">
        <v>11173</v>
      </c>
      <c r="U620" t="s">
        <v>11174</v>
      </c>
      <c r="V620" t="s">
        <v>11175</v>
      </c>
      <c r="W620" t="s">
        <v>11176</v>
      </c>
      <c r="X620" t="s">
        <v>74</v>
      </c>
      <c r="Y620" t="s">
        <v>11177</v>
      </c>
      <c r="Z620" t="s">
        <v>11178</v>
      </c>
      <c r="AA620" t="s">
        <v>11179</v>
      </c>
      <c r="AB620" t="s">
        <v>11180</v>
      </c>
      <c r="AC620" t="s">
        <v>74</v>
      </c>
      <c r="AD620" t="s">
        <v>74</v>
      </c>
      <c r="AE620" t="s">
        <v>74</v>
      </c>
      <c r="AF620" t="s">
        <v>74</v>
      </c>
      <c r="AG620">
        <v>10</v>
      </c>
      <c r="AH620">
        <v>0</v>
      </c>
      <c r="AI620">
        <v>0</v>
      </c>
      <c r="AJ620">
        <v>0</v>
      </c>
      <c r="AK620">
        <v>0</v>
      </c>
      <c r="AL620" t="s">
        <v>92</v>
      </c>
      <c r="AM620" t="s">
        <v>93</v>
      </c>
      <c r="AN620" t="s">
        <v>94</v>
      </c>
      <c r="AO620" t="s">
        <v>11181</v>
      </c>
      <c r="AP620" t="s">
        <v>11182</v>
      </c>
      <c r="AQ620" t="s">
        <v>74</v>
      </c>
      <c r="AR620" t="s">
        <v>11183</v>
      </c>
      <c r="AS620" t="s">
        <v>11184</v>
      </c>
      <c r="AT620" t="s">
        <v>11108</v>
      </c>
      <c r="AU620">
        <v>2023</v>
      </c>
      <c r="AV620" t="s">
        <v>74</v>
      </c>
      <c r="AW620" t="s">
        <v>74</v>
      </c>
      <c r="AX620" t="s">
        <v>74</v>
      </c>
      <c r="AY620" t="s">
        <v>74</v>
      </c>
      <c r="AZ620" t="s">
        <v>74</v>
      </c>
      <c r="BA620" t="s">
        <v>74</v>
      </c>
      <c r="BB620" t="s">
        <v>74</v>
      </c>
      <c r="BC620" t="s">
        <v>74</v>
      </c>
      <c r="BD620" t="s">
        <v>74</v>
      </c>
      <c r="BE620" t="s">
        <v>11185</v>
      </c>
      <c r="BF620" t="str">
        <f>HYPERLINK("http://dx.doi.org/10.1080/10652469.2023.2244648","http://dx.doi.org/10.1080/10652469.2023.2244648")</f>
        <v>http://dx.doi.org/10.1080/10652469.2023.2244648</v>
      </c>
      <c r="BG620" t="s">
        <v>74</v>
      </c>
      <c r="BH620" t="s">
        <v>8608</v>
      </c>
      <c r="BI620">
        <v>18</v>
      </c>
      <c r="BJ620" t="s">
        <v>11186</v>
      </c>
      <c r="BK620" t="s">
        <v>102</v>
      </c>
      <c r="BL620" t="s">
        <v>5435</v>
      </c>
      <c r="BM620" t="s">
        <v>11187</v>
      </c>
      <c r="BN620" t="s">
        <v>74</v>
      </c>
      <c r="BO620" t="s">
        <v>74</v>
      </c>
      <c r="BP620" t="s">
        <v>74</v>
      </c>
      <c r="BQ620" t="s">
        <v>74</v>
      </c>
      <c r="BR620" t="s">
        <v>105</v>
      </c>
      <c r="BS620" t="s">
        <v>11188</v>
      </c>
      <c r="BT620" t="str">
        <f>HYPERLINK("https%3A%2F%2Fwww.webofscience.com%2Fwos%2Fwoscc%2Ffull-record%2FWOS:001048048400001","View Full Record in Web of Science")</f>
        <v>View Full Record in Web of Science</v>
      </c>
    </row>
    <row r="621" spans="1:72" x14ac:dyDescent="0.15">
      <c r="A621" t="s">
        <v>72</v>
      </c>
      <c r="B621" t="s">
        <v>11189</v>
      </c>
      <c r="C621" t="s">
        <v>74</v>
      </c>
      <c r="D621" t="s">
        <v>74</v>
      </c>
      <c r="E621" t="s">
        <v>74</v>
      </c>
      <c r="F621" t="s">
        <v>11190</v>
      </c>
      <c r="G621" t="s">
        <v>74</v>
      </c>
      <c r="H621" t="s">
        <v>74</v>
      </c>
      <c r="I621" t="s">
        <v>11191</v>
      </c>
      <c r="J621" t="s">
        <v>11192</v>
      </c>
      <c r="K621" t="s">
        <v>74</v>
      </c>
      <c r="L621" t="s">
        <v>74</v>
      </c>
      <c r="M621" t="s">
        <v>78</v>
      </c>
      <c r="N621" t="s">
        <v>5492</v>
      </c>
      <c r="O621" t="s">
        <v>74</v>
      </c>
      <c r="P621" t="s">
        <v>74</v>
      </c>
      <c r="Q621" t="s">
        <v>74</v>
      </c>
      <c r="R621" t="s">
        <v>74</v>
      </c>
      <c r="S621" t="s">
        <v>74</v>
      </c>
      <c r="T621" t="s">
        <v>11193</v>
      </c>
      <c r="U621" t="s">
        <v>11194</v>
      </c>
      <c r="V621" t="s">
        <v>11195</v>
      </c>
      <c r="W621" t="s">
        <v>11196</v>
      </c>
      <c r="X621" t="s">
        <v>11197</v>
      </c>
      <c r="Y621" t="s">
        <v>11198</v>
      </c>
      <c r="Z621" t="s">
        <v>11199</v>
      </c>
      <c r="AA621" t="s">
        <v>74</v>
      </c>
      <c r="AB621" t="s">
        <v>74</v>
      </c>
      <c r="AC621" t="s">
        <v>11200</v>
      </c>
      <c r="AD621" t="s">
        <v>11200</v>
      </c>
      <c r="AE621" t="s">
        <v>11201</v>
      </c>
      <c r="AF621" t="s">
        <v>74</v>
      </c>
      <c r="AG621">
        <v>63</v>
      </c>
      <c r="AH621">
        <v>0</v>
      </c>
      <c r="AI621">
        <v>0</v>
      </c>
      <c r="AJ621">
        <v>0</v>
      </c>
      <c r="AK621">
        <v>0</v>
      </c>
      <c r="AL621" t="s">
        <v>1188</v>
      </c>
      <c r="AM621" t="s">
        <v>93</v>
      </c>
      <c r="AN621" t="s">
        <v>1189</v>
      </c>
      <c r="AO621" t="s">
        <v>11202</v>
      </c>
      <c r="AP621" t="s">
        <v>11203</v>
      </c>
      <c r="AQ621" t="s">
        <v>74</v>
      </c>
      <c r="AR621" t="s">
        <v>11204</v>
      </c>
      <c r="AS621" t="s">
        <v>11205</v>
      </c>
      <c r="AT621" t="s">
        <v>11108</v>
      </c>
      <c r="AU621">
        <v>2023</v>
      </c>
      <c r="AV621" t="s">
        <v>74</v>
      </c>
      <c r="AW621" t="s">
        <v>74</v>
      </c>
      <c r="AX621" t="s">
        <v>74</v>
      </c>
      <c r="AY621" t="s">
        <v>74</v>
      </c>
      <c r="AZ621" t="s">
        <v>74</v>
      </c>
      <c r="BA621" t="s">
        <v>74</v>
      </c>
      <c r="BB621" t="s">
        <v>74</v>
      </c>
      <c r="BC621" t="s">
        <v>74</v>
      </c>
      <c r="BD621" t="s">
        <v>74</v>
      </c>
      <c r="BE621" t="s">
        <v>11206</v>
      </c>
      <c r="BF621" t="str">
        <f>HYPERLINK("http://dx.doi.org/10.1080/00330124.2023.2242465","http://dx.doi.org/10.1080/00330124.2023.2242465")</f>
        <v>http://dx.doi.org/10.1080/00330124.2023.2242465</v>
      </c>
      <c r="BG621" t="s">
        <v>74</v>
      </c>
      <c r="BH621" t="s">
        <v>8608</v>
      </c>
      <c r="BI621">
        <v>9</v>
      </c>
      <c r="BJ621" t="s">
        <v>1194</v>
      </c>
      <c r="BK621" t="s">
        <v>272</v>
      </c>
      <c r="BL621" t="s">
        <v>1194</v>
      </c>
      <c r="BM621" t="s">
        <v>11207</v>
      </c>
      <c r="BN621" t="s">
        <v>74</v>
      </c>
      <c r="BO621" t="s">
        <v>74</v>
      </c>
      <c r="BP621" t="s">
        <v>74</v>
      </c>
      <c r="BQ621" t="s">
        <v>74</v>
      </c>
      <c r="BR621" t="s">
        <v>105</v>
      </c>
      <c r="BS621" t="s">
        <v>11208</v>
      </c>
      <c r="BT621" t="str">
        <f>HYPERLINK("https%3A%2F%2Fwww.webofscience.com%2Fwos%2Fwoscc%2Ffull-record%2FWOS:001066463900001","View Full Record in Web of Science")</f>
        <v>View Full Record in Web of Science</v>
      </c>
    </row>
    <row r="622" spans="1:72" x14ac:dyDescent="0.15">
      <c r="A622" t="s">
        <v>72</v>
      </c>
      <c r="B622" t="s">
        <v>11209</v>
      </c>
      <c r="C622" t="s">
        <v>74</v>
      </c>
      <c r="D622" t="s">
        <v>74</v>
      </c>
      <c r="E622" t="s">
        <v>74</v>
      </c>
      <c r="F622" t="s">
        <v>11210</v>
      </c>
      <c r="G622" t="s">
        <v>74</v>
      </c>
      <c r="H622" t="s">
        <v>74</v>
      </c>
      <c r="I622" t="s">
        <v>11211</v>
      </c>
      <c r="J622" t="s">
        <v>8246</v>
      </c>
      <c r="K622" t="s">
        <v>74</v>
      </c>
      <c r="L622" t="s">
        <v>74</v>
      </c>
      <c r="M622" t="s">
        <v>78</v>
      </c>
      <c r="N622" t="s">
        <v>79</v>
      </c>
      <c r="O622" t="s">
        <v>74</v>
      </c>
      <c r="P622" t="s">
        <v>74</v>
      </c>
      <c r="Q622" t="s">
        <v>74</v>
      </c>
      <c r="R622" t="s">
        <v>74</v>
      </c>
      <c r="S622" t="s">
        <v>74</v>
      </c>
      <c r="T622" t="s">
        <v>11212</v>
      </c>
      <c r="U622" t="s">
        <v>11213</v>
      </c>
      <c r="V622" t="s">
        <v>11214</v>
      </c>
      <c r="W622" t="s">
        <v>11215</v>
      </c>
      <c r="X622" t="s">
        <v>11216</v>
      </c>
      <c r="Y622" t="s">
        <v>11217</v>
      </c>
      <c r="Z622" t="s">
        <v>11218</v>
      </c>
      <c r="AA622" t="s">
        <v>74</v>
      </c>
      <c r="AB622" t="s">
        <v>74</v>
      </c>
      <c r="AC622" t="s">
        <v>74</v>
      </c>
      <c r="AD622" t="s">
        <v>74</v>
      </c>
      <c r="AE622" t="s">
        <v>74</v>
      </c>
      <c r="AF622" t="s">
        <v>74</v>
      </c>
      <c r="AG622">
        <v>75</v>
      </c>
      <c r="AH622">
        <v>0</v>
      </c>
      <c r="AI622">
        <v>0</v>
      </c>
      <c r="AJ622">
        <v>2</v>
      </c>
      <c r="AK622">
        <v>2</v>
      </c>
      <c r="AL622" t="s">
        <v>92</v>
      </c>
      <c r="AM622" t="s">
        <v>93</v>
      </c>
      <c r="AN622" t="s">
        <v>94</v>
      </c>
      <c r="AO622" t="s">
        <v>8256</v>
      </c>
      <c r="AP622" t="s">
        <v>8257</v>
      </c>
      <c r="AQ622" t="s">
        <v>74</v>
      </c>
      <c r="AR622" t="s">
        <v>8258</v>
      </c>
      <c r="AS622" t="s">
        <v>8259</v>
      </c>
      <c r="AT622" t="s">
        <v>11219</v>
      </c>
      <c r="AU622">
        <v>2023</v>
      </c>
      <c r="AV622" t="s">
        <v>74</v>
      </c>
      <c r="AW622" t="s">
        <v>74</v>
      </c>
      <c r="AX622" t="s">
        <v>74</v>
      </c>
      <c r="AY622" t="s">
        <v>74</v>
      </c>
      <c r="AZ622" t="s">
        <v>74</v>
      </c>
      <c r="BA622" t="s">
        <v>74</v>
      </c>
      <c r="BB622" t="s">
        <v>74</v>
      </c>
      <c r="BC622" t="s">
        <v>74</v>
      </c>
      <c r="BD622">
        <v>2245518</v>
      </c>
      <c r="BE622" t="s">
        <v>11220</v>
      </c>
      <c r="BF622" t="str">
        <f>HYPERLINK("http://dx.doi.org/10.1080/10255842.2023.2245518","http://dx.doi.org/10.1080/10255842.2023.2245518")</f>
        <v>http://dx.doi.org/10.1080/10255842.2023.2245518</v>
      </c>
      <c r="BG622" t="s">
        <v>74</v>
      </c>
      <c r="BH622" t="s">
        <v>74</v>
      </c>
      <c r="BI622">
        <v>32</v>
      </c>
      <c r="BJ622" t="s">
        <v>8261</v>
      </c>
      <c r="BK622" t="s">
        <v>102</v>
      </c>
      <c r="BL622" t="s">
        <v>1556</v>
      </c>
      <c r="BM622" t="s">
        <v>11221</v>
      </c>
      <c r="BN622">
        <v>37610123</v>
      </c>
      <c r="BO622" t="s">
        <v>74</v>
      </c>
      <c r="BP622" t="s">
        <v>74</v>
      </c>
      <c r="BQ622" t="s">
        <v>74</v>
      </c>
      <c r="BR622" t="s">
        <v>105</v>
      </c>
      <c r="BS622" t="s">
        <v>11222</v>
      </c>
      <c r="BT622" t="str">
        <f>HYPERLINK("https%3A%2F%2Fwww.webofscience.com%2Fwos%2Fwoscc%2Ffull-record%2FWOS:001053614300001","View Full Record in Web of Science")</f>
        <v>View Full Record in Web of Science</v>
      </c>
    </row>
    <row r="623" spans="1:72" x14ac:dyDescent="0.15">
      <c r="A623" t="s">
        <v>72</v>
      </c>
      <c r="B623" t="s">
        <v>11223</v>
      </c>
      <c r="C623" t="s">
        <v>74</v>
      </c>
      <c r="D623" t="s">
        <v>74</v>
      </c>
      <c r="E623" t="s">
        <v>74</v>
      </c>
      <c r="F623" t="s">
        <v>11224</v>
      </c>
      <c r="G623" t="s">
        <v>74</v>
      </c>
      <c r="H623" t="s">
        <v>74</v>
      </c>
      <c r="I623" t="s">
        <v>11225</v>
      </c>
      <c r="J623" t="s">
        <v>7062</v>
      </c>
      <c r="K623" t="s">
        <v>74</v>
      </c>
      <c r="L623" t="s">
        <v>74</v>
      </c>
      <c r="M623" t="s">
        <v>78</v>
      </c>
      <c r="N623" t="s">
        <v>2650</v>
      </c>
      <c r="O623" t="s">
        <v>74</v>
      </c>
      <c r="P623" t="s">
        <v>74</v>
      </c>
      <c r="Q623" t="s">
        <v>74</v>
      </c>
      <c r="R623" t="s">
        <v>74</v>
      </c>
      <c r="S623" t="s">
        <v>74</v>
      </c>
      <c r="T623" t="s">
        <v>74</v>
      </c>
      <c r="U623" t="s">
        <v>74</v>
      </c>
      <c r="V623" t="s">
        <v>74</v>
      </c>
      <c r="W623" t="s">
        <v>11226</v>
      </c>
      <c r="X623" t="s">
        <v>11227</v>
      </c>
      <c r="Y623" t="s">
        <v>11228</v>
      </c>
      <c r="Z623" t="s">
        <v>11229</v>
      </c>
      <c r="AA623" t="s">
        <v>74</v>
      </c>
      <c r="AB623" t="s">
        <v>74</v>
      </c>
      <c r="AC623" t="s">
        <v>74</v>
      </c>
      <c r="AD623" t="s">
        <v>74</v>
      </c>
      <c r="AE623" t="s">
        <v>74</v>
      </c>
      <c r="AF623" t="s">
        <v>74</v>
      </c>
      <c r="AG623">
        <v>15</v>
      </c>
      <c r="AH623">
        <v>1</v>
      </c>
      <c r="AI623">
        <v>1</v>
      </c>
      <c r="AJ623">
        <v>0</v>
      </c>
      <c r="AK623">
        <v>0</v>
      </c>
      <c r="AL623" t="s">
        <v>1188</v>
      </c>
      <c r="AM623" t="s">
        <v>93</v>
      </c>
      <c r="AN623" t="s">
        <v>1189</v>
      </c>
      <c r="AO623" t="s">
        <v>7069</v>
      </c>
      <c r="AP623" t="s">
        <v>7070</v>
      </c>
      <c r="AQ623" t="s">
        <v>74</v>
      </c>
      <c r="AR623" t="s">
        <v>7071</v>
      </c>
      <c r="AS623" t="s">
        <v>7072</v>
      </c>
      <c r="AT623" t="s">
        <v>11219</v>
      </c>
      <c r="AU623">
        <v>2023</v>
      </c>
      <c r="AV623">
        <v>36</v>
      </c>
      <c r="AW623">
        <v>7</v>
      </c>
      <c r="AX623" t="s">
        <v>74</v>
      </c>
      <c r="AY623" t="s">
        <v>74</v>
      </c>
      <c r="AZ623" t="s">
        <v>5344</v>
      </c>
      <c r="BA623" t="s">
        <v>74</v>
      </c>
      <c r="BB623">
        <v>1207</v>
      </c>
      <c r="BC623">
        <v>1211</v>
      </c>
      <c r="BD623" t="s">
        <v>74</v>
      </c>
      <c r="BE623" t="s">
        <v>11230</v>
      </c>
      <c r="BF623" t="str">
        <f>HYPERLINK("http://dx.doi.org/10.1080/09518398.2023.2203100","http://dx.doi.org/10.1080/09518398.2023.2203100")</f>
        <v>http://dx.doi.org/10.1080/09518398.2023.2203100</v>
      </c>
      <c r="BG623" t="s">
        <v>74</v>
      </c>
      <c r="BH623" t="s">
        <v>74</v>
      </c>
      <c r="BI623">
        <v>5</v>
      </c>
      <c r="BJ623" t="s">
        <v>271</v>
      </c>
      <c r="BK623" t="s">
        <v>211</v>
      </c>
      <c r="BL623" t="s">
        <v>271</v>
      </c>
      <c r="BM623" t="s">
        <v>11231</v>
      </c>
      <c r="BN623" t="s">
        <v>74</v>
      </c>
      <c r="BO623" t="s">
        <v>5391</v>
      </c>
      <c r="BP623" t="s">
        <v>74</v>
      </c>
      <c r="BQ623" t="s">
        <v>74</v>
      </c>
      <c r="BR623" t="s">
        <v>105</v>
      </c>
      <c r="BS623" t="s">
        <v>11232</v>
      </c>
      <c r="BT623" t="str">
        <f>HYPERLINK("https%3A%2F%2Fwww.webofscience.com%2Fwos%2Fwoscc%2Ffull-record%2FWOS:001034385100001","View Full Record in Web of Science")</f>
        <v>View Full Record in Web of Science</v>
      </c>
    </row>
    <row r="624" spans="1:72" x14ac:dyDescent="0.15">
      <c r="A624" t="s">
        <v>72</v>
      </c>
      <c r="B624" t="s">
        <v>11233</v>
      </c>
      <c r="C624" t="s">
        <v>74</v>
      </c>
      <c r="D624" t="s">
        <v>74</v>
      </c>
      <c r="E624" t="s">
        <v>74</v>
      </c>
      <c r="F624" t="s">
        <v>11234</v>
      </c>
      <c r="G624" t="s">
        <v>74</v>
      </c>
      <c r="H624" t="s">
        <v>74</v>
      </c>
      <c r="I624" t="s">
        <v>11235</v>
      </c>
      <c r="J624" t="s">
        <v>6028</v>
      </c>
      <c r="K624" t="s">
        <v>74</v>
      </c>
      <c r="L624" t="s">
        <v>74</v>
      </c>
      <c r="M624" t="s">
        <v>78</v>
      </c>
      <c r="N624" t="s">
        <v>5492</v>
      </c>
      <c r="O624" t="s">
        <v>74</v>
      </c>
      <c r="P624" t="s">
        <v>74</v>
      </c>
      <c r="Q624" t="s">
        <v>74</v>
      </c>
      <c r="R624" t="s">
        <v>74</v>
      </c>
      <c r="S624" t="s">
        <v>74</v>
      </c>
      <c r="T624" t="s">
        <v>11236</v>
      </c>
      <c r="U624" t="s">
        <v>11237</v>
      </c>
      <c r="V624" t="s">
        <v>11238</v>
      </c>
      <c r="W624" t="s">
        <v>11239</v>
      </c>
      <c r="X624" t="s">
        <v>11240</v>
      </c>
      <c r="Y624" t="s">
        <v>11241</v>
      </c>
      <c r="Z624" t="s">
        <v>11242</v>
      </c>
      <c r="AA624" t="s">
        <v>74</v>
      </c>
      <c r="AB624" t="s">
        <v>74</v>
      </c>
      <c r="AC624" t="s">
        <v>11243</v>
      </c>
      <c r="AD624" t="s">
        <v>11244</v>
      </c>
      <c r="AE624" t="s">
        <v>11245</v>
      </c>
      <c r="AF624" t="s">
        <v>74</v>
      </c>
      <c r="AG624">
        <v>44</v>
      </c>
      <c r="AH624">
        <v>0</v>
      </c>
      <c r="AI624">
        <v>0</v>
      </c>
      <c r="AJ624">
        <v>5</v>
      </c>
      <c r="AK624">
        <v>5</v>
      </c>
      <c r="AL624" t="s">
        <v>1188</v>
      </c>
      <c r="AM624" t="s">
        <v>93</v>
      </c>
      <c r="AN624" t="s">
        <v>1189</v>
      </c>
      <c r="AO624" t="s">
        <v>6036</v>
      </c>
      <c r="AP624" t="s">
        <v>6037</v>
      </c>
      <c r="AQ624" t="s">
        <v>74</v>
      </c>
      <c r="AR624" t="s">
        <v>6038</v>
      </c>
      <c r="AS624" t="s">
        <v>6039</v>
      </c>
      <c r="AT624" t="s">
        <v>11108</v>
      </c>
      <c r="AU624">
        <v>2023</v>
      </c>
      <c r="AV624" t="s">
        <v>74</v>
      </c>
      <c r="AW624" t="s">
        <v>74</v>
      </c>
      <c r="AX624" t="s">
        <v>74</v>
      </c>
      <c r="AY624" t="s">
        <v>74</v>
      </c>
      <c r="AZ624" t="s">
        <v>74</v>
      </c>
      <c r="BA624" t="s">
        <v>74</v>
      </c>
      <c r="BB624" t="s">
        <v>74</v>
      </c>
      <c r="BC624" t="s">
        <v>74</v>
      </c>
      <c r="BD624" t="s">
        <v>74</v>
      </c>
      <c r="BE624" t="s">
        <v>11246</v>
      </c>
      <c r="BF624" t="str">
        <f>HYPERLINK("http://dx.doi.org/10.1080/13683500.2023.2245108","http://dx.doi.org/10.1080/13683500.2023.2245108")</f>
        <v>http://dx.doi.org/10.1080/13683500.2023.2245108</v>
      </c>
      <c r="BG624" t="s">
        <v>74</v>
      </c>
      <c r="BH624" t="s">
        <v>8608</v>
      </c>
      <c r="BI624">
        <v>17</v>
      </c>
      <c r="BJ624" t="s">
        <v>5731</v>
      </c>
      <c r="BK624" t="s">
        <v>272</v>
      </c>
      <c r="BL624" t="s">
        <v>397</v>
      </c>
      <c r="BM624" t="s">
        <v>11247</v>
      </c>
      <c r="BN624" t="s">
        <v>74</v>
      </c>
      <c r="BO624" t="s">
        <v>74</v>
      </c>
      <c r="BP624" t="s">
        <v>74</v>
      </c>
      <c r="BQ624" t="s">
        <v>74</v>
      </c>
      <c r="BR624" t="s">
        <v>105</v>
      </c>
      <c r="BS624" t="s">
        <v>11248</v>
      </c>
      <c r="BT624" t="str">
        <f>HYPERLINK("https%3A%2F%2Fwww.webofscience.com%2Fwos%2Fwoscc%2Ffull-record%2FWOS:001043197400001","View Full Record in Web of Science")</f>
        <v>View Full Record in Web of Science</v>
      </c>
    </row>
    <row r="625" spans="1:72" x14ac:dyDescent="0.15">
      <c r="A625" t="s">
        <v>72</v>
      </c>
      <c r="B625" t="s">
        <v>11249</v>
      </c>
      <c r="C625" t="s">
        <v>74</v>
      </c>
      <c r="D625" t="s">
        <v>74</v>
      </c>
      <c r="E625" t="s">
        <v>74</v>
      </c>
      <c r="F625" t="s">
        <v>11250</v>
      </c>
      <c r="G625" t="s">
        <v>74</v>
      </c>
      <c r="H625" t="s">
        <v>74</v>
      </c>
      <c r="I625" t="s">
        <v>11251</v>
      </c>
      <c r="J625" t="s">
        <v>11252</v>
      </c>
      <c r="K625" t="s">
        <v>74</v>
      </c>
      <c r="L625" t="s">
        <v>74</v>
      </c>
      <c r="M625" t="s">
        <v>78</v>
      </c>
      <c r="N625" t="s">
        <v>5492</v>
      </c>
      <c r="O625" t="s">
        <v>74</v>
      </c>
      <c r="P625" t="s">
        <v>74</v>
      </c>
      <c r="Q625" t="s">
        <v>74</v>
      </c>
      <c r="R625" t="s">
        <v>74</v>
      </c>
      <c r="S625" t="s">
        <v>74</v>
      </c>
      <c r="T625" t="s">
        <v>74</v>
      </c>
      <c r="U625" t="s">
        <v>74</v>
      </c>
      <c r="V625" t="s">
        <v>11253</v>
      </c>
      <c r="W625" t="s">
        <v>11254</v>
      </c>
      <c r="X625" t="s">
        <v>11255</v>
      </c>
      <c r="Y625" t="s">
        <v>11256</v>
      </c>
      <c r="Z625" t="s">
        <v>74</v>
      </c>
      <c r="AA625" t="s">
        <v>74</v>
      </c>
      <c r="AB625" t="s">
        <v>74</v>
      </c>
      <c r="AC625" t="s">
        <v>74</v>
      </c>
      <c r="AD625" t="s">
        <v>74</v>
      </c>
      <c r="AE625" t="s">
        <v>74</v>
      </c>
      <c r="AF625" t="s">
        <v>74</v>
      </c>
      <c r="AG625">
        <v>47</v>
      </c>
      <c r="AH625">
        <v>0</v>
      </c>
      <c r="AI625">
        <v>0</v>
      </c>
      <c r="AJ625">
        <v>2</v>
      </c>
      <c r="AK625">
        <v>2</v>
      </c>
      <c r="AL625" t="s">
        <v>92</v>
      </c>
      <c r="AM625" t="s">
        <v>93</v>
      </c>
      <c r="AN625" t="s">
        <v>94</v>
      </c>
      <c r="AO625" t="s">
        <v>11257</v>
      </c>
      <c r="AP625" t="s">
        <v>11258</v>
      </c>
      <c r="AQ625" t="s">
        <v>74</v>
      </c>
      <c r="AR625" t="s">
        <v>11259</v>
      </c>
      <c r="AS625" t="s">
        <v>11260</v>
      </c>
      <c r="AT625" t="s">
        <v>11108</v>
      </c>
      <c r="AU625">
        <v>2023</v>
      </c>
      <c r="AV625" t="s">
        <v>74</v>
      </c>
      <c r="AW625" t="s">
        <v>74</v>
      </c>
      <c r="AX625" t="s">
        <v>74</v>
      </c>
      <c r="AY625" t="s">
        <v>74</v>
      </c>
      <c r="AZ625" t="s">
        <v>74</v>
      </c>
      <c r="BA625" t="s">
        <v>74</v>
      </c>
      <c r="BB625" t="s">
        <v>74</v>
      </c>
      <c r="BC625" t="s">
        <v>74</v>
      </c>
      <c r="BD625" t="s">
        <v>74</v>
      </c>
      <c r="BE625" t="s">
        <v>11261</v>
      </c>
      <c r="BF625" t="str">
        <f>HYPERLINK("http://dx.doi.org/10.1080/1472586X.2023.2232759","http://dx.doi.org/10.1080/1472586X.2023.2232759")</f>
        <v>http://dx.doi.org/10.1080/1472586X.2023.2232759</v>
      </c>
      <c r="BG625" t="s">
        <v>74</v>
      </c>
      <c r="BH625" t="s">
        <v>8608</v>
      </c>
      <c r="BI625">
        <v>14</v>
      </c>
      <c r="BJ625" t="s">
        <v>575</v>
      </c>
      <c r="BK625" t="s">
        <v>6264</v>
      </c>
      <c r="BL625" t="s">
        <v>576</v>
      </c>
      <c r="BM625" t="s">
        <v>11262</v>
      </c>
      <c r="BN625" t="s">
        <v>74</v>
      </c>
      <c r="BO625" t="s">
        <v>5391</v>
      </c>
      <c r="BP625" t="s">
        <v>74</v>
      </c>
      <c r="BQ625" t="s">
        <v>74</v>
      </c>
      <c r="BR625" t="s">
        <v>105</v>
      </c>
      <c r="BS625" t="s">
        <v>11263</v>
      </c>
      <c r="BT625" t="str">
        <f>HYPERLINK("https%3A%2F%2Fwww.webofscience.com%2Fwos%2Fwoscc%2Ffull-record%2FWOS:001046614100001","View Full Record in Web of Science")</f>
        <v>View Full Record in Web of Science</v>
      </c>
    </row>
    <row r="626" spans="1:72" x14ac:dyDescent="0.15">
      <c r="A626" t="s">
        <v>72</v>
      </c>
      <c r="B626" t="s">
        <v>11264</v>
      </c>
      <c r="C626" t="s">
        <v>74</v>
      </c>
      <c r="D626" t="s">
        <v>74</v>
      </c>
      <c r="E626" t="s">
        <v>74</v>
      </c>
      <c r="F626" t="s">
        <v>11264</v>
      </c>
      <c r="G626" t="s">
        <v>74</v>
      </c>
      <c r="H626" t="s">
        <v>74</v>
      </c>
      <c r="I626" t="s">
        <v>11265</v>
      </c>
      <c r="J626" t="s">
        <v>11266</v>
      </c>
      <c r="K626" t="s">
        <v>74</v>
      </c>
      <c r="L626" t="s">
        <v>74</v>
      </c>
      <c r="M626" t="s">
        <v>78</v>
      </c>
      <c r="N626" t="s">
        <v>11267</v>
      </c>
      <c r="O626" t="s">
        <v>74</v>
      </c>
      <c r="P626" t="s">
        <v>74</v>
      </c>
      <c r="Q626" t="s">
        <v>74</v>
      </c>
      <c r="R626" t="s">
        <v>74</v>
      </c>
      <c r="S626" t="s">
        <v>74</v>
      </c>
      <c r="T626" t="s">
        <v>74</v>
      </c>
      <c r="U626" t="s">
        <v>74</v>
      </c>
      <c r="V626" t="s">
        <v>74</v>
      </c>
      <c r="W626" t="s">
        <v>74</v>
      </c>
      <c r="X626" t="s">
        <v>74</v>
      </c>
      <c r="Y626" t="s">
        <v>74</v>
      </c>
      <c r="Z626" t="s">
        <v>74</v>
      </c>
      <c r="AA626" t="s">
        <v>74</v>
      </c>
      <c r="AB626" t="s">
        <v>74</v>
      </c>
      <c r="AC626" t="s">
        <v>74</v>
      </c>
      <c r="AD626" t="s">
        <v>74</v>
      </c>
      <c r="AE626" t="s">
        <v>74</v>
      </c>
      <c r="AF626" t="s">
        <v>74</v>
      </c>
      <c r="AG626">
        <v>1</v>
      </c>
      <c r="AH626">
        <v>0</v>
      </c>
      <c r="AI626">
        <v>0</v>
      </c>
      <c r="AJ626">
        <v>0</v>
      </c>
      <c r="AK626">
        <v>0</v>
      </c>
      <c r="AL626" t="s">
        <v>1188</v>
      </c>
      <c r="AM626" t="s">
        <v>93</v>
      </c>
      <c r="AN626" t="s">
        <v>1189</v>
      </c>
      <c r="AO626" t="s">
        <v>11268</v>
      </c>
      <c r="AP626" t="s">
        <v>11269</v>
      </c>
      <c r="AQ626" t="s">
        <v>74</v>
      </c>
      <c r="AR626" t="s">
        <v>11270</v>
      </c>
      <c r="AS626" t="s">
        <v>11271</v>
      </c>
      <c r="AT626" t="s">
        <v>11108</v>
      </c>
      <c r="AU626">
        <v>2023</v>
      </c>
      <c r="AV626" t="s">
        <v>74</v>
      </c>
      <c r="AW626" t="s">
        <v>74</v>
      </c>
      <c r="AX626" t="s">
        <v>74</v>
      </c>
      <c r="AY626" t="s">
        <v>74</v>
      </c>
      <c r="AZ626" t="s">
        <v>74</v>
      </c>
      <c r="BA626" t="s">
        <v>74</v>
      </c>
      <c r="BB626" t="s">
        <v>74</v>
      </c>
      <c r="BC626" t="s">
        <v>74</v>
      </c>
      <c r="BD626" t="s">
        <v>74</v>
      </c>
      <c r="BE626" t="s">
        <v>11272</v>
      </c>
      <c r="BF626" t="str">
        <f>HYPERLINK("http://dx.doi.org/10.1080/07481187.2023.2246734","http://dx.doi.org/10.1080/07481187.2023.2246734")</f>
        <v>http://dx.doi.org/10.1080/07481187.2023.2246734</v>
      </c>
      <c r="BG626" t="s">
        <v>74</v>
      </c>
      <c r="BH626" t="s">
        <v>8608</v>
      </c>
      <c r="BI626">
        <v>1</v>
      </c>
      <c r="BJ626" t="s">
        <v>11273</v>
      </c>
      <c r="BK626" t="s">
        <v>272</v>
      </c>
      <c r="BL626" t="s">
        <v>11274</v>
      </c>
      <c r="BM626" t="s">
        <v>11275</v>
      </c>
      <c r="BN626" t="s">
        <v>74</v>
      </c>
      <c r="BO626" t="s">
        <v>5391</v>
      </c>
      <c r="BP626" t="s">
        <v>74</v>
      </c>
      <c r="BQ626" t="s">
        <v>74</v>
      </c>
      <c r="BR626" t="s">
        <v>105</v>
      </c>
      <c r="BS626" t="s">
        <v>11276</v>
      </c>
      <c r="BT626" t="str">
        <f>HYPERLINK("https%3A%2F%2Fwww.webofscience.com%2Fwos%2Fwoscc%2Ffull-record%2FWOS:001050330000001","View Full Record in Web of Science")</f>
        <v>View Full Record in Web of Science</v>
      </c>
    </row>
    <row r="627" spans="1:72" x14ac:dyDescent="0.15">
      <c r="A627" t="s">
        <v>72</v>
      </c>
      <c r="B627" t="s">
        <v>11277</v>
      </c>
      <c r="C627" t="s">
        <v>74</v>
      </c>
      <c r="D627" t="s">
        <v>74</v>
      </c>
      <c r="E627" t="s">
        <v>74</v>
      </c>
      <c r="F627" t="s">
        <v>11278</v>
      </c>
      <c r="G627" t="s">
        <v>74</v>
      </c>
      <c r="H627" t="s">
        <v>74</v>
      </c>
      <c r="I627" t="s">
        <v>11279</v>
      </c>
      <c r="J627" t="s">
        <v>11280</v>
      </c>
      <c r="K627" t="s">
        <v>74</v>
      </c>
      <c r="L627" t="s">
        <v>74</v>
      </c>
      <c r="M627" t="s">
        <v>78</v>
      </c>
      <c r="N627" t="s">
        <v>5492</v>
      </c>
      <c r="O627" t="s">
        <v>74</v>
      </c>
      <c r="P627" t="s">
        <v>74</v>
      </c>
      <c r="Q627" t="s">
        <v>74</v>
      </c>
      <c r="R627" t="s">
        <v>74</v>
      </c>
      <c r="S627" t="s">
        <v>74</v>
      </c>
      <c r="T627" t="s">
        <v>11281</v>
      </c>
      <c r="U627" t="s">
        <v>11282</v>
      </c>
      <c r="V627" t="s">
        <v>11283</v>
      </c>
      <c r="W627" t="s">
        <v>11284</v>
      </c>
      <c r="X627" t="s">
        <v>74</v>
      </c>
      <c r="Y627" t="s">
        <v>11285</v>
      </c>
      <c r="Z627" t="s">
        <v>11286</v>
      </c>
      <c r="AA627" t="s">
        <v>74</v>
      </c>
      <c r="AB627" t="s">
        <v>74</v>
      </c>
      <c r="AC627" t="s">
        <v>74</v>
      </c>
      <c r="AD627" t="s">
        <v>74</v>
      </c>
      <c r="AE627" t="s">
        <v>74</v>
      </c>
      <c r="AF627" t="s">
        <v>74</v>
      </c>
      <c r="AG627">
        <v>59</v>
      </c>
      <c r="AH627">
        <v>0</v>
      </c>
      <c r="AI627">
        <v>0</v>
      </c>
      <c r="AJ627">
        <v>0</v>
      </c>
      <c r="AK627">
        <v>0</v>
      </c>
      <c r="AL627" t="s">
        <v>1188</v>
      </c>
      <c r="AM627" t="s">
        <v>93</v>
      </c>
      <c r="AN627" t="s">
        <v>1189</v>
      </c>
      <c r="AO627" t="s">
        <v>11287</v>
      </c>
      <c r="AP627" t="s">
        <v>11288</v>
      </c>
      <c r="AQ627" t="s">
        <v>74</v>
      </c>
      <c r="AR627" t="s">
        <v>11289</v>
      </c>
      <c r="AS627" t="s">
        <v>11290</v>
      </c>
      <c r="AT627" t="s">
        <v>11291</v>
      </c>
      <c r="AU627">
        <v>2023</v>
      </c>
      <c r="AV627" t="s">
        <v>74</v>
      </c>
      <c r="AW627" t="s">
        <v>74</v>
      </c>
      <c r="AX627" t="s">
        <v>74</v>
      </c>
      <c r="AY627" t="s">
        <v>74</v>
      </c>
      <c r="AZ627" t="s">
        <v>74</v>
      </c>
      <c r="BA627" t="s">
        <v>74</v>
      </c>
      <c r="BB627" t="s">
        <v>74</v>
      </c>
      <c r="BC627" t="s">
        <v>74</v>
      </c>
      <c r="BD627" t="s">
        <v>74</v>
      </c>
      <c r="BE627" t="s">
        <v>11292</v>
      </c>
      <c r="BF627" t="str">
        <f>HYPERLINK("http://dx.doi.org/10.1080/02582473.2023.2235910","http://dx.doi.org/10.1080/02582473.2023.2235910")</f>
        <v>http://dx.doi.org/10.1080/02582473.2023.2235910</v>
      </c>
      <c r="BG627" t="s">
        <v>74</v>
      </c>
      <c r="BH627" t="s">
        <v>8608</v>
      </c>
      <c r="BI627">
        <v>22</v>
      </c>
      <c r="BJ627" t="s">
        <v>6263</v>
      </c>
      <c r="BK627" t="s">
        <v>7170</v>
      </c>
      <c r="BL627" t="s">
        <v>6263</v>
      </c>
      <c r="BM627" t="s">
        <v>11293</v>
      </c>
      <c r="BN627" t="s">
        <v>74</v>
      </c>
      <c r="BO627" t="s">
        <v>74</v>
      </c>
      <c r="BP627" t="s">
        <v>74</v>
      </c>
      <c r="BQ627" t="s">
        <v>74</v>
      </c>
      <c r="BR627" t="s">
        <v>105</v>
      </c>
      <c r="BS627" t="s">
        <v>11294</v>
      </c>
      <c r="BT627" t="str">
        <f>HYPERLINK("https%3A%2F%2Fwww.webofscience.com%2Fwos%2Fwoscc%2Ffull-record%2FWOS:001044071800001","View Full Record in Web of Science")</f>
        <v>View Full Record in Web of Science</v>
      </c>
    </row>
    <row r="628" spans="1:72" x14ac:dyDescent="0.15">
      <c r="A628" t="s">
        <v>72</v>
      </c>
      <c r="B628" t="s">
        <v>11295</v>
      </c>
      <c r="C628" t="s">
        <v>74</v>
      </c>
      <c r="D628" t="s">
        <v>74</v>
      </c>
      <c r="E628" t="s">
        <v>74</v>
      </c>
      <c r="F628" t="s">
        <v>11296</v>
      </c>
      <c r="G628" t="s">
        <v>74</v>
      </c>
      <c r="H628" t="s">
        <v>74</v>
      </c>
      <c r="I628" t="s">
        <v>11297</v>
      </c>
      <c r="J628" t="s">
        <v>11298</v>
      </c>
      <c r="K628" t="s">
        <v>74</v>
      </c>
      <c r="L628" t="s">
        <v>74</v>
      </c>
      <c r="M628" t="s">
        <v>78</v>
      </c>
      <c r="N628" t="s">
        <v>5492</v>
      </c>
      <c r="O628" t="s">
        <v>74</v>
      </c>
      <c r="P628" t="s">
        <v>74</v>
      </c>
      <c r="Q628" t="s">
        <v>74</v>
      </c>
      <c r="R628" t="s">
        <v>74</v>
      </c>
      <c r="S628" t="s">
        <v>74</v>
      </c>
      <c r="T628" t="s">
        <v>11299</v>
      </c>
      <c r="U628" t="s">
        <v>11300</v>
      </c>
      <c r="V628" t="s">
        <v>11301</v>
      </c>
      <c r="W628" t="s">
        <v>11302</v>
      </c>
      <c r="X628" t="s">
        <v>11303</v>
      </c>
      <c r="Y628" t="s">
        <v>11304</v>
      </c>
      <c r="Z628" t="s">
        <v>11305</v>
      </c>
      <c r="AA628" t="s">
        <v>11306</v>
      </c>
      <c r="AB628" t="s">
        <v>11307</v>
      </c>
      <c r="AC628" t="s">
        <v>74</v>
      </c>
      <c r="AD628" t="s">
        <v>74</v>
      </c>
      <c r="AE628" t="s">
        <v>74</v>
      </c>
      <c r="AF628" t="s">
        <v>74</v>
      </c>
      <c r="AG628">
        <v>42</v>
      </c>
      <c r="AH628">
        <v>0</v>
      </c>
      <c r="AI628">
        <v>0</v>
      </c>
      <c r="AJ628">
        <v>1</v>
      </c>
      <c r="AK628">
        <v>1</v>
      </c>
      <c r="AL628" t="s">
        <v>92</v>
      </c>
      <c r="AM628" t="s">
        <v>93</v>
      </c>
      <c r="AN628" t="s">
        <v>94</v>
      </c>
      <c r="AO628" t="s">
        <v>11308</v>
      </c>
      <c r="AP628" t="s">
        <v>11309</v>
      </c>
      <c r="AQ628" t="s">
        <v>74</v>
      </c>
      <c r="AR628" t="s">
        <v>11310</v>
      </c>
      <c r="AS628" t="s">
        <v>11311</v>
      </c>
      <c r="AT628" t="s">
        <v>11291</v>
      </c>
      <c r="AU628">
        <v>2023</v>
      </c>
      <c r="AV628" t="s">
        <v>74</v>
      </c>
      <c r="AW628" t="s">
        <v>74</v>
      </c>
      <c r="AX628" t="s">
        <v>74</v>
      </c>
      <c r="AY628" t="s">
        <v>74</v>
      </c>
      <c r="AZ628" t="s">
        <v>74</v>
      </c>
      <c r="BA628" t="s">
        <v>74</v>
      </c>
      <c r="BB628" t="s">
        <v>74</v>
      </c>
      <c r="BC628" t="s">
        <v>74</v>
      </c>
      <c r="BD628" t="s">
        <v>74</v>
      </c>
      <c r="BE628" t="s">
        <v>11312</v>
      </c>
      <c r="BF628" t="str">
        <f>HYPERLINK("http://dx.doi.org/10.1080/15569527.2023.2243499","http://dx.doi.org/10.1080/15569527.2023.2243499")</f>
        <v>http://dx.doi.org/10.1080/15569527.2023.2243499</v>
      </c>
      <c r="BG628" t="s">
        <v>74</v>
      </c>
      <c r="BH628" t="s">
        <v>8608</v>
      </c>
      <c r="BI628">
        <v>5</v>
      </c>
      <c r="BJ628" t="s">
        <v>11313</v>
      </c>
      <c r="BK628" t="s">
        <v>102</v>
      </c>
      <c r="BL628" t="s">
        <v>11313</v>
      </c>
      <c r="BM628" t="s">
        <v>11314</v>
      </c>
      <c r="BN628">
        <v>37531136</v>
      </c>
      <c r="BO628" t="s">
        <v>74</v>
      </c>
      <c r="BP628" t="s">
        <v>74</v>
      </c>
      <c r="BQ628" t="s">
        <v>74</v>
      </c>
      <c r="BR628" t="s">
        <v>105</v>
      </c>
      <c r="BS628" t="s">
        <v>11315</v>
      </c>
      <c r="BT628" t="str">
        <f>HYPERLINK("https%3A%2F%2Fwww.webofscience.com%2Fwos%2Fwoscc%2Ffull-record%2FWOS:001044062800001","View Full Record in Web of Science")</f>
        <v>View Full Record in Web of Science</v>
      </c>
    </row>
    <row r="629" spans="1:72" x14ac:dyDescent="0.15">
      <c r="A629" t="s">
        <v>72</v>
      </c>
      <c r="B629" t="s">
        <v>11316</v>
      </c>
      <c r="C629" t="s">
        <v>74</v>
      </c>
      <c r="D629" t="s">
        <v>74</v>
      </c>
      <c r="E629" t="s">
        <v>74</v>
      </c>
      <c r="F629" t="s">
        <v>11317</v>
      </c>
      <c r="G629" t="s">
        <v>74</v>
      </c>
      <c r="H629" t="s">
        <v>74</v>
      </c>
      <c r="I629" t="s">
        <v>11318</v>
      </c>
      <c r="J629" t="s">
        <v>4834</v>
      </c>
      <c r="K629" t="s">
        <v>74</v>
      </c>
      <c r="L629" t="s">
        <v>74</v>
      </c>
      <c r="M629" t="s">
        <v>78</v>
      </c>
      <c r="N629" t="s">
        <v>79</v>
      </c>
      <c r="O629" t="s">
        <v>74</v>
      </c>
      <c r="P629" t="s">
        <v>74</v>
      </c>
      <c r="Q629" t="s">
        <v>74</v>
      </c>
      <c r="R629" t="s">
        <v>74</v>
      </c>
      <c r="S629" t="s">
        <v>74</v>
      </c>
      <c r="T629" t="s">
        <v>11319</v>
      </c>
      <c r="U629" t="s">
        <v>11320</v>
      </c>
      <c r="V629" t="s">
        <v>11321</v>
      </c>
      <c r="W629" t="s">
        <v>11322</v>
      </c>
      <c r="X629" t="s">
        <v>11323</v>
      </c>
      <c r="Y629" t="s">
        <v>11324</v>
      </c>
      <c r="Z629" t="s">
        <v>11325</v>
      </c>
      <c r="AA629" t="s">
        <v>74</v>
      </c>
      <c r="AB629" t="s">
        <v>74</v>
      </c>
      <c r="AC629" t="s">
        <v>11326</v>
      </c>
      <c r="AD629" t="s">
        <v>11326</v>
      </c>
      <c r="AE629" t="s">
        <v>11327</v>
      </c>
      <c r="AF629" t="s">
        <v>74</v>
      </c>
      <c r="AG629">
        <v>20</v>
      </c>
      <c r="AH629">
        <v>0</v>
      </c>
      <c r="AI629">
        <v>0</v>
      </c>
      <c r="AJ629">
        <v>0</v>
      </c>
      <c r="AK629">
        <v>0</v>
      </c>
      <c r="AL629" t="s">
        <v>92</v>
      </c>
      <c r="AM629" t="s">
        <v>93</v>
      </c>
      <c r="AN629" t="s">
        <v>94</v>
      </c>
      <c r="AO629" t="s">
        <v>4842</v>
      </c>
      <c r="AP629" t="s">
        <v>4843</v>
      </c>
      <c r="AQ629" t="s">
        <v>74</v>
      </c>
      <c r="AR629" t="s">
        <v>4844</v>
      </c>
      <c r="AS629" t="s">
        <v>4845</v>
      </c>
      <c r="AT629" t="s">
        <v>11328</v>
      </c>
      <c r="AU629">
        <v>2023</v>
      </c>
      <c r="AV629">
        <v>39</v>
      </c>
      <c r="AW629">
        <v>1</v>
      </c>
      <c r="AX629" t="s">
        <v>74</v>
      </c>
      <c r="AY629" t="s">
        <v>74</v>
      </c>
      <c r="AZ629" t="s">
        <v>74</v>
      </c>
      <c r="BA629" t="s">
        <v>74</v>
      </c>
      <c r="BB629" t="s">
        <v>74</v>
      </c>
      <c r="BC629" t="s">
        <v>74</v>
      </c>
      <c r="BD629">
        <v>2245479</v>
      </c>
      <c r="BE629" t="s">
        <v>11329</v>
      </c>
      <c r="BF629" t="str">
        <f>HYPERLINK("http://dx.doi.org/10.1080/09513590.2023.2245479","http://dx.doi.org/10.1080/09513590.2023.2245479")</f>
        <v>http://dx.doi.org/10.1080/09513590.2023.2245479</v>
      </c>
      <c r="BG629" t="s">
        <v>74</v>
      </c>
      <c r="BH629" t="s">
        <v>74</v>
      </c>
      <c r="BI629">
        <v>8</v>
      </c>
      <c r="BJ629" t="s">
        <v>4848</v>
      </c>
      <c r="BK629" t="s">
        <v>102</v>
      </c>
      <c r="BL629" t="s">
        <v>4848</v>
      </c>
      <c r="BM629" t="s">
        <v>11330</v>
      </c>
      <c r="BN629">
        <v>37582396</v>
      </c>
      <c r="BO629" t="s">
        <v>887</v>
      </c>
      <c r="BP629" t="s">
        <v>74</v>
      </c>
      <c r="BQ629" t="s">
        <v>74</v>
      </c>
      <c r="BR629" t="s">
        <v>105</v>
      </c>
      <c r="BS629" t="s">
        <v>11331</v>
      </c>
      <c r="BT629" t="str">
        <f>HYPERLINK("https%3A%2F%2Fwww.webofscience.com%2Fwos%2Fwoscc%2Ffull-record%2FWOS:001048950200001","View Full Record in Web of Science")</f>
        <v>View Full Record in Web of Science</v>
      </c>
    </row>
    <row r="630" spans="1:72" x14ac:dyDescent="0.15">
      <c r="A630" t="s">
        <v>72</v>
      </c>
      <c r="B630" t="s">
        <v>11332</v>
      </c>
      <c r="C630" t="s">
        <v>74</v>
      </c>
      <c r="D630" t="s">
        <v>74</v>
      </c>
      <c r="E630" t="s">
        <v>74</v>
      </c>
      <c r="F630" t="s">
        <v>11333</v>
      </c>
      <c r="G630" t="s">
        <v>74</v>
      </c>
      <c r="H630" t="s">
        <v>74</v>
      </c>
      <c r="I630" t="s">
        <v>11334</v>
      </c>
      <c r="J630" t="s">
        <v>9925</v>
      </c>
      <c r="K630" t="s">
        <v>74</v>
      </c>
      <c r="L630" t="s">
        <v>74</v>
      </c>
      <c r="M630" t="s">
        <v>78</v>
      </c>
      <c r="N630" t="s">
        <v>5492</v>
      </c>
      <c r="O630" t="s">
        <v>74</v>
      </c>
      <c r="P630" t="s">
        <v>74</v>
      </c>
      <c r="Q630" t="s">
        <v>74</v>
      </c>
      <c r="R630" t="s">
        <v>74</v>
      </c>
      <c r="S630" t="s">
        <v>74</v>
      </c>
      <c r="T630" t="s">
        <v>11335</v>
      </c>
      <c r="U630" t="s">
        <v>74</v>
      </c>
      <c r="V630" t="s">
        <v>11336</v>
      </c>
      <c r="W630" t="s">
        <v>11337</v>
      </c>
      <c r="X630" t="s">
        <v>11338</v>
      </c>
      <c r="Y630" t="s">
        <v>11339</v>
      </c>
      <c r="Z630" t="s">
        <v>11340</v>
      </c>
      <c r="AA630" t="s">
        <v>74</v>
      </c>
      <c r="AB630" t="s">
        <v>11341</v>
      </c>
      <c r="AC630" t="s">
        <v>11342</v>
      </c>
      <c r="AD630" t="s">
        <v>11343</v>
      </c>
      <c r="AE630" t="s">
        <v>11344</v>
      </c>
      <c r="AF630" t="s">
        <v>74</v>
      </c>
      <c r="AG630">
        <v>24</v>
      </c>
      <c r="AH630">
        <v>0</v>
      </c>
      <c r="AI630">
        <v>0</v>
      </c>
      <c r="AJ630">
        <v>2</v>
      </c>
      <c r="AK630">
        <v>2</v>
      </c>
      <c r="AL630" t="s">
        <v>92</v>
      </c>
      <c r="AM630" t="s">
        <v>93</v>
      </c>
      <c r="AN630" t="s">
        <v>94</v>
      </c>
      <c r="AO630" t="s">
        <v>9927</v>
      </c>
      <c r="AP630" t="s">
        <v>9928</v>
      </c>
      <c r="AQ630" t="s">
        <v>74</v>
      </c>
      <c r="AR630" t="s">
        <v>9929</v>
      </c>
      <c r="AS630" t="s">
        <v>9930</v>
      </c>
      <c r="AT630" t="s">
        <v>11291</v>
      </c>
      <c r="AU630">
        <v>2023</v>
      </c>
      <c r="AV630" t="s">
        <v>74</v>
      </c>
      <c r="AW630" t="s">
        <v>74</v>
      </c>
      <c r="AX630" t="s">
        <v>74</v>
      </c>
      <c r="AY630" t="s">
        <v>74</v>
      </c>
      <c r="AZ630" t="s">
        <v>74</v>
      </c>
      <c r="BA630" t="s">
        <v>74</v>
      </c>
      <c r="BB630" t="s">
        <v>74</v>
      </c>
      <c r="BC630" t="s">
        <v>74</v>
      </c>
      <c r="BD630" t="s">
        <v>74</v>
      </c>
      <c r="BE630" t="s">
        <v>11345</v>
      </c>
      <c r="BF630" t="str">
        <f>HYPERLINK("http://dx.doi.org/10.1080/00207543.2023.2241565","http://dx.doi.org/10.1080/00207543.2023.2241565")</f>
        <v>http://dx.doi.org/10.1080/00207543.2023.2241565</v>
      </c>
      <c r="BG630" t="s">
        <v>74</v>
      </c>
      <c r="BH630" t="s">
        <v>8608</v>
      </c>
      <c r="BI630">
        <v>18</v>
      </c>
      <c r="BJ630" t="s">
        <v>7565</v>
      </c>
      <c r="BK630" t="s">
        <v>102</v>
      </c>
      <c r="BL630" t="s">
        <v>332</v>
      </c>
      <c r="BM630" t="s">
        <v>11346</v>
      </c>
      <c r="BN630" t="s">
        <v>74</v>
      </c>
      <c r="BO630" t="s">
        <v>74</v>
      </c>
      <c r="BP630" t="s">
        <v>74</v>
      </c>
      <c r="BQ630" t="s">
        <v>74</v>
      </c>
      <c r="BR630" t="s">
        <v>105</v>
      </c>
      <c r="BS630" t="s">
        <v>11347</v>
      </c>
      <c r="BT630" t="str">
        <f>HYPERLINK("https%3A%2F%2Fwww.webofscience.com%2Fwos%2Fwoscc%2Ffull-record%2FWOS:001044239400001","View Full Record in Web of Science")</f>
        <v>View Full Record in Web of Science</v>
      </c>
    </row>
    <row r="631" spans="1:72" x14ac:dyDescent="0.15">
      <c r="A631" t="s">
        <v>72</v>
      </c>
      <c r="B631" t="s">
        <v>11348</v>
      </c>
      <c r="C631" t="s">
        <v>74</v>
      </c>
      <c r="D631" t="s">
        <v>74</v>
      </c>
      <c r="E631" t="s">
        <v>74</v>
      </c>
      <c r="F631" t="s">
        <v>11349</v>
      </c>
      <c r="G631" t="s">
        <v>74</v>
      </c>
      <c r="H631" t="s">
        <v>74</v>
      </c>
      <c r="I631" t="s">
        <v>11350</v>
      </c>
      <c r="J631" t="s">
        <v>11351</v>
      </c>
      <c r="K631" t="s">
        <v>74</v>
      </c>
      <c r="L631" t="s">
        <v>74</v>
      </c>
      <c r="M631" t="s">
        <v>78</v>
      </c>
      <c r="N631" t="s">
        <v>79</v>
      </c>
      <c r="O631" t="s">
        <v>74</v>
      </c>
      <c r="P631" t="s">
        <v>74</v>
      </c>
      <c r="Q631" t="s">
        <v>74</v>
      </c>
      <c r="R631" t="s">
        <v>74</v>
      </c>
      <c r="S631" t="s">
        <v>74</v>
      </c>
      <c r="T631" t="s">
        <v>11352</v>
      </c>
      <c r="U631" t="s">
        <v>74</v>
      </c>
      <c r="V631" t="s">
        <v>11353</v>
      </c>
      <c r="W631" t="s">
        <v>11354</v>
      </c>
      <c r="X631" t="s">
        <v>11355</v>
      </c>
      <c r="Y631" t="s">
        <v>11356</v>
      </c>
      <c r="Z631" t="s">
        <v>74</v>
      </c>
      <c r="AA631" t="s">
        <v>74</v>
      </c>
      <c r="AB631" t="s">
        <v>74</v>
      </c>
      <c r="AC631" t="s">
        <v>74</v>
      </c>
      <c r="AD631" t="s">
        <v>74</v>
      </c>
      <c r="AE631" t="s">
        <v>74</v>
      </c>
      <c r="AF631" t="s">
        <v>74</v>
      </c>
      <c r="AG631">
        <v>5</v>
      </c>
      <c r="AH631">
        <v>0</v>
      </c>
      <c r="AI631">
        <v>0</v>
      </c>
      <c r="AJ631">
        <v>0</v>
      </c>
      <c r="AK631">
        <v>0</v>
      </c>
      <c r="AL631" t="s">
        <v>1188</v>
      </c>
      <c r="AM631" t="s">
        <v>93</v>
      </c>
      <c r="AN631" t="s">
        <v>1189</v>
      </c>
      <c r="AO631" t="s">
        <v>11357</v>
      </c>
      <c r="AP631" t="s">
        <v>11358</v>
      </c>
      <c r="AQ631" t="s">
        <v>74</v>
      </c>
      <c r="AR631" t="s">
        <v>11359</v>
      </c>
      <c r="AS631" t="s">
        <v>11360</v>
      </c>
      <c r="AT631" t="s">
        <v>11328</v>
      </c>
      <c r="AU631">
        <v>2023</v>
      </c>
      <c r="AV631">
        <v>27</v>
      </c>
      <c r="AW631">
        <v>4</v>
      </c>
      <c r="AX631" t="s">
        <v>74</v>
      </c>
      <c r="AY631" t="s">
        <v>74</v>
      </c>
      <c r="AZ631" t="s">
        <v>5344</v>
      </c>
      <c r="BA631" t="s">
        <v>74</v>
      </c>
      <c r="BB631">
        <v>479</v>
      </c>
      <c r="BC631">
        <v>488</v>
      </c>
      <c r="BD631" t="s">
        <v>74</v>
      </c>
      <c r="BE631" t="s">
        <v>11361</v>
      </c>
      <c r="BF631" t="str">
        <f>HYPERLINK("http://dx.doi.org/10.1080/17409292.2023.2237781","http://dx.doi.org/10.1080/17409292.2023.2237781")</f>
        <v>http://dx.doi.org/10.1080/17409292.2023.2237781</v>
      </c>
      <c r="BG631" t="s">
        <v>74</v>
      </c>
      <c r="BH631" t="s">
        <v>74</v>
      </c>
      <c r="BI631">
        <v>10</v>
      </c>
      <c r="BJ631" t="s">
        <v>7056</v>
      </c>
      <c r="BK631" t="s">
        <v>6264</v>
      </c>
      <c r="BL631" t="s">
        <v>6283</v>
      </c>
      <c r="BM631" t="s">
        <v>11362</v>
      </c>
      <c r="BN631" t="s">
        <v>74</v>
      </c>
      <c r="BO631" t="s">
        <v>74</v>
      </c>
      <c r="BP631" t="s">
        <v>74</v>
      </c>
      <c r="BQ631" t="s">
        <v>74</v>
      </c>
      <c r="BR631" t="s">
        <v>105</v>
      </c>
      <c r="BS631" t="s">
        <v>11363</v>
      </c>
      <c r="BT631" t="str">
        <f>HYPERLINK("https%3A%2F%2Fwww.webofscience.com%2Fwos%2Fwoscc%2Ffull-record%2FWOS:001070451200001","View Full Record in Web of Science")</f>
        <v>View Full Record in Web of Science</v>
      </c>
    </row>
    <row r="632" spans="1:72" x14ac:dyDescent="0.15">
      <c r="A632" t="s">
        <v>72</v>
      </c>
      <c r="B632" t="s">
        <v>11364</v>
      </c>
      <c r="C632" t="s">
        <v>74</v>
      </c>
      <c r="D632" t="s">
        <v>74</v>
      </c>
      <c r="E632" t="s">
        <v>74</v>
      </c>
      <c r="F632" t="s">
        <v>11365</v>
      </c>
      <c r="G632" t="s">
        <v>74</v>
      </c>
      <c r="H632" t="s">
        <v>74</v>
      </c>
      <c r="I632" t="s">
        <v>11366</v>
      </c>
      <c r="J632" t="s">
        <v>11367</v>
      </c>
      <c r="K632" t="s">
        <v>74</v>
      </c>
      <c r="L632" t="s">
        <v>74</v>
      </c>
      <c r="M632" t="s">
        <v>78</v>
      </c>
      <c r="N632" t="s">
        <v>5492</v>
      </c>
      <c r="O632" t="s">
        <v>74</v>
      </c>
      <c r="P632" t="s">
        <v>74</v>
      </c>
      <c r="Q632" t="s">
        <v>74</v>
      </c>
      <c r="R632" t="s">
        <v>74</v>
      </c>
      <c r="S632" t="s">
        <v>74</v>
      </c>
      <c r="T632" t="s">
        <v>11368</v>
      </c>
      <c r="U632" t="s">
        <v>11369</v>
      </c>
      <c r="V632" t="s">
        <v>11370</v>
      </c>
      <c r="W632" t="s">
        <v>11371</v>
      </c>
      <c r="X632" t="s">
        <v>11372</v>
      </c>
      <c r="Y632" t="s">
        <v>11373</v>
      </c>
      <c r="Z632" t="s">
        <v>11374</v>
      </c>
      <c r="AA632" t="s">
        <v>74</v>
      </c>
      <c r="AB632" t="s">
        <v>74</v>
      </c>
      <c r="AC632" t="s">
        <v>74</v>
      </c>
      <c r="AD632" t="s">
        <v>74</v>
      </c>
      <c r="AE632" t="s">
        <v>74</v>
      </c>
      <c r="AF632" t="s">
        <v>74</v>
      </c>
      <c r="AG632">
        <v>19</v>
      </c>
      <c r="AH632">
        <v>0</v>
      </c>
      <c r="AI632">
        <v>0</v>
      </c>
      <c r="AJ632">
        <v>0</v>
      </c>
      <c r="AK632">
        <v>0</v>
      </c>
      <c r="AL632" t="s">
        <v>92</v>
      </c>
      <c r="AM632" t="s">
        <v>93</v>
      </c>
      <c r="AN632" t="s">
        <v>94</v>
      </c>
      <c r="AO632" t="s">
        <v>11375</v>
      </c>
      <c r="AP632" t="s">
        <v>11376</v>
      </c>
      <c r="AQ632" t="s">
        <v>74</v>
      </c>
      <c r="AR632" t="s">
        <v>11377</v>
      </c>
      <c r="AS632" t="s">
        <v>11378</v>
      </c>
      <c r="AT632" t="s">
        <v>11291</v>
      </c>
      <c r="AU632">
        <v>2023</v>
      </c>
      <c r="AV632" t="s">
        <v>74</v>
      </c>
      <c r="AW632" t="s">
        <v>74</v>
      </c>
      <c r="AX632" t="s">
        <v>74</v>
      </c>
      <c r="AY632" t="s">
        <v>74</v>
      </c>
      <c r="AZ632" t="s">
        <v>74</v>
      </c>
      <c r="BA632" t="s">
        <v>74</v>
      </c>
      <c r="BB632" t="s">
        <v>74</v>
      </c>
      <c r="BC632" t="s">
        <v>74</v>
      </c>
      <c r="BD632" t="s">
        <v>74</v>
      </c>
      <c r="BE632" t="s">
        <v>11379</v>
      </c>
      <c r="BF632" t="str">
        <f>HYPERLINK("http://dx.doi.org/10.1080/10428194.2023.2239407","http://dx.doi.org/10.1080/10428194.2023.2239407")</f>
        <v>http://dx.doi.org/10.1080/10428194.2023.2239407</v>
      </c>
      <c r="BG632" t="s">
        <v>74</v>
      </c>
      <c r="BH632" t="s">
        <v>8608</v>
      </c>
      <c r="BI632">
        <v>7</v>
      </c>
      <c r="BJ632" t="s">
        <v>11380</v>
      </c>
      <c r="BK632" t="s">
        <v>102</v>
      </c>
      <c r="BL632" t="s">
        <v>11380</v>
      </c>
      <c r="BM632" t="s">
        <v>11381</v>
      </c>
      <c r="BN632">
        <v>37554018</v>
      </c>
      <c r="BO632" t="s">
        <v>74</v>
      </c>
      <c r="BP632" t="s">
        <v>74</v>
      </c>
      <c r="BQ632" t="s">
        <v>74</v>
      </c>
      <c r="BR632" t="s">
        <v>105</v>
      </c>
      <c r="BS632" t="s">
        <v>11382</v>
      </c>
      <c r="BT632" t="str">
        <f>HYPERLINK("https%3A%2F%2Fwww.webofscience.com%2Fwos%2Fwoscc%2Ffull-record%2FWOS:001044064600001","View Full Record in Web of Science")</f>
        <v>View Full Record in Web of Science</v>
      </c>
    </row>
    <row r="633" spans="1:72" x14ac:dyDescent="0.15">
      <c r="A633" t="s">
        <v>72</v>
      </c>
      <c r="B633" t="s">
        <v>11383</v>
      </c>
      <c r="C633" t="s">
        <v>74</v>
      </c>
      <c r="D633" t="s">
        <v>74</v>
      </c>
      <c r="E633" t="s">
        <v>74</v>
      </c>
      <c r="F633" t="s">
        <v>11384</v>
      </c>
      <c r="G633" t="s">
        <v>74</v>
      </c>
      <c r="H633" t="s">
        <v>74</v>
      </c>
      <c r="I633" t="s">
        <v>11385</v>
      </c>
      <c r="J633" t="s">
        <v>11386</v>
      </c>
      <c r="K633" t="s">
        <v>74</v>
      </c>
      <c r="L633" t="s">
        <v>74</v>
      </c>
      <c r="M633" t="s">
        <v>78</v>
      </c>
      <c r="N633" t="s">
        <v>6253</v>
      </c>
      <c r="O633" t="s">
        <v>74</v>
      </c>
      <c r="P633" t="s">
        <v>74</v>
      </c>
      <c r="Q633" t="s">
        <v>74</v>
      </c>
      <c r="R633" t="s">
        <v>74</v>
      </c>
      <c r="S633" t="s">
        <v>74</v>
      </c>
      <c r="T633" t="s">
        <v>74</v>
      </c>
      <c r="U633" t="s">
        <v>74</v>
      </c>
      <c r="V633" t="s">
        <v>74</v>
      </c>
      <c r="W633" t="s">
        <v>11387</v>
      </c>
      <c r="X633" t="s">
        <v>11090</v>
      </c>
      <c r="Y633" t="s">
        <v>11388</v>
      </c>
      <c r="Z633" t="s">
        <v>11389</v>
      </c>
      <c r="AA633" t="s">
        <v>74</v>
      </c>
      <c r="AB633" t="s">
        <v>74</v>
      </c>
      <c r="AC633" t="s">
        <v>74</v>
      </c>
      <c r="AD633" t="s">
        <v>74</v>
      </c>
      <c r="AE633" t="s">
        <v>74</v>
      </c>
      <c r="AF633" t="s">
        <v>74</v>
      </c>
      <c r="AG633">
        <v>1</v>
      </c>
      <c r="AH633">
        <v>0</v>
      </c>
      <c r="AI633">
        <v>0</v>
      </c>
      <c r="AJ633">
        <v>1</v>
      </c>
      <c r="AK633">
        <v>1</v>
      </c>
      <c r="AL633" t="s">
        <v>1188</v>
      </c>
      <c r="AM633" t="s">
        <v>93</v>
      </c>
      <c r="AN633" t="s">
        <v>1189</v>
      </c>
      <c r="AO633" t="s">
        <v>11390</v>
      </c>
      <c r="AP633" t="s">
        <v>11391</v>
      </c>
      <c r="AQ633" t="s">
        <v>74</v>
      </c>
      <c r="AR633" t="s">
        <v>11392</v>
      </c>
      <c r="AS633" t="s">
        <v>11393</v>
      </c>
      <c r="AT633" t="s">
        <v>11291</v>
      </c>
      <c r="AU633">
        <v>2023</v>
      </c>
      <c r="AV633" t="s">
        <v>74</v>
      </c>
      <c r="AW633" t="s">
        <v>74</v>
      </c>
      <c r="AX633" t="s">
        <v>74</v>
      </c>
      <c r="AY633" t="s">
        <v>74</v>
      </c>
      <c r="AZ633" t="s">
        <v>74</v>
      </c>
      <c r="BA633" t="s">
        <v>74</v>
      </c>
      <c r="BB633" t="s">
        <v>74</v>
      </c>
      <c r="BC633" t="s">
        <v>74</v>
      </c>
      <c r="BD633">
        <v>2241276</v>
      </c>
      <c r="BE633" t="s">
        <v>11394</v>
      </c>
      <c r="BF633" t="str">
        <f>HYPERLINK("http://dx.doi.org/10.1080/08905495.2023.2241276","http://dx.doi.org/10.1080/08905495.2023.2241276")</f>
        <v>http://dx.doi.org/10.1080/08905495.2023.2241276</v>
      </c>
      <c r="BG633" t="s">
        <v>74</v>
      </c>
      <c r="BH633" t="s">
        <v>8608</v>
      </c>
      <c r="BI633">
        <v>2</v>
      </c>
      <c r="BJ633" t="s">
        <v>575</v>
      </c>
      <c r="BK633" t="s">
        <v>6264</v>
      </c>
      <c r="BL633" t="s">
        <v>576</v>
      </c>
      <c r="BM633" t="s">
        <v>11395</v>
      </c>
      <c r="BN633" t="s">
        <v>74</v>
      </c>
      <c r="BO633" t="s">
        <v>74</v>
      </c>
      <c r="BP633" t="s">
        <v>74</v>
      </c>
      <c r="BQ633" t="s">
        <v>74</v>
      </c>
      <c r="BR633" t="s">
        <v>105</v>
      </c>
      <c r="BS633" t="s">
        <v>11396</v>
      </c>
      <c r="BT633" t="str">
        <f>HYPERLINK("https%3A%2F%2Fwww.webofscience.com%2Fwos%2Fwoscc%2Ffull-record%2FWOS:001041797200001","View Full Record in Web of Science")</f>
        <v>View Full Record in Web of Science</v>
      </c>
    </row>
    <row r="634" spans="1:72" x14ac:dyDescent="0.15">
      <c r="A634" t="s">
        <v>72</v>
      </c>
      <c r="B634" t="s">
        <v>11397</v>
      </c>
      <c r="C634" t="s">
        <v>74</v>
      </c>
      <c r="D634" t="s">
        <v>74</v>
      </c>
      <c r="E634" t="s">
        <v>74</v>
      </c>
      <c r="F634" t="s">
        <v>11398</v>
      </c>
      <c r="G634" t="s">
        <v>74</v>
      </c>
      <c r="H634" t="s">
        <v>74</v>
      </c>
      <c r="I634" t="s">
        <v>11399</v>
      </c>
      <c r="J634" t="s">
        <v>11400</v>
      </c>
      <c r="K634" t="s">
        <v>74</v>
      </c>
      <c r="L634" t="s">
        <v>74</v>
      </c>
      <c r="M634" t="s">
        <v>78</v>
      </c>
      <c r="N634" t="s">
        <v>79</v>
      </c>
      <c r="O634" t="s">
        <v>74</v>
      </c>
      <c r="P634" t="s">
        <v>74</v>
      </c>
      <c r="Q634" t="s">
        <v>74</v>
      </c>
      <c r="R634" t="s">
        <v>74</v>
      </c>
      <c r="S634" t="s">
        <v>74</v>
      </c>
      <c r="T634" t="s">
        <v>11401</v>
      </c>
      <c r="U634" t="s">
        <v>11402</v>
      </c>
      <c r="V634" t="s">
        <v>11403</v>
      </c>
      <c r="W634" t="s">
        <v>11404</v>
      </c>
      <c r="X634" t="s">
        <v>11405</v>
      </c>
      <c r="Y634" t="s">
        <v>11406</v>
      </c>
      <c r="Z634" t="s">
        <v>11407</v>
      </c>
      <c r="AA634" t="s">
        <v>74</v>
      </c>
      <c r="AB634" t="s">
        <v>11408</v>
      </c>
      <c r="AC634" t="s">
        <v>74</v>
      </c>
      <c r="AD634" t="s">
        <v>74</v>
      </c>
      <c r="AE634" t="s">
        <v>74</v>
      </c>
      <c r="AF634" t="s">
        <v>74</v>
      </c>
      <c r="AG634">
        <v>23</v>
      </c>
      <c r="AH634">
        <v>0</v>
      </c>
      <c r="AI634">
        <v>0</v>
      </c>
      <c r="AJ634">
        <v>0</v>
      </c>
      <c r="AK634">
        <v>0</v>
      </c>
      <c r="AL634" t="s">
        <v>184</v>
      </c>
      <c r="AM634" t="s">
        <v>185</v>
      </c>
      <c r="AN634" t="s">
        <v>186</v>
      </c>
      <c r="AO634" t="s">
        <v>11409</v>
      </c>
      <c r="AP634" t="s">
        <v>11410</v>
      </c>
      <c r="AQ634" t="s">
        <v>74</v>
      </c>
      <c r="AR634" t="s">
        <v>11411</v>
      </c>
      <c r="AS634" t="s">
        <v>11412</v>
      </c>
      <c r="AT634" t="s">
        <v>11328</v>
      </c>
      <c r="AU634">
        <v>2023</v>
      </c>
      <c r="AV634" t="s">
        <v>74</v>
      </c>
      <c r="AW634" t="s">
        <v>74</v>
      </c>
      <c r="AX634" t="s">
        <v>74</v>
      </c>
      <c r="AY634" t="s">
        <v>74</v>
      </c>
      <c r="AZ634" t="s">
        <v>74</v>
      </c>
      <c r="BA634" t="s">
        <v>74</v>
      </c>
      <c r="BB634" t="s">
        <v>74</v>
      </c>
      <c r="BC634" t="s">
        <v>74</v>
      </c>
      <c r="BD634">
        <v>2246052</v>
      </c>
      <c r="BE634" t="s">
        <v>11413</v>
      </c>
      <c r="BF634" t="str">
        <f>HYPERLINK("http://dx.doi.org/10.1080/10910344.2023.2246052","http://dx.doi.org/10.1080/10910344.2023.2246052")</f>
        <v>http://dx.doi.org/10.1080/10910344.2023.2246052</v>
      </c>
      <c r="BG634" t="s">
        <v>74</v>
      </c>
      <c r="BH634" t="s">
        <v>74</v>
      </c>
      <c r="BI634">
        <v>19</v>
      </c>
      <c r="BJ634" t="s">
        <v>11414</v>
      </c>
      <c r="BK634" t="s">
        <v>102</v>
      </c>
      <c r="BL634" t="s">
        <v>517</v>
      </c>
      <c r="BM634" t="s">
        <v>11415</v>
      </c>
      <c r="BN634" t="s">
        <v>74</v>
      </c>
      <c r="BO634" t="s">
        <v>74</v>
      </c>
      <c r="BP634" t="s">
        <v>74</v>
      </c>
      <c r="BQ634" t="s">
        <v>74</v>
      </c>
      <c r="BR634" t="s">
        <v>105</v>
      </c>
      <c r="BS634" t="s">
        <v>11416</v>
      </c>
      <c r="BT634" t="str">
        <f>HYPERLINK("https%3A%2F%2Fwww.webofscience.com%2Fwos%2Fwoscc%2Ffull-record%2FWOS:001057534500001","View Full Record in Web of Science")</f>
        <v>View Full Record in Web of Science</v>
      </c>
    </row>
    <row r="635" spans="1:72" x14ac:dyDescent="0.15">
      <c r="A635" t="s">
        <v>72</v>
      </c>
      <c r="B635" t="s">
        <v>11417</v>
      </c>
      <c r="C635" t="s">
        <v>74</v>
      </c>
      <c r="D635" t="s">
        <v>74</v>
      </c>
      <c r="E635" t="s">
        <v>74</v>
      </c>
      <c r="F635" t="s">
        <v>11418</v>
      </c>
      <c r="G635" t="s">
        <v>74</v>
      </c>
      <c r="H635" t="s">
        <v>74</v>
      </c>
      <c r="I635" t="s">
        <v>11419</v>
      </c>
      <c r="J635" t="s">
        <v>11420</v>
      </c>
      <c r="K635" t="s">
        <v>74</v>
      </c>
      <c r="L635" t="s">
        <v>74</v>
      </c>
      <c r="M635" t="s">
        <v>78</v>
      </c>
      <c r="N635" t="s">
        <v>5492</v>
      </c>
      <c r="O635" t="s">
        <v>74</v>
      </c>
      <c r="P635" t="s">
        <v>74</v>
      </c>
      <c r="Q635" t="s">
        <v>74</v>
      </c>
      <c r="R635" t="s">
        <v>74</v>
      </c>
      <c r="S635" t="s">
        <v>74</v>
      </c>
      <c r="T635" t="s">
        <v>11421</v>
      </c>
      <c r="U635" t="s">
        <v>11422</v>
      </c>
      <c r="V635" t="s">
        <v>11423</v>
      </c>
      <c r="W635" t="s">
        <v>11424</v>
      </c>
      <c r="X635" t="s">
        <v>11425</v>
      </c>
      <c r="Y635" t="s">
        <v>11426</v>
      </c>
      <c r="Z635" t="s">
        <v>11427</v>
      </c>
      <c r="AA635" t="s">
        <v>74</v>
      </c>
      <c r="AB635" t="s">
        <v>11428</v>
      </c>
      <c r="AC635" t="s">
        <v>74</v>
      </c>
      <c r="AD635" t="s">
        <v>74</v>
      </c>
      <c r="AE635" t="s">
        <v>74</v>
      </c>
      <c r="AF635" t="s">
        <v>74</v>
      </c>
      <c r="AG635">
        <v>47</v>
      </c>
      <c r="AH635">
        <v>0</v>
      </c>
      <c r="AI635">
        <v>0</v>
      </c>
      <c r="AJ635">
        <v>0</v>
      </c>
      <c r="AK635">
        <v>0</v>
      </c>
      <c r="AL635" t="s">
        <v>1188</v>
      </c>
      <c r="AM635" t="s">
        <v>93</v>
      </c>
      <c r="AN635" t="s">
        <v>1189</v>
      </c>
      <c r="AO635" t="s">
        <v>11429</v>
      </c>
      <c r="AP635" t="s">
        <v>11430</v>
      </c>
      <c r="AQ635" t="s">
        <v>74</v>
      </c>
      <c r="AR635" t="s">
        <v>11431</v>
      </c>
      <c r="AS635" t="s">
        <v>11432</v>
      </c>
      <c r="AT635" t="s">
        <v>11291</v>
      </c>
      <c r="AU635">
        <v>2023</v>
      </c>
      <c r="AV635" t="s">
        <v>74</v>
      </c>
      <c r="AW635" t="s">
        <v>74</v>
      </c>
      <c r="AX635" t="s">
        <v>74</v>
      </c>
      <c r="AY635" t="s">
        <v>74</v>
      </c>
      <c r="AZ635" t="s">
        <v>74</v>
      </c>
      <c r="BA635" t="s">
        <v>74</v>
      </c>
      <c r="BB635" t="s">
        <v>74</v>
      </c>
      <c r="BC635" t="s">
        <v>74</v>
      </c>
      <c r="BD635" t="s">
        <v>74</v>
      </c>
      <c r="BE635" t="s">
        <v>11433</v>
      </c>
      <c r="BF635" t="str">
        <f>HYPERLINK("http://dx.doi.org/10.1080/17432979.2023.2245431","http://dx.doi.org/10.1080/17432979.2023.2245431")</f>
        <v>http://dx.doi.org/10.1080/17432979.2023.2245431</v>
      </c>
      <c r="BG635" t="s">
        <v>74</v>
      </c>
      <c r="BH635" t="s">
        <v>8608</v>
      </c>
      <c r="BI635">
        <v>15</v>
      </c>
      <c r="BJ635" t="s">
        <v>11434</v>
      </c>
      <c r="BK635" t="s">
        <v>211</v>
      </c>
      <c r="BL635" t="s">
        <v>1691</v>
      </c>
      <c r="BM635" t="s">
        <v>11435</v>
      </c>
      <c r="BN635" t="s">
        <v>74</v>
      </c>
      <c r="BO635" t="s">
        <v>74</v>
      </c>
      <c r="BP635" t="s">
        <v>74</v>
      </c>
      <c r="BQ635" t="s">
        <v>74</v>
      </c>
      <c r="BR635" t="s">
        <v>105</v>
      </c>
      <c r="BS635" t="s">
        <v>11436</v>
      </c>
      <c r="BT635" t="str">
        <f>HYPERLINK("https%3A%2F%2Fwww.webofscience.com%2Fwos%2Fwoscc%2Ffull-record%2FWOS:001043170200001","View Full Record in Web of Science")</f>
        <v>View Full Record in Web of Science</v>
      </c>
    </row>
    <row r="636" spans="1:72" x14ac:dyDescent="0.15">
      <c r="A636" t="s">
        <v>72</v>
      </c>
      <c r="B636" t="s">
        <v>11437</v>
      </c>
      <c r="C636" t="s">
        <v>74</v>
      </c>
      <c r="D636" t="s">
        <v>74</v>
      </c>
      <c r="E636" t="s">
        <v>74</v>
      </c>
      <c r="F636" t="s">
        <v>11438</v>
      </c>
      <c r="G636" t="s">
        <v>74</v>
      </c>
      <c r="H636" t="s">
        <v>74</v>
      </c>
      <c r="I636" t="s">
        <v>11439</v>
      </c>
      <c r="J636" t="s">
        <v>6155</v>
      </c>
      <c r="K636" t="s">
        <v>74</v>
      </c>
      <c r="L636" t="s">
        <v>74</v>
      </c>
      <c r="M636" t="s">
        <v>78</v>
      </c>
      <c r="N636" t="s">
        <v>5492</v>
      </c>
      <c r="O636" t="s">
        <v>74</v>
      </c>
      <c r="P636" t="s">
        <v>74</v>
      </c>
      <c r="Q636" t="s">
        <v>74</v>
      </c>
      <c r="R636" t="s">
        <v>74</v>
      </c>
      <c r="S636" t="s">
        <v>74</v>
      </c>
      <c r="T636" t="s">
        <v>11440</v>
      </c>
      <c r="U636" t="s">
        <v>11441</v>
      </c>
      <c r="V636" t="s">
        <v>11442</v>
      </c>
      <c r="W636" t="s">
        <v>11443</v>
      </c>
      <c r="X636" t="s">
        <v>74</v>
      </c>
      <c r="Y636" t="s">
        <v>11444</v>
      </c>
      <c r="Z636" t="s">
        <v>11445</v>
      </c>
      <c r="AA636" t="s">
        <v>74</v>
      </c>
      <c r="AB636" t="s">
        <v>11446</v>
      </c>
      <c r="AC636" t="s">
        <v>74</v>
      </c>
      <c r="AD636" t="s">
        <v>74</v>
      </c>
      <c r="AE636" t="s">
        <v>74</v>
      </c>
      <c r="AF636" t="s">
        <v>74</v>
      </c>
      <c r="AG636">
        <v>48</v>
      </c>
      <c r="AH636">
        <v>0</v>
      </c>
      <c r="AI636">
        <v>0</v>
      </c>
      <c r="AJ636">
        <v>0</v>
      </c>
      <c r="AK636">
        <v>0</v>
      </c>
      <c r="AL636" t="s">
        <v>92</v>
      </c>
      <c r="AM636" t="s">
        <v>93</v>
      </c>
      <c r="AN636" t="s">
        <v>94</v>
      </c>
      <c r="AO636" t="s">
        <v>6165</v>
      </c>
      <c r="AP636" t="s">
        <v>6166</v>
      </c>
      <c r="AQ636" t="s">
        <v>74</v>
      </c>
      <c r="AR636" t="s">
        <v>6167</v>
      </c>
      <c r="AS636" t="s">
        <v>6168</v>
      </c>
      <c r="AT636" t="s">
        <v>11447</v>
      </c>
      <c r="AU636">
        <v>2023</v>
      </c>
      <c r="AV636" t="s">
        <v>74</v>
      </c>
      <c r="AW636" t="s">
        <v>74</v>
      </c>
      <c r="AX636" t="s">
        <v>74</v>
      </c>
      <c r="AY636" t="s">
        <v>74</v>
      </c>
      <c r="AZ636" t="s">
        <v>74</v>
      </c>
      <c r="BA636" t="s">
        <v>74</v>
      </c>
      <c r="BB636" t="s">
        <v>74</v>
      </c>
      <c r="BC636" t="s">
        <v>74</v>
      </c>
      <c r="BD636" t="s">
        <v>74</v>
      </c>
      <c r="BE636" t="s">
        <v>11448</v>
      </c>
      <c r="BF636" t="str">
        <f>HYPERLINK("http://dx.doi.org/10.1080/08912963.2023.2242369","http://dx.doi.org/10.1080/08912963.2023.2242369")</f>
        <v>http://dx.doi.org/10.1080/08912963.2023.2242369</v>
      </c>
      <c r="BG636" t="s">
        <v>74</v>
      </c>
      <c r="BH636" t="s">
        <v>8608</v>
      </c>
      <c r="BI636">
        <v>6</v>
      </c>
      <c r="BJ636" t="s">
        <v>6170</v>
      </c>
      <c r="BK636" t="s">
        <v>102</v>
      </c>
      <c r="BL636" t="s">
        <v>6171</v>
      </c>
      <c r="BM636" t="s">
        <v>11449</v>
      </c>
      <c r="BN636" t="s">
        <v>74</v>
      </c>
      <c r="BO636" t="s">
        <v>74</v>
      </c>
      <c r="BP636" t="s">
        <v>74</v>
      </c>
      <c r="BQ636" t="s">
        <v>74</v>
      </c>
      <c r="BR636" t="s">
        <v>105</v>
      </c>
      <c r="BS636" t="s">
        <v>11450</v>
      </c>
      <c r="BT636" t="str">
        <f>HYPERLINK("https%3A%2F%2Fwww.webofscience.com%2Fwos%2Fwoscc%2Ffull-record%2FWOS:001042490500001","View Full Record in Web of Science")</f>
        <v>View Full Record in Web of Science</v>
      </c>
    </row>
    <row r="637" spans="1:72" x14ac:dyDescent="0.15">
      <c r="A637" t="s">
        <v>72</v>
      </c>
      <c r="B637" t="s">
        <v>11451</v>
      </c>
      <c r="C637" t="s">
        <v>74</v>
      </c>
      <c r="D637" t="s">
        <v>74</v>
      </c>
      <c r="E637" t="s">
        <v>74</v>
      </c>
      <c r="F637" t="s">
        <v>11452</v>
      </c>
      <c r="G637" t="s">
        <v>74</v>
      </c>
      <c r="H637" t="s">
        <v>74</v>
      </c>
      <c r="I637" t="s">
        <v>11453</v>
      </c>
      <c r="J637" t="s">
        <v>11454</v>
      </c>
      <c r="K637" t="s">
        <v>74</v>
      </c>
      <c r="L637" t="s">
        <v>74</v>
      </c>
      <c r="M637" t="s">
        <v>78</v>
      </c>
      <c r="N637" t="s">
        <v>4821</v>
      </c>
      <c r="O637" t="s">
        <v>74</v>
      </c>
      <c r="P637" t="s">
        <v>74</v>
      </c>
      <c r="Q637" t="s">
        <v>74</v>
      </c>
      <c r="R637" t="s">
        <v>74</v>
      </c>
      <c r="S637" t="s">
        <v>74</v>
      </c>
      <c r="T637" t="s">
        <v>74</v>
      </c>
      <c r="U637" t="s">
        <v>74</v>
      </c>
      <c r="V637" t="s">
        <v>74</v>
      </c>
      <c r="W637" t="s">
        <v>74</v>
      </c>
      <c r="X637" t="s">
        <v>74</v>
      </c>
      <c r="Y637" t="s">
        <v>74</v>
      </c>
      <c r="Z637" t="s">
        <v>74</v>
      </c>
      <c r="AA637" t="s">
        <v>74</v>
      </c>
      <c r="AB637" t="s">
        <v>74</v>
      </c>
      <c r="AC637" t="s">
        <v>74</v>
      </c>
      <c r="AD637" t="s">
        <v>74</v>
      </c>
      <c r="AE637" t="s">
        <v>74</v>
      </c>
      <c r="AF637" t="s">
        <v>74</v>
      </c>
      <c r="AG637">
        <v>4</v>
      </c>
      <c r="AH637">
        <v>0</v>
      </c>
      <c r="AI637">
        <v>0</v>
      </c>
      <c r="AJ637">
        <v>1</v>
      </c>
      <c r="AK637">
        <v>1</v>
      </c>
      <c r="AL637" t="s">
        <v>184</v>
      </c>
      <c r="AM637" t="s">
        <v>185</v>
      </c>
      <c r="AN637" t="s">
        <v>186</v>
      </c>
      <c r="AO637" t="s">
        <v>11455</v>
      </c>
      <c r="AP637" t="s">
        <v>11456</v>
      </c>
      <c r="AQ637" t="s">
        <v>74</v>
      </c>
      <c r="AR637" t="s">
        <v>11457</v>
      </c>
      <c r="AS637" t="s">
        <v>11458</v>
      </c>
      <c r="AT637" t="s">
        <v>11459</v>
      </c>
      <c r="AU637">
        <v>2023</v>
      </c>
      <c r="AV637">
        <v>63</v>
      </c>
      <c r="AW637">
        <v>20</v>
      </c>
      <c r="AX637" t="s">
        <v>74</v>
      </c>
      <c r="AY637" t="s">
        <v>74</v>
      </c>
      <c r="AZ637" t="s">
        <v>74</v>
      </c>
      <c r="BA637" t="s">
        <v>74</v>
      </c>
      <c r="BB637">
        <v>4817</v>
      </c>
      <c r="BC637">
        <v>4817</v>
      </c>
      <c r="BD637" t="s">
        <v>74</v>
      </c>
      <c r="BE637" t="s">
        <v>11460</v>
      </c>
      <c r="BF637" t="str">
        <f>HYPERLINK("http://dx.doi.org/10.1080/10408398.2022.2078104","http://dx.doi.org/10.1080/10408398.2022.2078104")</f>
        <v>http://dx.doi.org/10.1080/10408398.2022.2078104</v>
      </c>
      <c r="BG637" t="s">
        <v>74</v>
      </c>
      <c r="BH637" t="s">
        <v>74</v>
      </c>
      <c r="BI637">
        <v>1</v>
      </c>
      <c r="BJ637" t="s">
        <v>11461</v>
      </c>
      <c r="BK637" t="s">
        <v>102</v>
      </c>
      <c r="BL637" t="s">
        <v>11461</v>
      </c>
      <c r="BM637" t="s">
        <v>11462</v>
      </c>
      <c r="BN637" t="s">
        <v>74</v>
      </c>
      <c r="BO637" t="s">
        <v>5391</v>
      </c>
      <c r="BP637" t="s">
        <v>74</v>
      </c>
      <c r="BQ637" t="s">
        <v>74</v>
      </c>
      <c r="BR637" t="s">
        <v>105</v>
      </c>
      <c r="BS637" t="s">
        <v>11463</v>
      </c>
      <c r="BT637" t="str">
        <f>HYPERLINK("https%3A%2F%2Fwww.webofscience.com%2Fwos%2Fwoscc%2Ffull-record%2FWOS:001029724700031","View Full Record in Web of Science")</f>
        <v>View Full Record in Web of Science</v>
      </c>
    </row>
    <row r="638" spans="1:72" x14ac:dyDescent="0.15">
      <c r="A638" t="s">
        <v>72</v>
      </c>
      <c r="B638" t="s">
        <v>11464</v>
      </c>
      <c r="C638" t="s">
        <v>74</v>
      </c>
      <c r="D638" t="s">
        <v>74</v>
      </c>
      <c r="E638" t="s">
        <v>74</v>
      </c>
      <c r="F638" t="s">
        <v>11465</v>
      </c>
      <c r="G638" t="s">
        <v>74</v>
      </c>
      <c r="H638" t="s">
        <v>74</v>
      </c>
      <c r="I638" t="s">
        <v>11466</v>
      </c>
      <c r="J638" t="s">
        <v>11467</v>
      </c>
      <c r="K638" t="s">
        <v>74</v>
      </c>
      <c r="L638" t="s">
        <v>74</v>
      </c>
      <c r="M638" t="s">
        <v>78</v>
      </c>
      <c r="N638" t="s">
        <v>5492</v>
      </c>
      <c r="O638" t="s">
        <v>74</v>
      </c>
      <c r="P638" t="s">
        <v>74</v>
      </c>
      <c r="Q638" t="s">
        <v>74</v>
      </c>
      <c r="R638" t="s">
        <v>74</v>
      </c>
      <c r="S638" t="s">
        <v>74</v>
      </c>
      <c r="T638" t="s">
        <v>11468</v>
      </c>
      <c r="U638" t="s">
        <v>11469</v>
      </c>
      <c r="V638" t="s">
        <v>11470</v>
      </c>
      <c r="W638" t="s">
        <v>11471</v>
      </c>
      <c r="X638" t="s">
        <v>11472</v>
      </c>
      <c r="Y638" t="s">
        <v>11473</v>
      </c>
      <c r="Z638" t="s">
        <v>11474</v>
      </c>
      <c r="AA638" t="s">
        <v>74</v>
      </c>
      <c r="AB638" t="s">
        <v>11475</v>
      </c>
      <c r="AC638" t="s">
        <v>74</v>
      </c>
      <c r="AD638" t="s">
        <v>74</v>
      </c>
      <c r="AE638" t="s">
        <v>74</v>
      </c>
      <c r="AF638" t="s">
        <v>74</v>
      </c>
      <c r="AG638">
        <v>135</v>
      </c>
      <c r="AH638">
        <v>0</v>
      </c>
      <c r="AI638">
        <v>0</v>
      </c>
      <c r="AJ638">
        <v>0</v>
      </c>
      <c r="AK638">
        <v>0</v>
      </c>
      <c r="AL638" t="s">
        <v>92</v>
      </c>
      <c r="AM638" t="s">
        <v>93</v>
      </c>
      <c r="AN638" t="s">
        <v>94</v>
      </c>
      <c r="AO638" t="s">
        <v>11476</v>
      </c>
      <c r="AP638" t="s">
        <v>11477</v>
      </c>
      <c r="AQ638" t="s">
        <v>74</v>
      </c>
      <c r="AR638" t="s">
        <v>11467</v>
      </c>
      <c r="AS638" t="s">
        <v>11478</v>
      </c>
      <c r="AT638" t="s">
        <v>11447</v>
      </c>
      <c r="AU638">
        <v>2023</v>
      </c>
      <c r="AV638" t="s">
        <v>74</v>
      </c>
      <c r="AW638" t="s">
        <v>74</v>
      </c>
      <c r="AX638" t="s">
        <v>74</v>
      </c>
      <c r="AY638" t="s">
        <v>74</v>
      </c>
      <c r="AZ638" t="s">
        <v>74</v>
      </c>
      <c r="BA638" t="s">
        <v>74</v>
      </c>
      <c r="BB638" t="s">
        <v>74</v>
      </c>
      <c r="BC638" t="s">
        <v>74</v>
      </c>
      <c r="BD638" t="s">
        <v>74</v>
      </c>
      <c r="BE638" t="s">
        <v>11479</v>
      </c>
      <c r="BF638" t="str">
        <f>HYPERLINK("http://dx.doi.org/10.1080/03115518.2023.2226194","http://dx.doi.org/10.1080/03115518.2023.2226194")</f>
        <v>http://dx.doi.org/10.1080/03115518.2023.2226194</v>
      </c>
      <c r="BG638" t="s">
        <v>74</v>
      </c>
      <c r="BH638" t="s">
        <v>8608</v>
      </c>
      <c r="BI638">
        <v>58</v>
      </c>
      <c r="BJ638" t="s">
        <v>11480</v>
      </c>
      <c r="BK638" t="s">
        <v>102</v>
      </c>
      <c r="BL638" t="s">
        <v>11480</v>
      </c>
      <c r="BM638" t="s">
        <v>11481</v>
      </c>
      <c r="BN638" t="s">
        <v>74</v>
      </c>
      <c r="BO638" t="s">
        <v>887</v>
      </c>
      <c r="BP638" t="s">
        <v>74</v>
      </c>
      <c r="BQ638" t="s">
        <v>74</v>
      </c>
      <c r="BR638" t="s">
        <v>105</v>
      </c>
      <c r="BS638" t="s">
        <v>11482</v>
      </c>
      <c r="BT638" t="str">
        <f>HYPERLINK("https%3A%2F%2Fwww.webofscience.com%2Fwos%2Fwoscc%2Ffull-record%2FWOS:001044176400001","View Full Record in Web of Science")</f>
        <v>View Full Record in Web of Science</v>
      </c>
    </row>
    <row r="639" spans="1:72" x14ac:dyDescent="0.15">
      <c r="A639" t="s">
        <v>72</v>
      </c>
      <c r="B639" t="s">
        <v>11483</v>
      </c>
      <c r="C639" t="s">
        <v>74</v>
      </c>
      <c r="D639" t="s">
        <v>74</v>
      </c>
      <c r="E639" t="s">
        <v>74</v>
      </c>
      <c r="F639" t="s">
        <v>11484</v>
      </c>
      <c r="G639" t="s">
        <v>74</v>
      </c>
      <c r="H639" t="s">
        <v>74</v>
      </c>
      <c r="I639" t="s">
        <v>11485</v>
      </c>
      <c r="J639" t="s">
        <v>11151</v>
      </c>
      <c r="K639" t="s">
        <v>74</v>
      </c>
      <c r="L639" t="s">
        <v>74</v>
      </c>
      <c r="M639" t="s">
        <v>78</v>
      </c>
      <c r="N639" t="s">
        <v>5492</v>
      </c>
      <c r="O639" t="s">
        <v>74</v>
      </c>
      <c r="P639" t="s">
        <v>74</v>
      </c>
      <c r="Q639" t="s">
        <v>74</v>
      </c>
      <c r="R639" t="s">
        <v>74</v>
      </c>
      <c r="S639" t="s">
        <v>74</v>
      </c>
      <c r="T639" t="s">
        <v>74</v>
      </c>
      <c r="U639" t="s">
        <v>11486</v>
      </c>
      <c r="V639" t="s">
        <v>11487</v>
      </c>
      <c r="W639" t="s">
        <v>11488</v>
      </c>
      <c r="X639" t="s">
        <v>11489</v>
      </c>
      <c r="Y639" t="s">
        <v>11490</v>
      </c>
      <c r="Z639" t="s">
        <v>11491</v>
      </c>
      <c r="AA639" t="s">
        <v>74</v>
      </c>
      <c r="AB639" t="s">
        <v>74</v>
      </c>
      <c r="AC639" t="s">
        <v>74</v>
      </c>
      <c r="AD639" t="s">
        <v>74</v>
      </c>
      <c r="AE639" t="s">
        <v>74</v>
      </c>
      <c r="AF639" t="s">
        <v>74</v>
      </c>
      <c r="AG639">
        <v>85</v>
      </c>
      <c r="AH639">
        <v>0</v>
      </c>
      <c r="AI639">
        <v>0</v>
      </c>
      <c r="AJ639">
        <v>2</v>
      </c>
      <c r="AK639">
        <v>2</v>
      </c>
      <c r="AL639" t="s">
        <v>184</v>
      </c>
      <c r="AM639" t="s">
        <v>185</v>
      </c>
      <c r="AN639" t="s">
        <v>186</v>
      </c>
      <c r="AO639" t="s">
        <v>11160</v>
      </c>
      <c r="AP639" t="s">
        <v>11161</v>
      </c>
      <c r="AQ639" t="s">
        <v>74</v>
      </c>
      <c r="AR639" t="s">
        <v>11162</v>
      </c>
      <c r="AS639" t="s">
        <v>11163</v>
      </c>
      <c r="AT639" t="s">
        <v>11447</v>
      </c>
      <c r="AU639">
        <v>2023</v>
      </c>
      <c r="AV639" t="s">
        <v>74</v>
      </c>
      <c r="AW639" t="s">
        <v>74</v>
      </c>
      <c r="AX639" t="s">
        <v>74</v>
      </c>
      <c r="AY639" t="s">
        <v>74</v>
      </c>
      <c r="AZ639" t="s">
        <v>74</v>
      </c>
      <c r="BA639" t="s">
        <v>74</v>
      </c>
      <c r="BB639" t="s">
        <v>74</v>
      </c>
      <c r="BC639" t="s">
        <v>74</v>
      </c>
      <c r="BD639" t="s">
        <v>74</v>
      </c>
      <c r="BE639" t="s">
        <v>11492</v>
      </c>
      <c r="BF639" t="str">
        <f>HYPERLINK("http://dx.doi.org/10.1080/01639625.2023.2244118","http://dx.doi.org/10.1080/01639625.2023.2244118")</f>
        <v>http://dx.doi.org/10.1080/01639625.2023.2244118</v>
      </c>
      <c r="BG639" t="s">
        <v>74</v>
      </c>
      <c r="BH639" t="s">
        <v>8608</v>
      </c>
      <c r="BI639">
        <v>20</v>
      </c>
      <c r="BJ639" t="s">
        <v>11165</v>
      </c>
      <c r="BK639" t="s">
        <v>272</v>
      </c>
      <c r="BL639" t="s">
        <v>11166</v>
      </c>
      <c r="BM639" t="s">
        <v>11493</v>
      </c>
      <c r="BN639" t="s">
        <v>74</v>
      </c>
      <c r="BO639" t="s">
        <v>74</v>
      </c>
      <c r="BP639" t="s">
        <v>74</v>
      </c>
      <c r="BQ639" t="s">
        <v>74</v>
      </c>
      <c r="BR639" t="s">
        <v>105</v>
      </c>
      <c r="BS639" t="s">
        <v>11494</v>
      </c>
      <c r="BT639" t="str">
        <f>HYPERLINK("https%3A%2F%2Fwww.webofscience.com%2Fwos%2Fwoscc%2Ffull-record%2FWOS:001042372000001","View Full Record in Web of Science")</f>
        <v>View Full Record in Web of Science</v>
      </c>
    </row>
    <row r="640" spans="1:72" x14ac:dyDescent="0.15">
      <c r="A640" t="s">
        <v>72</v>
      </c>
      <c r="B640" t="s">
        <v>11495</v>
      </c>
      <c r="C640" t="s">
        <v>74</v>
      </c>
      <c r="D640" t="s">
        <v>74</v>
      </c>
      <c r="E640" t="s">
        <v>74</v>
      </c>
      <c r="F640" t="s">
        <v>11496</v>
      </c>
      <c r="G640" t="s">
        <v>74</v>
      </c>
      <c r="H640" t="s">
        <v>74</v>
      </c>
      <c r="I640" t="s">
        <v>11497</v>
      </c>
      <c r="J640" t="s">
        <v>8614</v>
      </c>
      <c r="K640" t="s">
        <v>74</v>
      </c>
      <c r="L640" t="s">
        <v>74</v>
      </c>
      <c r="M640" t="s">
        <v>78</v>
      </c>
      <c r="N640" t="s">
        <v>6754</v>
      </c>
      <c r="O640" t="s">
        <v>74</v>
      </c>
      <c r="P640" t="s">
        <v>74</v>
      </c>
      <c r="Q640" t="s">
        <v>74</v>
      </c>
      <c r="R640" t="s">
        <v>74</v>
      </c>
      <c r="S640" t="s">
        <v>74</v>
      </c>
      <c r="T640" t="s">
        <v>11498</v>
      </c>
      <c r="U640" t="s">
        <v>11499</v>
      </c>
      <c r="V640" t="s">
        <v>11500</v>
      </c>
      <c r="W640" t="s">
        <v>11501</v>
      </c>
      <c r="X640" t="s">
        <v>11502</v>
      </c>
      <c r="Y640" t="s">
        <v>11503</v>
      </c>
      <c r="Z640" t="s">
        <v>11504</v>
      </c>
      <c r="AA640" t="s">
        <v>74</v>
      </c>
      <c r="AB640" t="s">
        <v>74</v>
      </c>
      <c r="AC640" t="s">
        <v>74</v>
      </c>
      <c r="AD640" t="s">
        <v>74</v>
      </c>
      <c r="AE640" t="s">
        <v>74</v>
      </c>
      <c r="AF640" t="s">
        <v>74</v>
      </c>
      <c r="AG640">
        <v>27</v>
      </c>
      <c r="AH640">
        <v>0</v>
      </c>
      <c r="AI640">
        <v>0</v>
      </c>
      <c r="AJ640">
        <v>1</v>
      </c>
      <c r="AK640">
        <v>1</v>
      </c>
      <c r="AL640" t="s">
        <v>92</v>
      </c>
      <c r="AM640" t="s">
        <v>93</v>
      </c>
      <c r="AN640" t="s">
        <v>94</v>
      </c>
      <c r="AO640" t="s">
        <v>8627</v>
      </c>
      <c r="AP640" t="s">
        <v>8628</v>
      </c>
      <c r="AQ640" t="s">
        <v>74</v>
      </c>
      <c r="AR640" t="s">
        <v>8629</v>
      </c>
      <c r="AS640" t="s">
        <v>8630</v>
      </c>
      <c r="AT640" t="s">
        <v>11447</v>
      </c>
      <c r="AU640">
        <v>2023</v>
      </c>
      <c r="AV640" t="s">
        <v>74</v>
      </c>
      <c r="AW640" t="s">
        <v>74</v>
      </c>
      <c r="AX640" t="s">
        <v>74</v>
      </c>
      <c r="AY640" t="s">
        <v>74</v>
      </c>
      <c r="AZ640" t="s">
        <v>74</v>
      </c>
      <c r="BA640" t="s">
        <v>74</v>
      </c>
      <c r="BB640" t="s">
        <v>74</v>
      </c>
      <c r="BC640" t="s">
        <v>74</v>
      </c>
      <c r="BD640" t="s">
        <v>74</v>
      </c>
      <c r="BE640" t="s">
        <v>11505</v>
      </c>
      <c r="BF640" t="str">
        <f>HYPERLINK("http://dx.doi.org/10.1080/17512433.2023.2243820","http://dx.doi.org/10.1080/17512433.2023.2243820")</f>
        <v>http://dx.doi.org/10.1080/17512433.2023.2243820</v>
      </c>
      <c r="BG640" t="s">
        <v>74</v>
      </c>
      <c r="BH640" t="s">
        <v>8608</v>
      </c>
      <c r="BI640">
        <v>11</v>
      </c>
      <c r="BJ640" t="s">
        <v>101</v>
      </c>
      <c r="BK640" t="s">
        <v>102</v>
      </c>
      <c r="BL640" t="s">
        <v>101</v>
      </c>
      <c r="BM640" t="s">
        <v>11506</v>
      </c>
      <c r="BN640">
        <v>37526285</v>
      </c>
      <c r="BO640" t="s">
        <v>74</v>
      </c>
      <c r="BP640" t="s">
        <v>74</v>
      </c>
      <c r="BQ640" t="s">
        <v>74</v>
      </c>
      <c r="BR640" t="s">
        <v>105</v>
      </c>
      <c r="BS640" t="s">
        <v>11507</v>
      </c>
      <c r="BT640" t="str">
        <f>HYPERLINK("https%3A%2F%2Fwww.webofscience.com%2Fwos%2Fwoscc%2Ffull-record%2FWOS:001043190800001","View Full Record in Web of Science")</f>
        <v>View Full Record in Web of Science</v>
      </c>
    </row>
    <row r="641" spans="1:72" x14ac:dyDescent="0.15">
      <c r="A641" t="s">
        <v>72</v>
      </c>
      <c r="B641" t="s">
        <v>11508</v>
      </c>
      <c r="C641" t="s">
        <v>74</v>
      </c>
      <c r="D641" t="s">
        <v>74</v>
      </c>
      <c r="E641" t="s">
        <v>74</v>
      </c>
      <c r="F641" t="s">
        <v>11509</v>
      </c>
      <c r="G641" t="s">
        <v>74</v>
      </c>
      <c r="H641" t="s">
        <v>74</v>
      </c>
      <c r="I641" t="s">
        <v>11510</v>
      </c>
      <c r="J641" t="s">
        <v>11511</v>
      </c>
      <c r="K641" t="s">
        <v>74</v>
      </c>
      <c r="L641" t="s">
        <v>74</v>
      </c>
      <c r="M641" t="s">
        <v>78</v>
      </c>
      <c r="N641" t="s">
        <v>3443</v>
      </c>
      <c r="O641" t="s">
        <v>74</v>
      </c>
      <c r="P641" t="s">
        <v>74</v>
      </c>
      <c r="Q641" t="s">
        <v>74</v>
      </c>
      <c r="R641" t="s">
        <v>74</v>
      </c>
      <c r="S641" t="s">
        <v>74</v>
      </c>
      <c r="T641" t="s">
        <v>74</v>
      </c>
      <c r="U641" t="s">
        <v>74</v>
      </c>
      <c r="V641" t="s">
        <v>74</v>
      </c>
      <c r="W641" t="s">
        <v>11512</v>
      </c>
      <c r="X641" t="s">
        <v>11513</v>
      </c>
      <c r="Y641" t="s">
        <v>11514</v>
      </c>
      <c r="Z641" t="s">
        <v>11515</v>
      </c>
      <c r="AA641" t="s">
        <v>74</v>
      </c>
      <c r="AB641" t="s">
        <v>74</v>
      </c>
      <c r="AC641" t="s">
        <v>74</v>
      </c>
      <c r="AD641" t="s">
        <v>74</v>
      </c>
      <c r="AE641" t="s">
        <v>74</v>
      </c>
      <c r="AF641" t="s">
        <v>74</v>
      </c>
      <c r="AG641">
        <v>3</v>
      </c>
      <c r="AH641">
        <v>0</v>
      </c>
      <c r="AI641">
        <v>0</v>
      </c>
      <c r="AJ641">
        <v>0</v>
      </c>
      <c r="AK641">
        <v>0</v>
      </c>
      <c r="AL641" t="s">
        <v>1188</v>
      </c>
      <c r="AM641" t="s">
        <v>93</v>
      </c>
      <c r="AN641" t="s">
        <v>1189</v>
      </c>
      <c r="AO641" t="s">
        <v>11516</v>
      </c>
      <c r="AP641" t="s">
        <v>11517</v>
      </c>
      <c r="AQ641" t="s">
        <v>74</v>
      </c>
      <c r="AR641" t="s">
        <v>11518</v>
      </c>
      <c r="AS641" t="s">
        <v>11519</v>
      </c>
      <c r="AT641" t="s">
        <v>7946</v>
      </c>
      <c r="AU641">
        <v>2023</v>
      </c>
      <c r="AV641">
        <v>29</v>
      </c>
      <c r="AW641">
        <v>9</v>
      </c>
      <c r="AX641" t="s">
        <v>74</v>
      </c>
      <c r="AY641" t="s">
        <v>74</v>
      </c>
      <c r="AZ641" t="s">
        <v>74</v>
      </c>
      <c r="BA641" t="s">
        <v>74</v>
      </c>
      <c r="BB641">
        <v>1018</v>
      </c>
      <c r="BC641">
        <v>1020</v>
      </c>
      <c r="BD641">
        <v>2243469</v>
      </c>
      <c r="BE641" t="s">
        <v>11520</v>
      </c>
      <c r="BF641" t="str">
        <f>HYPERLINK("http://dx.doi.org/10.1080/13527258.2023.2243469","http://dx.doi.org/10.1080/13527258.2023.2243469")</f>
        <v>http://dx.doi.org/10.1080/13527258.2023.2243469</v>
      </c>
      <c r="BG641" t="s">
        <v>74</v>
      </c>
      <c r="BH641" t="s">
        <v>8608</v>
      </c>
      <c r="BI641">
        <v>3</v>
      </c>
      <c r="BJ641" t="s">
        <v>11521</v>
      </c>
      <c r="BK641" t="s">
        <v>7170</v>
      </c>
      <c r="BL641" t="s">
        <v>11522</v>
      </c>
      <c r="BM641" t="s">
        <v>11523</v>
      </c>
      <c r="BN641" t="s">
        <v>74</v>
      </c>
      <c r="BO641" t="s">
        <v>74</v>
      </c>
      <c r="BP641" t="s">
        <v>74</v>
      </c>
      <c r="BQ641" t="s">
        <v>74</v>
      </c>
      <c r="BR641" t="s">
        <v>105</v>
      </c>
      <c r="BS641" t="s">
        <v>11524</v>
      </c>
      <c r="BT641" t="str">
        <f>HYPERLINK("https%3A%2F%2Fwww.webofscience.com%2Fwos%2Fwoscc%2Ffull-record%2FWOS:001043015800001","View Full Record in Web of Science")</f>
        <v>View Full Record in Web of Science</v>
      </c>
    </row>
    <row r="642" spans="1:72" x14ac:dyDescent="0.15">
      <c r="A642" t="s">
        <v>72</v>
      </c>
      <c r="B642" t="s">
        <v>11525</v>
      </c>
      <c r="C642" t="s">
        <v>74</v>
      </c>
      <c r="D642" t="s">
        <v>74</v>
      </c>
      <c r="E642" t="s">
        <v>74</v>
      </c>
      <c r="F642" t="s">
        <v>11526</v>
      </c>
      <c r="G642" t="s">
        <v>74</v>
      </c>
      <c r="H642" t="s">
        <v>74</v>
      </c>
      <c r="I642" t="s">
        <v>11527</v>
      </c>
      <c r="J642" t="s">
        <v>7632</v>
      </c>
      <c r="K642" t="s">
        <v>74</v>
      </c>
      <c r="L642" t="s">
        <v>74</v>
      </c>
      <c r="M642" t="s">
        <v>78</v>
      </c>
      <c r="N642" t="s">
        <v>5492</v>
      </c>
      <c r="O642" t="s">
        <v>74</v>
      </c>
      <c r="P642" t="s">
        <v>74</v>
      </c>
      <c r="Q642" t="s">
        <v>74</v>
      </c>
      <c r="R642" t="s">
        <v>74</v>
      </c>
      <c r="S642" t="s">
        <v>74</v>
      </c>
      <c r="T642" t="s">
        <v>11528</v>
      </c>
      <c r="U642" t="s">
        <v>11529</v>
      </c>
      <c r="V642" t="s">
        <v>11530</v>
      </c>
      <c r="W642" t="s">
        <v>11531</v>
      </c>
      <c r="X642" t="s">
        <v>11532</v>
      </c>
      <c r="Y642" t="s">
        <v>11533</v>
      </c>
      <c r="Z642" t="s">
        <v>11534</v>
      </c>
      <c r="AA642" t="s">
        <v>11535</v>
      </c>
      <c r="AB642" t="s">
        <v>74</v>
      </c>
      <c r="AC642" t="s">
        <v>11536</v>
      </c>
      <c r="AD642" t="s">
        <v>1368</v>
      </c>
      <c r="AE642" t="s">
        <v>11537</v>
      </c>
      <c r="AF642" t="s">
        <v>74</v>
      </c>
      <c r="AG642">
        <v>54</v>
      </c>
      <c r="AH642">
        <v>1</v>
      </c>
      <c r="AI642">
        <v>1</v>
      </c>
      <c r="AJ642">
        <v>8</v>
      </c>
      <c r="AK642">
        <v>9</v>
      </c>
      <c r="AL642" t="s">
        <v>184</v>
      </c>
      <c r="AM642" t="s">
        <v>185</v>
      </c>
      <c r="AN642" t="s">
        <v>186</v>
      </c>
      <c r="AO642" t="s">
        <v>7642</v>
      </c>
      <c r="AP642" t="s">
        <v>7643</v>
      </c>
      <c r="AQ642" t="s">
        <v>74</v>
      </c>
      <c r="AR642" t="s">
        <v>7644</v>
      </c>
      <c r="AS642" t="s">
        <v>7645</v>
      </c>
      <c r="AT642" t="s">
        <v>11538</v>
      </c>
      <c r="AU642">
        <v>2023</v>
      </c>
      <c r="AV642" t="s">
        <v>74</v>
      </c>
      <c r="AW642" t="s">
        <v>74</v>
      </c>
      <c r="AX642" t="s">
        <v>74</v>
      </c>
      <c r="AY642" t="s">
        <v>74</v>
      </c>
      <c r="AZ642" t="s">
        <v>74</v>
      </c>
      <c r="BA642" t="s">
        <v>74</v>
      </c>
      <c r="BB642" t="s">
        <v>74</v>
      </c>
      <c r="BC642" t="s">
        <v>74</v>
      </c>
      <c r="BD642" t="s">
        <v>74</v>
      </c>
      <c r="BE642" t="s">
        <v>11539</v>
      </c>
      <c r="BF642" t="str">
        <f>HYPERLINK("http://dx.doi.org/10.1080/07391102.2023.2245045","http://dx.doi.org/10.1080/07391102.2023.2245045")</f>
        <v>http://dx.doi.org/10.1080/07391102.2023.2245045</v>
      </c>
      <c r="BG642" t="s">
        <v>74</v>
      </c>
      <c r="BH642" t="s">
        <v>8608</v>
      </c>
      <c r="BI642">
        <v>11</v>
      </c>
      <c r="BJ642" t="s">
        <v>7647</v>
      </c>
      <c r="BK642" t="s">
        <v>102</v>
      </c>
      <c r="BL642" t="s">
        <v>7647</v>
      </c>
      <c r="BM642" t="s">
        <v>11540</v>
      </c>
      <c r="BN642">
        <v>37565356</v>
      </c>
      <c r="BO642" t="s">
        <v>5486</v>
      </c>
      <c r="BP642" t="s">
        <v>74</v>
      </c>
      <c r="BQ642" t="s">
        <v>74</v>
      </c>
      <c r="BR642" t="s">
        <v>105</v>
      </c>
      <c r="BS642" t="s">
        <v>11541</v>
      </c>
      <c r="BT642" t="str">
        <f>HYPERLINK("https%3A%2F%2Fwww.webofscience.com%2Fwos%2Fwoscc%2Ffull-record%2FWOS:001046034800001","View Full Record in Web of Science")</f>
        <v>View Full Record in Web of Science</v>
      </c>
    </row>
    <row r="643" spans="1:72" x14ac:dyDescent="0.15">
      <c r="A643" t="s">
        <v>72</v>
      </c>
      <c r="B643" t="s">
        <v>11542</v>
      </c>
      <c r="C643" t="s">
        <v>74</v>
      </c>
      <c r="D643" t="s">
        <v>74</v>
      </c>
      <c r="E643" t="s">
        <v>74</v>
      </c>
      <c r="F643" t="s">
        <v>11543</v>
      </c>
      <c r="G643" t="s">
        <v>74</v>
      </c>
      <c r="H643" t="s">
        <v>74</v>
      </c>
      <c r="I643" t="s">
        <v>11544</v>
      </c>
      <c r="J643" t="s">
        <v>11545</v>
      </c>
      <c r="K643" t="s">
        <v>74</v>
      </c>
      <c r="L643" t="s">
        <v>74</v>
      </c>
      <c r="M643" t="s">
        <v>78</v>
      </c>
      <c r="N643" t="s">
        <v>5492</v>
      </c>
      <c r="O643" t="s">
        <v>74</v>
      </c>
      <c r="P643" t="s">
        <v>74</v>
      </c>
      <c r="Q643" t="s">
        <v>74</v>
      </c>
      <c r="R643" t="s">
        <v>74</v>
      </c>
      <c r="S643" t="s">
        <v>74</v>
      </c>
      <c r="T643" t="s">
        <v>11546</v>
      </c>
      <c r="U643" t="s">
        <v>11547</v>
      </c>
      <c r="V643" t="s">
        <v>11548</v>
      </c>
      <c r="W643" t="s">
        <v>11549</v>
      </c>
      <c r="X643" t="s">
        <v>11550</v>
      </c>
      <c r="Y643" t="s">
        <v>11551</v>
      </c>
      <c r="Z643" t="s">
        <v>11552</v>
      </c>
      <c r="AA643" t="s">
        <v>11553</v>
      </c>
      <c r="AB643" t="s">
        <v>11554</v>
      </c>
      <c r="AC643" t="s">
        <v>74</v>
      </c>
      <c r="AD643" t="s">
        <v>74</v>
      </c>
      <c r="AE643" t="s">
        <v>74</v>
      </c>
      <c r="AF643" t="s">
        <v>74</v>
      </c>
      <c r="AG643">
        <v>108</v>
      </c>
      <c r="AH643">
        <v>0</v>
      </c>
      <c r="AI643">
        <v>0</v>
      </c>
      <c r="AJ643">
        <v>2</v>
      </c>
      <c r="AK643">
        <v>2</v>
      </c>
      <c r="AL643" t="s">
        <v>1188</v>
      </c>
      <c r="AM643" t="s">
        <v>93</v>
      </c>
      <c r="AN643" t="s">
        <v>1189</v>
      </c>
      <c r="AO643" t="s">
        <v>11555</v>
      </c>
      <c r="AP643" t="s">
        <v>11556</v>
      </c>
      <c r="AQ643" t="s">
        <v>74</v>
      </c>
      <c r="AR643" t="s">
        <v>11557</v>
      </c>
      <c r="AS643" t="s">
        <v>11558</v>
      </c>
      <c r="AT643" t="s">
        <v>11559</v>
      </c>
      <c r="AU643">
        <v>2023</v>
      </c>
      <c r="AV643" t="s">
        <v>74</v>
      </c>
      <c r="AW643" t="s">
        <v>74</v>
      </c>
      <c r="AX643" t="s">
        <v>74</v>
      </c>
      <c r="AY643" t="s">
        <v>74</v>
      </c>
      <c r="AZ643" t="s">
        <v>74</v>
      </c>
      <c r="BA643" t="s">
        <v>74</v>
      </c>
      <c r="BB643" t="s">
        <v>74</v>
      </c>
      <c r="BC643" t="s">
        <v>74</v>
      </c>
      <c r="BD643" t="s">
        <v>74</v>
      </c>
      <c r="BE643" t="s">
        <v>11560</v>
      </c>
      <c r="BF643" t="str">
        <f>HYPERLINK("http://dx.doi.org/10.1080/27697061.2023.2245435","http://dx.doi.org/10.1080/27697061.2023.2245435")</f>
        <v>http://dx.doi.org/10.1080/27697061.2023.2245435</v>
      </c>
      <c r="BG643" t="s">
        <v>74</v>
      </c>
      <c r="BH643" t="s">
        <v>8608</v>
      </c>
      <c r="BI643">
        <v>18</v>
      </c>
      <c r="BJ643" t="s">
        <v>11561</v>
      </c>
      <c r="BK643" t="s">
        <v>102</v>
      </c>
      <c r="BL643" t="s">
        <v>11561</v>
      </c>
      <c r="BM643" t="s">
        <v>11562</v>
      </c>
      <c r="BN643">
        <v>37579058</v>
      </c>
      <c r="BO643" t="s">
        <v>74</v>
      </c>
      <c r="BP643" t="s">
        <v>74</v>
      </c>
      <c r="BQ643" t="s">
        <v>74</v>
      </c>
      <c r="BR643" t="s">
        <v>105</v>
      </c>
      <c r="BS643" t="s">
        <v>11563</v>
      </c>
      <c r="BT643" t="str">
        <f>HYPERLINK("https%3A%2F%2Fwww.webofscience.com%2Fwos%2Fwoscc%2Ffull-record%2FWOS:001047954500001","View Full Record in Web of Science")</f>
        <v>View Full Record in Web of Science</v>
      </c>
    </row>
    <row r="644" spans="1:72" x14ac:dyDescent="0.15">
      <c r="A644" t="s">
        <v>72</v>
      </c>
      <c r="B644" t="s">
        <v>11564</v>
      </c>
      <c r="C644" t="s">
        <v>74</v>
      </c>
      <c r="D644" t="s">
        <v>74</v>
      </c>
      <c r="E644" t="s">
        <v>74</v>
      </c>
      <c r="F644" t="s">
        <v>11565</v>
      </c>
      <c r="G644" t="s">
        <v>74</v>
      </c>
      <c r="H644" t="s">
        <v>74</v>
      </c>
      <c r="I644" t="s">
        <v>11566</v>
      </c>
      <c r="J644" t="s">
        <v>11567</v>
      </c>
      <c r="K644" t="s">
        <v>74</v>
      </c>
      <c r="L644" t="s">
        <v>74</v>
      </c>
      <c r="M644" t="s">
        <v>78</v>
      </c>
      <c r="N644" t="s">
        <v>6253</v>
      </c>
      <c r="O644" t="s">
        <v>74</v>
      </c>
      <c r="P644" t="s">
        <v>74</v>
      </c>
      <c r="Q644" t="s">
        <v>74</v>
      </c>
      <c r="R644" t="s">
        <v>74</v>
      </c>
      <c r="S644" t="s">
        <v>74</v>
      </c>
      <c r="T644" t="s">
        <v>74</v>
      </c>
      <c r="U644" t="s">
        <v>74</v>
      </c>
      <c r="V644" t="s">
        <v>74</v>
      </c>
      <c r="W644" t="s">
        <v>11568</v>
      </c>
      <c r="X644" t="s">
        <v>11569</v>
      </c>
      <c r="Y644" t="s">
        <v>11570</v>
      </c>
      <c r="Z644" t="s">
        <v>11571</v>
      </c>
      <c r="AA644" t="s">
        <v>11572</v>
      </c>
      <c r="AB644" t="s">
        <v>11573</v>
      </c>
      <c r="AC644" t="s">
        <v>74</v>
      </c>
      <c r="AD644" t="s">
        <v>74</v>
      </c>
      <c r="AE644" t="s">
        <v>74</v>
      </c>
      <c r="AF644" t="s">
        <v>74</v>
      </c>
      <c r="AG644">
        <v>8</v>
      </c>
      <c r="AH644">
        <v>0</v>
      </c>
      <c r="AI644">
        <v>0</v>
      </c>
      <c r="AJ644">
        <v>1</v>
      </c>
      <c r="AK644">
        <v>1</v>
      </c>
      <c r="AL644" t="s">
        <v>1188</v>
      </c>
      <c r="AM644" t="s">
        <v>93</v>
      </c>
      <c r="AN644" t="s">
        <v>1189</v>
      </c>
      <c r="AO644" t="s">
        <v>11574</v>
      </c>
      <c r="AP644" t="s">
        <v>11575</v>
      </c>
      <c r="AQ644" t="s">
        <v>74</v>
      </c>
      <c r="AR644" t="s">
        <v>11576</v>
      </c>
      <c r="AS644" t="s">
        <v>11577</v>
      </c>
      <c r="AT644" t="s">
        <v>11559</v>
      </c>
      <c r="AU644">
        <v>2023</v>
      </c>
      <c r="AV644" t="s">
        <v>74</v>
      </c>
      <c r="AW644" t="s">
        <v>74</v>
      </c>
      <c r="AX644" t="s">
        <v>74</v>
      </c>
      <c r="AY644" t="s">
        <v>74</v>
      </c>
      <c r="AZ644" t="s">
        <v>74</v>
      </c>
      <c r="BA644" t="s">
        <v>74</v>
      </c>
      <c r="BB644" t="s">
        <v>74</v>
      </c>
      <c r="BC644" t="s">
        <v>74</v>
      </c>
      <c r="BD644">
        <v>2243250</v>
      </c>
      <c r="BE644" t="s">
        <v>11578</v>
      </c>
      <c r="BF644" t="str">
        <f>HYPERLINK("http://dx.doi.org/10.1080/14794802.2023.2243250","http://dx.doi.org/10.1080/14794802.2023.2243250")</f>
        <v>http://dx.doi.org/10.1080/14794802.2023.2243250</v>
      </c>
      <c r="BG644" t="s">
        <v>74</v>
      </c>
      <c r="BH644" t="s">
        <v>8608</v>
      </c>
      <c r="BI644">
        <v>6</v>
      </c>
      <c r="BJ644" t="s">
        <v>271</v>
      </c>
      <c r="BK644" t="s">
        <v>211</v>
      </c>
      <c r="BL644" t="s">
        <v>271</v>
      </c>
      <c r="BM644" t="s">
        <v>11579</v>
      </c>
      <c r="BN644" t="s">
        <v>74</v>
      </c>
      <c r="BO644" t="s">
        <v>74</v>
      </c>
      <c r="BP644" t="s">
        <v>74</v>
      </c>
      <c r="BQ644" t="s">
        <v>74</v>
      </c>
      <c r="BR644" t="s">
        <v>105</v>
      </c>
      <c r="BS644" t="s">
        <v>11580</v>
      </c>
      <c r="BT644" t="str">
        <f>HYPERLINK("https%3A%2F%2Fwww.webofscience.com%2Fwos%2Fwoscc%2Ffull-record%2FWOS:001043524200001","View Full Record in Web of Science")</f>
        <v>View Full Record in Web of Science</v>
      </c>
    </row>
    <row r="645" spans="1:72" x14ac:dyDescent="0.15">
      <c r="A645" t="s">
        <v>72</v>
      </c>
      <c r="B645" t="s">
        <v>11581</v>
      </c>
      <c r="C645" t="s">
        <v>74</v>
      </c>
      <c r="D645" t="s">
        <v>74</v>
      </c>
      <c r="E645" t="s">
        <v>74</v>
      </c>
      <c r="F645" t="s">
        <v>11582</v>
      </c>
      <c r="G645" t="s">
        <v>74</v>
      </c>
      <c r="H645" t="s">
        <v>74</v>
      </c>
      <c r="I645" t="s">
        <v>11583</v>
      </c>
      <c r="J645" t="s">
        <v>11584</v>
      </c>
      <c r="K645" t="s">
        <v>74</v>
      </c>
      <c r="L645" t="s">
        <v>74</v>
      </c>
      <c r="M645" t="s">
        <v>78</v>
      </c>
      <c r="N645" t="s">
        <v>5492</v>
      </c>
      <c r="O645" t="s">
        <v>74</v>
      </c>
      <c r="P645" t="s">
        <v>74</v>
      </c>
      <c r="Q645" t="s">
        <v>74</v>
      </c>
      <c r="R645" t="s">
        <v>74</v>
      </c>
      <c r="S645" t="s">
        <v>74</v>
      </c>
      <c r="T645" t="s">
        <v>11585</v>
      </c>
      <c r="U645" t="s">
        <v>11586</v>
      </c>
      <c r="V645" t="s">
        <v>11587</v>
      </c>
      <c r="W645" t="s">
        <v>11588</v>
      </c>
      <c r="X645" t="s">
        <v>11589</v>
      </c>
      <c r="Y645" t="s">
        <v>11590</v>
      </c>
      <c r="Z645" t="s">
        <v>11591</v>
      </c>
      <c r="AA645" t="s">
        <v>11592</v>
      </c>
      <c r="AB645" t="s">
        <v>11593</v>
      </c>
      <c r="AC645" t="s">
        <v>74</v>
      </c>
      <c r="AD645" t="s">
        <v>74</v>
      </c>
      <c r="AE645" t="s">
        <v>74</v>
      </c>
      <c r="AF645" t="s">
        <v>74</v>
      </c>
      <c r="AG645">
        <v>29</v>
      </c>
      <c r="AH645">
        <v>0</v>
      </c>
      <c r="AI645">
        <v>0</v>
      </c>
      <c r="AJ645">
        <v>3</v>
      </c>
      <c r="AK645">
        <v>3</v>
      </c>
      <c r="AL645" t="s">
        <v>92</v>
      </c>
      <c r="AM645" t="s">
        <v>93</v>
      </c>
      <c r="AN645" t="s">
        <v>94</v>
      </c>
      <c r="AO645" t="s">
        <v>11594</v>
      </c>
      <c r="AP645" t="s">
        <v>11595</v>
      </c>
      <c r="AQ645" t="s">
        <v>74</v>
      </c>
      <c r="AR645" t="s">
        <v>11596</v>
      </c>
      <c r="AS645" t="s">
        <v>11597</v>
      </c>
      <c r="AT645" t="s">
        <v>11559</v>
      </c>
      <c r="AU645">
        <v>2023</v>
      </c>
      <c r="AV645" t="s">
        <v>74</v>
      </c>
      <c r="AW645" t="s">
        <v>74</v>
      </c>
      <c r="AX645" t="s">
        <v>74</v>
      </c>
      <c r="AY645" t="s">
        <v>74</v>
      </c>
      <c r="AZ645" t="s">
        <v>74</v>
      </c>
      <c r="BA645" t="s">
        <v>74</v>
      </c>
      <c r="BB645" t="s">
        <v>74</v>
      </c>
      <c r="BC645" t="s">
        <v>74</v>
      </c>
      <c r="BD645" t="s">
        <v>74</v>
      </c>
      <c r="BE645" t="s">
        <v>11598</v>
      </c>
      <c r="BF645" t="str">
        <f>HYPERLINK("http://dx.doi.org/10.1080/09205071.2023.2243255","http://dx.doi.org/10.1080/09205071.2023.2243255")</f>
        <v>http://dx.doi.org/10.1080/09205071.2023.2243255</v>
      </c>
      <c r="BG645" t="s">
        <v>74</v>
      </c>
      <c r="BH645" t="s">
        <v>8608</v>
      </c>
      <c r="BI645">
        <v>16</v>
      </c>
      <c r="BJ645" t="s">
        <v>11599</v>
      </c>
      <c r="BK645" t="s">
        <v>102</v>
      </c>
      <c r="BL645" t="s">
        <v>11600</v>
      </c>
      <c r="BM645" t="s">
        <v>11601</v>
      </c>
      <c r="BN645" t="s">
        <v>74</v>
      </c>
      <c r="BO645" t="s">
        <v>74</v>
      </c>
      <c r="BP645" t="s">
        <v>74</v>
      </c>
      <c r="BQ645" t="s">
        <v>74</v>
      </c>
      <c r="BR645" t="s">
        <v>105</v>
      </c>
      <c r="BS645" t="s">
        <v>11602</v>
      </c>
      <c r="BT645" t="str">
        <f>HYPERLINK("https%3A%2F%2Fwww.webofscience.com%2Fwos%2Fwoscc%2Ffull-record%2FWOS:001043511300001","View Full Record in Web of Science")</f>
        <v>View Full Record in Web of Science</v>
      </c>
    </row>
    <row r="646" spans="1:72" x14ac:dyDescent="0.15">
      <c r="A646" t="s">
        <v>72</v>
      </c>
      <c r="B646" t="s">
        <v>11603</v>
      </c>
      <c r="C646" t="s">
        <v>74</v>
      </c>
      <c r="D646" t="s">
        <v>74</v>
      </c>
      <c r="E646" t="s">
        <v>74</v>
      </c>
      <c r="F646" t="s">
        <v>11604</v>
      </c>
      <c r="G646" t="s">
        <v>74</v>
      </c>
      <c r="H646" t="s">
        <v>74</v>
      </c>
      <c r="I646" t="s">
        <v>11605</v>
      </c>
      <c r="J646" t="s">
        <v>11606</v>
      </c>
      <c r="K646" t="s">
        <v>74</v>
      </c>
      <c r="L646" t="s">
        <v>74</v>
      </c>
      <c r="M646" t="s">
        <v>78</v>
      </c>
      <c r="N646" t="s">
        <v>5492</v>
      </c>
      <c r="O646" t="s">
        <v>74</v>
      </c>
      <c r="P646" t="s">
        <v>74</v>
      </c>
      <c r="Q646" t="s">
        <v>74</v>
      </c>
      <c r="R646" t="s">
        <v>74</v>
      </c>
      <c r="S646" t="s">
        <v>74</v>
      </c>
      <c r="T646" t="s">
        <v>11607</v>
      </c>
      <c r="U646" t="s">
        <v>11608</v>
      </c>
      <c r="V646" t="s">
        <v>11609</v>
      </c>
      <c r="W646" t="s">
        <v>11610</v>
      </c>
      <c r="X646" t="s">
        <v>74</v>
      </c>
      <c r="Y646" t="s">
        <v>11611</v>
      </c>
      <c r="Z646" t="s">
        <v>11612</v>
      </c>
      <c r="AA646" t="s">
        <v>74</v>
      </c>
      <c r="AB646" t="s">
        <v>74</v>
      </c>
      <c r="AC646" t="s">
        <v>74</v>
      </c>
      <c r="AD646" t="s">
        <v>74</v>
      </c>
      <c r="AE646" t="s">
        <v>74</v>
      </c>
      <c r="AF646" t="s">
        <v>74</v>
      </c>
      <c r="AG646">
        <v>46</v>
      </c>
      <c r="AH646">
        <v>0</v>
      </c>
      <c r="AI646">
        <v>0</v>
      </c>
      <c r="AJ646">
        <v>0</v>
      </c>
      <c r="AK646">
        <v>0</v>
      </c>
      <c r="AL646" t="s">
        <v>92</v>
      </c>
      <c r="AM646" t="s">
        <v>93</v>
      </c>
      <c r="AN646" t="s">
        <v>94</v>
      </c>
      <c r="AO646" t="s">
        <v>11613</v>
      </c>
      <c r="AP646" t="s">
        <v>11614</v>
      </c>
      <c r="AQ646" t="s">
        <v>74</v>
      </c>
      <c r="AR646" t="s">
        <v>11615</v>
      </c>
      <c r="AS646" t="s">
        <v>11616</v>
      </c>
      <c r="AT646" t="s">
        <v>11559</v>
      </c>
      <c r="AU646">
        <v>2023</v>
      </c>
      <c r="AV646" t="s">
        <v>74</v>
      </c>
      <c r="AW646" t="s">
        <v>74</v>
      </c>
      <c r="AX646" t="s">
        <v>74</v>
      </c>
      <c r="AY646" t="s">
        <v>74</v>
      </c>
      <c r="AZ646" t="s">
        <v>74</v>
      </c>
      <c r="BA646" t="s">
        <v>74</v>
      </c>
      <c r="BB646" t="s">
        <v>74</v>
      </c>
      <c r="BC646" t="s">
        <v>74</v>
      </c>
      <c r="BD646" t="s">
        <v>74</v>
      </c>
      <c r="BE646" t="s">
        <v>11617</v>
      </c>
      <c r="BF646" t="str">
        <f>HYPERLINK("http://dx.doi.org/10.1080/23863781.2023.2241637","http://dx.doi.org/10.1080/23863781.2023.2241637")</f>
        <v>http://dx.doi.org/10.1080/23863781.2023.2241637</v>
      </c>
      <c r="BG646" t="s">
        <v>74</v>
      </c>
      <c r="BH646" t="s">
        <v>8608</v>
      </c>
      <c r="BI646">
        <v>10</v>
      </c>
      <c r="BJ646" t="s">
        <v>7189</v>
      </c>
      <c r="BK646" t="s">
        <v>211</v>
      </c>
      <c r="BL646" t="s">
        <v>7189</v>
      </c>
      <c r="BM646" t="s">
        <v>11618</v>
      </c>
      <c r="BN646" t="s">
        <v>74</v>
      </c>
      <c r="BO646" t="s">
        <v>126</v>
      </c>
      <c r="BP646" t="s">
        <v>74</v>
      </c>
      <c r="BQ646" t="s">
        <v>74</v>
      </c>
      <c r="BR646" t="s">
        <v>105</v>
      </c>
      <c r="BS646" t="s">
        <v>11619</v>
      </c>
      <c r="BT646" t="str">
        <f>HYPERLINK("https%3A%2F%2Fwww.webofscience.com%2Fwos%2Fwoscc%2Ffull-record%2FWOS:001048066300001","View Full Record in Web of Science")</f>
        <v>View Full Record in Web of Science</v>
      </c>
    </row>
    <row r="647" spans="1:72" x14ac:dyDescent="0.15">
      <c r="A647" t="s">
        <v>72</v>
      </c>
      <c r="B647" t="s">
        <v>11620</v>
      </c>
      <c r="C647" t="s">
        <v>74</v>
      </c>
      <c r="D647" t="s">
        <v>74</v>
      </c>
      <c r="E647" t="s">
        <v>74</v>
      </c>
      <c r="F647" t="s">
        <v>11621</v>
      </c>
      <c r="G647" t="s">
        <v>74</v>
      </c>
      <c r="H647" t="s">
        <v>74</v>
      </c>
      <c r="I647" t="s">
        <v>11622</v>
      </c>
      <c r="J647" t="s">
        <v>11623</v>
      </c>
      <c r="K647" t="s">
        <v>74</v>
      </c>
      <c r="L647" t="s">
        <v>74</v>
      </c>
      <c r="M647" t="s">
        <v>78</v>
      </c>
      <c r="N647" t="s">
        <v>5492</v>
      </c>
      <c r="O647" t="s">
        <v>74</v>
      </c>
      <c r="P647" t="s">
        <v>74</v>
      </c>
      <c r="Q647" t="s">
        <v>74</v>
      </c>
      <c r="R647" t="s">
        <v>74</v>
      </c>
      <c r="S647" t="s">
        <v>74</v>
      </c>
      <c r="T647" t="s">
        <v>11624</v>
      </c>
      <c r="U647" t="s">
        <v>11625</v>
      </c>
      <c r="V647" t="s">
        <v>11626</v>
      </c>
      <c r="W647" t="s">
        <v>11627</v>
      </c>
      <c r="X647" t="s">
        <v>11628</v>
      </c>
      <c r="Y647" t="s">
        <v>11629</v>
      </c>
      <c r="Z647" t="s">
        <v>74</v>
      </c>
      <c r="AA647" t="s">
        <v>74</v>
      </c>
      <c r="AB647" t="s">
        <v>74</v>
      </c>
      <c r="AC647" t="s">
        <v>74</v>
      </c>
      <c r="AD647" t="s">
        <v>74</v>
      </c>
      <c r="AE647" t="s">
        <v>74</v>
      </c>
      <c r="AF647" t="s">
        <v>74</v>
      </c>
      <c r="AG647">
        <v>67</v>
      </c>
      <c r="AH647">
        <v>0</v>
      </c>
      <c r="AI647">
        <v>0</v>
      </c>
      <c r="AJ647">
        <v>0</v>
      </c>
      <c r="AK647">
        <v>0</v>
      </c>
      <c r="AL647" t="s">
        <v>1188</v>
      </c>
      <c r="AM647" t="s">
        <v>93</v>
      </c>
      <c r="AN647" t="s">
        <v>1189</v>
      </c>
      <c r="AO647" t="s">
        <v>11630</v>
      </c>
      <c r="AP647" t="s">
        <v>11631</v>
      </c>
      <c r="AQ647" t="s">
        <v>74</v>
      </c>
      <c r="AR647" t="s">
        <v>11632</v>
      </c>
      <c r="AS647" t="s">
        <v>11633</v>
      </c>
      <c r="AT647" t="s">
        <v>11559</v>
      </c>
      <c r="AU647">
        <v>2023</v>
      </c>
      <c r="AV647" t="s">
        <v>74</v>
      </c>
      <c r="AW647" t="s">
        <v>74</v>
      </c>
      <c r="AX647" t="s">
        <v>74</v>
      </c>
      <c r="AY647" t="s">
        <v>74</v>
      </c>
      <c r="AZ647" t="s">
        <v>74</v>
      </c>
      <c r="BA647" t="s">
        <v>74</v>
      </c>
      <c r="BB647" t="s">
        <v>74</v>
      </c>
      <c r="BC647" t="s">
        <v>74</v>
      </c>
      <c r="BD647" t="s">
        <v>74</v>
      </c>
      <c r="BE647" t="s">
        <v>11634</v>
      </c>
      <c r="BF647" t="str">
        <f>HYPERLINK("http://dx.doi.org/10.1080/07360932.2023.2245975","http://dx.doi.org/10.1080/07360932.2023.2245975")</f>
        <v>http://dx.doi.org/10.1080/07360932.2023.2245975</v>
      </c>
      <c r="BG647" t="s">
        <v>74</v>
      </c>
      <c r="BH647" t="s">
        <v>8608</v>
      </c>
      <c r="BI647">
        <v>19</v>
      </c>
      <c r="BJ647" t="s">
        <v>373</v>
      </c>
      <c r="BK647" t="s">
        <v>211</v>
      </c>
      <c r="BL647" t="s">
        <v>295</v>
      </c>
      <c r="BM647" t="s">
        <v>11635</v>
      </c>
      <c r="BN647" t="s">
        <v>74</v>
      </c>
      <c r="BO647" t="s">
        <v>74</v>
      </c>
      <c r="BP647" t="s">
        <v>74</v>
      </c>
      <c r="BQ647" t="s">
        <v>74</v>
      </c>
      <c r="BR647" t="s">
        <v>105</v>
      </c>
      <c r="BS647" t="s">
        <v>11636</v>
      </c>
      <c r="BT647" t="str">
        <f>HYPERLINK("https%3A%2F%2Fwww.webofscience.com%2Fwos%2Fwoscc%2Ffull-record%2FWOS:001047374300001","View Full Record in Web of Science")</f>
        <v>View Full Record in Web of Science</v>
      </c>
    </row>
    <row r="648" spans="1:72" x14ac:dyDescent="0.15">
      <c r="A648" t="s">
        <v>72</v>
      </c>
      <c r="B648" t="s">
        <v>11637</v>
      </c>
      <c r="C648" t="s">
        <v>74</v>
      </c>
      <c r="D648" t="s">
        <v>74</v>
      </c>
      <c r="E648" t="s">
        <v>74</v>
      </c>
      <c r="F648" t="s">
        <v>11638</v>
      </c>
      <c r="G648" t="s">
        <v>74</v>
      </c>
      <c r="H648" t="s">
        <v>74</v>
      </c>
      <c r="I648" t="s">
        <v>11639</v>
      </c>
      <c r="J648" t="s">
        <v>11640</v>
      </c>
      <c r="K648" t="s">
        <v>74</v>
      </c>
      <c r="L648" t="s">
        <v>74</v>
      </c>
      <c r="M648" t="s">
        <v>78</v>
      </c>
      <c r="N648" t="s">
        <v>6754</v>
      </c>
      <c r="O648" t="s">
        <v>74</v>
      </c>
      <c r="P648" t="s">
        <v>74</v>
      </c>
      <c r="Q648" t="s">
        <v>74</v>
      </c>
      <c r="R648" t="s">
        <v>74</v>
      </c>
      <c r="S648" t="s">
        <v>74</v>
      </c>
      <c r="T648" t="s">
        <v>11641</v>
      </c>
      <c r="U648" t="s">
        <v>11642</v>
      </c>
      <c r="V648" t="s">
        <v>11643</v>
      </c>
      <c r="W648" t="s">
        <v>11644</v>
      </c>
      <c r="X648" t="s">
        <v>11645</v>
      </c>
      <c r="Y648" t="s">
        <v>11646</v>
      </c>
      <c r="Z648" t="s">
        <v>11647</v>
      </c>
      <c r="AA648" t="s">
        <v>11648</v>
      </c>
      <c r="AB648" t="s">
        <v>11649</v>
      </c>
      <c r="AC648" t="s">
        <v>11650</v>
      </c>
      <c r="AD648" t="s">
        <v>11651</v>
      </c>
      <c r="AE648" t="s">
        <v>11652</v>
      </c>
      <c r="AF648" t="s">
        <v>74</v>
      </c>
      <c r="AG648">
        <v>62</v>
      </c>
      <c r="AH648">
        <v>0</v>
      </c>
      <c r="AI648">
        <v>0</v>
      </c>
      <c r="AJ648">
        <v>1</v>
      </c>
      <c r="AK648">
        <v>1</v>
      </c>
      <c r="AL648" t="s">
        <v>1188</v>
      </c>
      <c r="AM648" t="s">
        <v>93</v>
      </c>
      <c r="AN648" t="s">
        <v>1189</v>
      </c>
      <c r="AO648" t="s">
        <v>11653</v>
      </c>
      <c r="AP648" t="s">
        <v>11654</v>
      </c>
      <c r="AQ648" t="s">
        <v>74</v>
      </c>
      <c r="AR648" t="s">
        <v>11655</v>
      </c>
      <c r="AS648" t="s">
        <v>11656</v>
      </c>
      <c r="AT648" t="s">
        <v>11559</v>
      </c>
      <c r="AU648">
        <v>2023</v>
      </c>
      <c r="AV648" t="s">
        <v>74</v>
      </c>
      <c r="AW648" t="s">
        <v>74</v>
      </c>
      <c r="AX648" t="s">
        <v>74</v>
      </c>
      <c r="AY648" t="s">
        <v>74</v>
      </c>
      <c r="AZ648" t="s">
        <v>74</v>
      </c>
      <c r="BA648" t="s">
        <v>74</v>
      </c>
      <c r="BB648" t="s">
        <v>74</v>
      </c>
      <c r="BC648" t="s">
        <v>74</v>
      </c>
      <c r="BD648" t="s">
        <v>74</v>
      </c>
      <c r="BE648" t="s">
        <v>11657</v>
      </c>
      <c r="BF648" t="str">
        <f>HYPERLINK("http://dx.doi.org/10.1080/02614367.2023.2243654","http://dx.doi.org/10.1080/02614367.2023.2243654")</f>
        <v>http://dx.doi.org/10.1080/02614367.2023.2243654</v>
      </c>
      <c r="BG648" t="s">
        <v>74</v>
      </c>
      <c r="BH648" t="s">
        <v>8608</v>
      </c>
      <c r="BI648">
        <v>17</v>
      </c>
      <c r="BJ648" t="s">
        <v>5731</v>
      </c>
      <c r="BK648" t="s">
        <v>272</v>
      </c>
      <c r="BL648" t="s">
        <v>397</v>
      </c>
      <c r="BM648" t="s">
        <v>11658</v>
      </c>
      <c r="BN648" t="s">
        <v>74</v>
      </c>
      <c r="BO648" t="s">
        <v>887</v>
      </c>
      <c r="BP648" t="s">
        <v>74</v>
      </c>
      <c r="BQ648" t="s">
        <v>74</v>
      </c>
      <c r="BR648" t="s">
        <v>105</v>
      </c>
      <c r="BS648" t="s">
        <v>11659</v>
      </c>
      <c r="BT648" t="str">
        <f>HYPERLINK("https%3A%2F%2Fwww.webofscience.com%2Fwos%2Fwoscc%2Ffull-record%2FWOS:001040803100001","View Full Record in Web of Science")</f>
        <v>View Full Record in Web of Science</v>
      </c>
    </row>
    <row r="649" spans="1:72" x14ac:dyDescent="0.15">
      <c r="A649" t="s">
        <v>72</v>
      </c>
      <c r="B649" t="s">
        <v>11660</v>
      </c>
      <c r="C649" t="s">
        <v>74</v>
      </c>
      <c r="D649" t="s">
        <v>74</v>
      </c>
      <c r="E649" t="s">
        <v>74</v>
      </c>
      <c r="F649" t="s">
        <v>11661</v>
      </c>
      <c r="G649" t="s">
        <v>74</v>
      </c>
      <c r="H649" t="s">
        <v>74</v>
      </c>
      <c r="I649" t="s">
        <v>11662</v>
      </c>
      <c r="J649" t="s">
        <v>11663</v>
      </c>
      <c r="K649" t="s">
        <v>74</v>
      </c>
      <c r="L649" t="s">
        <v>74</v>
      </c>
      <c r="M649" t="s">
        <v>78</v>
      </c>
      <c r="N649" t="s">
        <v>5492</v>
      </c>
      <c r="O649" t="s">
        <v>74</v>
      </c>
      <c r="P649" t="s">
        <v>74</v>
      </c>
      <c r="Q649" t="s">
        <v>74</v>
      </c>
      <c r="R649" t="s">
        <v>74</v>
      </c>
      <c r="S649" t="s">
        <v>74</v>
      </c>
      <c r="T649" t="s">
        <v>11664</v>
      </c>
      <c r="U649" t="s">
        <v>74</v>
      </c>
      <c r="V649" t="s">
        <v>11665</v>
      </c>
      <c r="W649" t="s">
        <v>11666</v>
      </c>
      <c r="X649" t="s">
        <v>11667</v>
      </c>
      <c r="Y649" t="s">
        <v>11668</v>
      </c>
      <c r="Z649" t="s">
        <v>11669</v>
      </c>
      <c r="AA649" t="s">
        <v>11670</v>
      </c>
      <c r="AB649" t="s">
        <v>11671</v>
      </c>
      <c r="AC649" t="s">
        <v>74</v>
      </c>
      <c r="AD649" t="s">
        <v>74</v>
      </c>
      <c r="AE649" t="s">
        <v>74</v>
      </c>
      <c r="AF649" t="s">
        <v>74</v>
      </c>
      <c r="AG649">
        <v>31</v>
      </c>
      <c r="AH649">
        <v>0</v>
      </c>
      <c r="AI649">
        <v>0</v>
      </c>
      <c r="AJ649">
        <v>0</v>
      </c>
      <c r="AK649">
        <v>0</v>
      </c>
      <c r="AL649" t="s">
        <v>92</v>
      </c>
      <c r="AM649" t="s">
        <v>93</v>
      </c>
      <c r="AN649" t="s">
        <v>94</v>
      </c>
      <c r="AO649" t="s">
        <v>11672</v>
      </c>
      <c r="AP649" t="s">
        <v>11673</v>
      </c>
      <c r="AQ649" t="s">
        <v>74</v>
      </c>
      <c r="AR649" t="s">
        <v>11674</v>
      </c>
      <c r="AS649" t="s">
        <v>11675</v>
      </c>
      <c r="AT649" t="s">
        <v>11559</v>
      </c>
      <c r="AU649">
        <v>2023</v>
      </c>
      <c r="AV649" t="s">
        <v>74</v>
      </c>
      <c r="AW649" t="s">
        <v>74</v>
      </c>
      <c r="AX649" t="s">
        <v>74</v>
      </c>
      <c r="AY649" t="s">
        <v>74</v>
      </c>
      <c r="AZ649" t="s">
        <v>74</v>
      </c>
      <c r="BA649" t="s">
        <v>74</v>
      </c>
      <c r="BB649" t="s">
        <v>74</v>
      </c>
      <c r="BC649" t="s">
        <v>74</v>
      </c>
      <c r="BD649" t="s">
        <v>74</v>
      </c>
      <c r="BE649" t="s">
        <v>11676</v>
      </c>
      <c r="BF649" t="str">
        <f>HYPERLINK("http://dx.doi.org/10.1080/02564602.2023.2242318","http://dx.doi.org/10.1080/02564602.2023.2242318")</f>
        <v>http://dx.doi.org/10.1080/02564602.2023.2242318</v>
      </c>
      <c r="BG649" t="s">
        <v>74</v>
      </c>
      <c r="BH649" t="s">
        <v>8608</v>
      </c>
      <c r="BI649">
        <v>13</v>
      </c>
      <c r="BJ649" t="s">
        <v>11677</v>
      </c>
      <c r="BK649" t="s">
        <v>102</v>
      </c>
      <c r="BL649" t="s">
        <v>11678</v>
      </c>
      <c r="BM649" t="s">
        <v>11679</v>
      </c>
      <c r="BN649" t="s">
        <v>74</v>
      </c>
      <c r="BO649" t="s">
        <v>74</v>
      </c>
      <c r="BP649" t="s">
        <v>74</v>
      </c>
      <c r="BQ649" t="s">
        <v>74</v>
      </c>
      <c r="BR649" t="s">
        <v>105</v>
      </c>
      <c r="BS649" t="s">
        <v>11680</v>
      </c>
      <c r="BT649" t="str">
        <f>HYPERLINK("https%3A%2F%2Fwww.webofscience.com%2Fwos%2Fwoscc%2Ffull-record%2FWOS:001044931800001","View Full Record in Web of Science")</f>
        <v>View Full Record in Web of Science</v>
      </c>
    </row>
    <row r="650" spans="1:72" x14ac:dyDescent="0.15">
      <c r="A650" t="s">
        <v>72</v>
      </c>
      <c r="B650" t="s">
        <v>11681</v>
      </c>
      <c r="C650" t="s">
        <v>74</v>
      </c>
      <c r="D650" t="s">
        <v>74</v>
      </c>
      <c r="E650" t="s">
        <v>74</v>
      </c>
      <c r="F650" t="s">
        <v>11682</v>
      </c>
      <c r="G650" t="s">
        <v>74</v>
      </c>
      <c r="H650" t="s">
        <v>74</v>
      </c>
      <c r="I650" t="s">
        <v>11683</v>
      </c>
      <c r="J650" t="s">
        <v>11684</v>
      </c>
      <c r="K650" t="s">
        <v>74</v>
      </c>
      <c r="L650" t="s">
        <v>74</v>
      </c>
      <c r="M650" t="s">
        <v>78</v>
      </c>
      <c r="N650" t="s">
        <v>5492</v>
      </c>
      <c r="O650" t="s">
        <v>74</v>
      </c>
      <c r="P650" t="s">
        <v>74</v>
      </c>
      <c r="Q650" t="s">
        <v>74</v>
      </c>
      <c r="R650" t="s">
        <v>74</v>
      </c>
      <c r="S650" t="s">
        <v>74</v>
      </c>
      <c r="T650" t="s">
        <v>11685</v>
      </c>
      <c r="U650" t="s">
        <v>11686</v>
      </c>
      <c r="V650" t="s">
        <v>11687</v>
      </c>
      <c r="W650" t="s">
        <v>11688</v>
      </c>
      <c r="X650" t="s">
        <v>7993</v>
      </c>
      <c r="Y650" t="s">
        <v>11689</v>
      </c>
      <c r="Z650" t="s">
        <v>11690</v>
      </c>
      <c r="AA650" t="s">
        <v>74</v>
      </c>
      <c r="AB650" t="s">
        <v>11691</v>
      </c>
      <c r="AC650" t="s">
        <v>11692</v>
      </c>
      <c r="AD650" t="s">
        <v>11651</v>
      </c>
      <c r="AE650" t="s">
        <v>11693</v>
      </c>
      <c r="AF650" t="s">
        <v>74</v>
      </c>
      <c r="AG650">
        <v>76</v>
      </c>
      <c r="AH650">
        <v>0</v>
      </c>
      <c r="AI650">
        <v>0</v>
      </c>
      <c r="AJ650">
        <v>0</v>
      </c>
      <c r="AK650">
        <v>0</v>
      </c>
      <c r="AL650" t="s">
        <v>1188</v>
      </c>
      <c r="AM650" t="s">
        <v>93</v>
      </c>
      <c r="AN650" t="s">
        <v>1189</v>
      </c>
      <c r="AO650" t="s">
        <v>11694</v>
      </c>
      <c r="AP650" t="s">
        <v>11695</v>
      </c>
      <c r="AQ650" t="s">
        <v>74</v>
      </c>
      <c r="AR650" t="s">
        <v>11696</v>
      </c>
      <c r="AS650" t="s">
        <v>11697</v>
      </c>
      <c r="AT650" t="s">
        <v>11559</v>
      </c>
      <c r="AU650">
        <v>2023</v>
      </c>
      <c r="AV650" t="s">
        <v>74</v>
      </c>
      <c r="AW650" t="s">
        <v>74</v>
      </c>
      <c r="AX650" t="s">
        <v>74</v>
      </c>
      <c r="AY650" t="s">
        <v>74</v>
      </c>
      <c r="AZ650" t="s">
        <v>74</v>
      </c>
      <c r="BA650" t="s">
        <v>74</v>
      </c>
      <c r="BB650" t="s">
        <v>74</v>
      </c>
      <c r="BC650" t="s">
        <v>74</v>
      </c>
      <c r="BD650" t="s">
        <v>74</v>
      </c>
      <c r="BE650" t="s">
        <v>11698</v>
      </c>
      <c r="BF650" t="str">
        <f>HYPERLINK("http://dx.doi.org/10.1080/09523367.2023.2245765","http://dx.doi.org/10.1080/09523367.2023.2245765")</f>
        <v>http://dx.doi.org/10.1080/09523367.2023.2245765</v>
      </c>
      <c r="BG650" t="s">
        <v>74</v>
      </c>
      <c r="BH650" t="s">
        <v>8608</v>
      </c>
      <c r="BI650">
        <v>20</v>
      </c>
      <c r="BJ650" t="s">
        <v>11699</v>
      </c>
      <c r="BK650" t="s">
        <v>7170</v>
      </c>
      <c r="BL650" t="s">
        <v>11700</v>
      </c>
      <c r="BM650" t="s">
        <v>11701</v>
      </c>
      <c r="BN650" t="s">
        <v>74</v>
      </c>
      <c r="BO650" t="s">
        <v>887</v>
      </c>
      <c r="BP650" t="s">
        <v>74</v>
      </c>
      <c r="BQ650" t="s">
        <v>74</v>
      </c>
      <c r="BR650" t="s">
        <v>105</v>
      </c>
      <c r="BS650" t="s">
        <v>11702</v>
      </c>
      <c r="BT650" t="str">
        <f>HYPERLINK("https%3A%2F%2Fwww.webofscience.com%2Fwos%2Fwoscc%2Ffull-record%2FWOS:001049726600001","View Full Record in Web of Science")</f>
        <v>View Full Record in Web of Science</v>
      </c>
    </row>
    <row r="651" spans="1:72" x14ac:dyDescent="0.15">
      <c r="A651" t="s">
        <v>72</v>
      </c>
      <c r="B651" t="s">
        <v>11703</v>
      </c>
      <c r="C651" t="s">
        <v>74</v>
      </c>
      <c r="D651" t="s">
        <v>74</v>
      </c>
      <c r="E651" t="s">
        <v>74</v>
      </c>
      <c r="F651" t="s">
        <v>11704</v>
      </c>
      <c r="G651" t="s">
        <v>74</v>
      </c>
      <c r="H651" t="s">
        <v>74</v>
      </c>
      <c r="I651" t="s">
        <v>11705</v>
      </c>
      <c r="J651" t="s">
        <v>11706</v>
      </c>
      <c r="K651" t="s">
        <v>74</v>
      </c>
      <c r="L651" t="s">
        <v>74</v>
      </c>
      <c r="M651" t="s">
        <v>78</v>
      </c>
      <c r="N651" t="s">
        <v>5492</v>
      </c>
      <c r="O651" t="s">
        <v>74</v>
      </c>
      <c r="P651" t="s">
        <v>74</v>
      </c>
      <c r="Q651" t="s">
        <v>74</v>
      </c>
      <c r="R651" t="s">
        <v>74</v>
      </c>
      <c r="S651" t="s">
        <v>74</v>
      </c>
      <c r="T651" t="s">
        <v>11707</v>
      </c>
      <c r="U651" t="s">
        <v>11708</v>
      </c>
      <c r="V651" t="s">
        <v>11709</v>
      </c>
      <c r="W651" t="s">
        <v>11710</v>
      </c>
      <c r="X651" t="s">
        <v>11711</v>
      </c>
      <c r="Y651" t="s">
        <v>11712</v>
      </c>
      <c r="Z651" t="s">
        <v>11713</v>
      </c>
      <c r="AA651" t="s">
        <v>11714</v>
      </c>
      <c r="AB651" t="s">
        <v>11715</v>
      </c>
      <c r="AC651" t="s">
        <v>11716</v>
      </c>
      <c r="AD651" t="s">
        <v>11717</v>
      </c>
      <c r="AE651" t="s">
        <v>11718</v>
      </c>
      <c r="AF651" t="s">
        <v>74</v>
      </c>
      <c r="AG651">
        <v>50</v>
      </c>
      <c r="AH651">
        <v>0</v>
      </c>
      <c r="AI651">
        <v>0</v>
      </c>
      <c r="AJ651">
        <v>19</v>
      </c>
      <c r="AK651">
        <v>19</v>
      </c>
      <c r="AL651" t="s">
        <v>1188</v>
      </c>
      <c r="AM651" t="s">
        <v>93</v>
      </c>
      <c r="AN651" t="s">
        <v>1189</v>
      </c>
      <c r="AO651" t="s">
        <v>11719</v>
      </c>
      <c r="AP651" t="s">
        <v>11720</v>
      </c>
      <c r="AQ651" t="s">
        <v>74</v>
      </c>
      <c r="AR651" t="s">
        <v>11721</v>
      </c>
      <c r="AS651" t="s">
        <v>11722</v>
      </c>
      <c r="AT651" t="s">
        <v>11559</v>
      </c>
      <c r="AU651">
        <v>2023</v>
      </c>
      <c r="AV651" t="s">
        <v>74</v>
      </c>
      <c r="AW651" t="s">
        <v>74</v>
      </c>
      <c r="AX651" t="s">
        <v>74</v>
      </c>
      <c r="AY651" t="s">
        <v>74</v>
      </c>
      <c r="AZ651" t="s">
        <v>74</v>
      </c>
      <c r="BA651" t="s">
        <v>74</v>
      </c>
      <c r="BB651" t="s">
        <v>74</v>
      </c>
      <c r="BC651" t="s">
        <v>74</v>
      </c>
      <c r="BD651" t="s">
        <v>74</v>
      </c>
      <c r="BE651" t="s">
        <v>11723</v>
      </c>
      <c r="BF651" t="str">
        <f>HYPERLINK("http://dx.doi.org/10.1080/09537325.2023.2242509","http://dx.doi.org/10.1080/09537325.2023.2242509")</f>
        <v>http://dx.doi.org/10.1080/09537325.2023.2242509</v>
      </c>
      <c r="BG651" t="s">
        <v>74</v>
      </c>
      <c r="BH651" t="s">
        <v>8608</v>
      </c>
      <c r="BI651">
        <v>15</v>
      </c>
      <c r="BJ651" t="s">
        <v>11724</v>
      </c>
      <c r="BK651" t="s">
        <v>272</v>
      </c>
      <c r="BL651" t="s">
        <v>11725</v>
      </c>
      <c r="BM651" t="s">
        <v>11726</v>
      </c>
      <c r="BN651" t="s">
        <v>74</v>
      </c>
      <c r="BO651" t="s">
        <v>74</v>
      </c>
      <c r="BP651" t="s">
        <v>74</v>
      </c>
      <c r="BQ651" t="s">
        <v>74</v>
      </c>
      <c r="BR651" t="s">
        <v>105</v>
      </c>
      <c r="BS651" t="s">
        <v>11727</v>
      </c>
      <c r="BT651" t="str">
        <f>HYPERLINK("https%3A%2F%2Fwww.webofscience.com%2Fwos%2Fwoscc%2Ffull-record%2FWOS:001042943500001","View Full Record in Web of Science")</f>
        <v>View Full Record in Web of Science</v>
      </c>
    </row>
    <row r="652" spans="1:72" x14ac:dyDescent="0.15">
      <c r="A652" t="s">
        <v>72</v>
      </c>
      <c r="B652" t="s">
        <v>11728</v>
      </c>
      <c r="C652" t="s">
        <v>74</v>
      </c>
      <c r="D652" t="s">
        <v>74</v>
      </c>
      <c r="E652" t="s">
        <v>74</v>
      </c>
      <c r="F652" t="s">
        <v>11729</v>
      </c>
      <c r="G652" t="s">
        <v>74</v>
      </c>
      <c r="H652" t="s">
        <v>74</v>
      </c>
      <c r="I652" t="s">
        <v>11730</v>
      </c>
      <c r="J652" t="s">
        <v>11731</v>
      </c>
      <c r="K652" t="s">
        <v>74</v>
      </c>
      <c r="L652" t="s">
        <v>74</v>
      </c>
      <c r="M652" t="s">
        <v>78</v>
      </c>
      <c r="N652" t="s">
        <v>5492</v>
      </c>
      <c r="O652" t="s">
        <v>74</v>
      </c>
      <c r="P652" t="s">
        <v>74</v>
      </c>
      <c r="Q652" t="s">
        <v>74</v>
      </c>
      <c r="R652" t="s">
        <v>74</v>
      </c>
      <c r="S652" t="s">
        <v>74</v>
      </c>
      <c r="T652" t="s">
        <v>11732</v>
      </c>
      <c r="U652" t="s">
        <v>11733</v>
      </c>
      <c r="V652" t="s">
        <v>11734</v>
      </c>
      <c r="W652" t="s">
        <v>11735</v>
      </c>
      <c r="X652" t="s">
        <v>74</v>
      </c>
      <c r="Y652" t="s">
        <v>11736</v>
      </c>
      <c r="Z652" t="s">
        <v>11737</v>
      </c>
      <c r="AA652" t="s">
        <v>74</v>
      </c>
      <c r="AB652" t="s">
        <v>74</v>
      </c>
      <c r="AC652" t="s">
        <v>11738</v>
      </c>
      <c r="AD652" t="s">
        <v>11739</v>
      </c>
      <c r="AE652" t="s">
        <v>11740</v>
      </c>
      <c r="AF652" t="s">
        <v>74</v>
      </c>
      <c r="AG652">
        <v>64</v>
      </c>
      <c r="AH652">
        <v>0</v>
      </c>
      <c r="AI652">
        <v>0</v>
      </c>
      <c r="AJ652">
        <v>5</v>
      </c>
      <c r="AK652">
        <v>5</v>
      </c>
      <c r="AL652" t="s">
        <v>92</v>
      </c>
      <c r="AM652" t="s">
        <v>93</v>
      </c>
      <c r="AN652" t="s">
        <v>94</v>
      </c>
      <c r="AO652" t="s">
        <v>11741</v>
      </c>
      <c r="AP652" t="s">
        <v>11742</v>
      </c>
      <c r="AQ652" t="s">
        <v>74</v>
      </c>
      <c r="AR652" t="s">
        <v>11743</v>
      </c>
      <c r="AS652" t="s">
        <v>11744</v>
      </c>
      <c r="AT652" t="s">
        <v>11745</v>
      </c>
      <c r="AU652">
        <v>2023</v>
      </c>
      <c r="AV652" t="s">
        <v>74</v>
      </c>
      <c r="AW652" t="s">
        <v>74</v>
      </c>
      <c r="AX652" t="s">
        <v>74</v>
      </c>
      <c r="AY652" t="s">
        <v>74</v>
      </c>
      <c r="AZ652" t="s">
        <v>74</v>
      </c>
      <c r="BA652" t="s">
        <v>74</v>
      </c>
      <c r="BB652" t="s">
        <v>74</v>
      </c>
      <c r="BC652" t="s">
        <v>74</v>
      </c>
      <c r="BD652" t="s">
        <v>74</v>
      </c>
      <c r="BE652" t="s">
        <v>11746</v>
      </c>
      <c r="BF652" t="str">
        <f>HYPERLINK("http://dx.doi.org/10.1080/25726641.2023.2243198","http://dx.doi.org/10.1080/25726641.2023.2243198")</f>
        <v>http://dx.doi.org/10.1080/25726641.2023.2243198</v>
      </c>
      <c r="BG652" t="s">
        <v>74</v>
      </c>
      <c r="BH652" t="s">
        <v>8608</v>
      </c>
      <c r="BI652">
        <v>13</v>
      </c>
      <c r="BJ652" t="s">
        <v>11747</v>
      </c>
      <c r="BK652" t="s">
        <v>211</v>
      </c>
      <c r="BL652" t="s">
        <v>11747</v>
      </c>
      <c r="BM652" t="s">
        <v>11748</v>
      </c>
      <c r="BN652" t="s">
        <v>74</v>
      </c>
      <c r="BO652" t="s">
        <v>74</v>
      </c>
      <c r="BP652" t="s">
        <v>74</v>
      </c>
      <c r="BQ652" t="s">
        <v>74</v>
      </c>
      <c r="BR652" t="s">
        <v>105</v>
      </c>
      <c r="BS652" t="s">
        <v>11749</v>
      </c>
      <c r="BT652" t="str">
        <f>HYPERLINK("https%3A%2F%2Fwww.webofscience.com%2Fwos%2Fwoscc%2Ffull-record%2FWOS:001042491100001","View Full Record in Web of Science")</f>
        <v>View Full Record in Web of Science</v>
      </c>
    </row>
    <row r="653" spans="1:72" x14ac:dyDescent="0.15">
      <c r="A653" t="s">
        <v>72</v>
      </c>
      <c r="B653" t="s">
        <v>11750</v>
      </c>
      <c r="C653" t="s">
        <v>74</v>
      </c>
      <c r="D653" t="s">
        <v>74</v>
      </c>
      <c r="E653" t="s">
        <v>74</v>
      </c>
      <c r="F653" t="s">
        <v>11751</v>
      </c>
      <c r="G653" t="s">
        <v>74</v>
      </c>
      <c r="H653" t="s">
        <v>74</v>
      </c>
      <c r="I653" t="s">
        <v>11752</v>
      </c>
      <c r="J653" t="s">
        <v>11753</v>
      </c>
      <c r="K653" t="s">
        <v>74</v>
      </c>
      <c r="L653" t="s">
        <v>74</v>
      </c>
      <c r="M653" t="s">
        <v>78</v>
      </c>
      <c r="N653" t="s">
        <v>79</v>
      </c>
      <c r="O653" t="s">
        <v>74</v>
      </c>
      <c r="P653" t="s">
        <v>74</v>
      </c>
      <c r="Q653" t="s">
        <v>74</v>
      </c>
      <c r="R653" t="s">
        <v>74</v>
      </c>
      <c r="S653" t="s">
        <v>74</v>
      </c>
      <c r="T653" t="s">
        <v>11754</v>
      </c>
      <c r="U653" t="s">
        <v>74</v>
      </c>
      <c r="V653" t="s">
        <v>11755</v>
      </c>
      <c r="W653" t="s">
        <v>11756</v>
      </c>
      <c r="X653" t="s">
        <v>11757</v>
      </c>
      <c r="Y653" t="s">
        <v>11758</v>
      </c>
      <c r="Z653" t="s">
        <v>11759</v>
      </c>
      <c r="AA653" t="s">
        <v>74</v>
      </c>
      <c r="AB653" t="s">
        <v>74</v>
      </c>
      <c r="AC653" t="s">
        <v>74</v>
      </c>
      <c r="AD653" t="s">
        <v>74</v>
      </c>
      <c r="AE653" t="s">
        <v>74</v>
      </c>
      <c r="AF653" t="s">
        <v>74</v>
      </c>
      <c r="AG653">
        <v>45</v>
      </c>
      <c r="AH653">
        <v>0</v>
      </c>
      <c r="AI653">
        <v>0</v>
      </c>
      <c r="AJ653">
        <v>0</v>
      </c>
      <c r="AK653">
        <v>0</v>
      </c>
      <c r="AL653" t="s">
        <v>1188</v>
      </c>
      <c r="AM653" t="s">
        <v>93</v>
      </c>
      <c r="AN653" t="s">
        <v>1189</v>
      </c>
      <c r="AO653" t="s">
        <v>11760</v>
      </c>
      <c r="AP653" t="s">
        <v>11761</v>
      </c>
      <c r="AQ653" t="s">
        <v>74</v>
      </c>
      <c r="AR653" t="s">
        <v>11762</v>
      </c>
      <c r="AS653" t="s">
        <v>11763</v>
      </c>
      <c r="AT653" t="s">
        <v>7946</v>
      </c>
      <c r="AU653">
        <v>2022</v>
      </c>
      <c r="AV653">
        <v>25</v>
      </c>
      <c r="AW653" t="s">
        <v>11764</v>
      </c>
      <c r="AX653" t="s">
        <v>74</v>
      </c>
      <c r="AY653" t="s">
        <v>74</v>
      </c>
      <c r="AZ653" t="s">
        <v>74</v>
      </c>
      <c r="BA653" t="s">
        <v>74</v>
      </c>
      <c r="BB653">
        <v>150</v>
      </c>
      <c r="BC653">
        <v>167</v>
      </c>
      <c r="BD653" t="s">
        <v>74</v>
      </c>
      <c r="BE653" t="s">
        <v>11765</v>
      </c>
      <c r="BF653" t="str">
        <f>HYPERLINK("http://dx.doi.org/10.1080/1475262X.2023.2242294","http://dx.doi.org/10.1080/1475262X.2023.2242294")</f>
        <v>http://dx.doi.org/10.1080/1475262X.2023.2242294</v>
      </c>
      <c r="BG653" t="s">
        <v>74</v>
      </c>
      <c r="BH653" t="s">
        <v>8608</v>
      </c>
      <c r="BI653">
        <v>18</v>
      </c>
      <c r="BJ653" t="s">
        <v>6283</v>
      </c>
      <c r="BK653" t="s">
        <v>6264</v>
      </c>
      <c r="BL653" t="s">
        <v>6283</v>
      </c>
      <c r="BM653" t="s">
        <v>11766</v>
      </c>
      <c r="BN653" t="s">
        <v>74</v>
      </c>
      <c r="BO653" t="s">
        <v>74</v>
      </c>
      <c r="BP653" t="s">
        <v>74</v>
      </c>
      <c r="BQ653" t="s">
        <v>74</v>
      </c>
      <c r="BR653" t="s">
        <v>105</v>
      </c>
      <c r="BS653" t="s">
        <v>11767</v>
      </c>
      <c r="BT653" t="str">
        <f>HYPERLINK("https%3A%2F%2Fwww.webofscience.com%2Fwos%2Fwoscc%2Ffull-record%2FWOS:001042398600001","View Full Record in Web of Science")</f>
        <v>View Full Record in Web of Science</v>
      </c>
    </row>
    <row r="654" spans="1:72" x14ac:dyDescent="0.15">
      <c r="A654" t="s">
        <v>72</v>
      </c>
      <c r="B654" t="s">
        <v>11768</v>
      </c>
      <c r="C654" t="s">
        <v>74</v>
      </c>
      <c r="D654" t="s">
        <v>74</v>
      </c>
      <c r="E654" t="s">
        <v>74</v>
      </c>
      <c r="F654" t="s">
        <v>11769</v>
      </c>
      <c r="G654" t="s">
        <v>74</v>
      </c>
      <c r="H654" t="s">
        <v>74</v>
      </c>
      <c r="I654" t="s">
        <v>11770</v>
      </c>
      <c r="J654" t="s">
        <v>11771</v>
      </c>
      <c r="K654" t="s">
        <v>74</v>
      </c>
      <c r="L654" t="s">
        <v>74</v>
      </c>
      <c r="M654" t="s">
        <v>78</v>
      </c>
      <c r="N654" t="s">
        <v>5492</v>
      </c>
      <c r="O654" t="s">
        <v>74</v>
      </c>
      <c r="P654" t="s">
        <v>74</v>
      </c>
      <c r="Q654" t="s">
        <v>74</v>
      </c>
      <c r="R654" t="s">
        <v>74</v>
      </c>
      <c r="S654" t="s">
        <v>74</v>
      </c>
      <c r="T654" t="s">
        <v>74</v>
      </c>
      <c r="U654" t="s">
        <v>74</v>
      </c>
      <c r="V654" t="s">
        <v>11772</v>
      </c>
      <c r="W654" t="s">
        <v>11773</v>
      </c>
      <c r="X654" t="s">
        <v>11774</v>
      </c>
      <c r="Y654" t="s">
        <v>11775</v>
      </c>
      <c r="Z654" t="s">
        <v>11776</v>
      </c>
      <c r="AA654" t="s">
        <v>11777</v>
      </c>
      <c r="AB654" t="s">
        <v>11778</v>
      </c>
      <c r="AC654" t="s">
        <v>74</v>
      </c>
      <c r="AD654" t="s">
        <v>74</v>
      </c>
      <c r="AE654" t="s">
        <v>74</v>
      </c>
      <c r="AF654" t="s">
        <v>74</v>
      </c>
      <c r="AG654">
        <v>25</v>
      </c>
      <c r="AH654">
        <v>0</v>
      </c>
      <c r="AI654">
        <v>0</v>
      </c>
      <c r="AJ654">
        <v>3</v>
      </c>
      <c r="AK654">
        <v>3</v>
      </c>
      <c r="AL654" t="s">
        <v>1188</v>
      </c>
      <c r="AM654" t="s">
        <v>93</v>
      </c>
      <c r="AN654" t="s">
        <v>1189</v>
      </c>
      <c r="AO654" t="s">
        <v>11779</v>
      </c>
      <c r="AP654" t="s">
        <v>11780</v>
      </c>
      <c r="AQ654" t="s">
        <v>74</v>
      </c>
      <c r="AR654" t="s">
        <v>11781</v>
      </c>
      <c r="AS654" t="s">
        <v>11782</v>
      </c>
      <c r="AT654" t="s">
        <v>11745</v>
      </c>
      <c r="AU654">
        <v>2023</v>
      </c>
      <c r="AV654" t="s">
        <v>74</v>
      </c>
      <c r="AW654" t="s">
        <v>74</v>
      </c>
      <c r="AX654" t="s">
        <v>74</v>
      </c>
      <c r="AY654" t="s">
        <v>74</v>
      </c>
      <c r="AZ654" t="s">
        <v>74</v>
      </c>
      <c r="BA654" t="s">
        <v>74</v>
      </c>
      <c r="BB654" t="s">
        <v>74</v>
      </c>
      <c r="BC654" t="s">
        <v>74</v>
      </c>
      <c r="BD654" t="s">
        <v>74</v>
      </c>
      <c r="BE654" t="s">
        <v>11783</v>
      </c>
      <c r="BF654" t="str">
        <f>HYPERLINK("http://dx.doi.org/10.1080/00111619.2023.2243822","http://dx.doi.org/10.1080/00111619.2023.2243822")</f>
        <v>http://dx.doi.org/10.1080/00111619.2023.2243822</v>
      </c>
      <c r="BG654" t="s">
        <v>74</v>
      </c>
      <c r="BH654" t="s">
        <v>8608</v>
      </c>
      <c r="BI654">
        <v>15</v>
      </c>
      <c r="BJ654" t="s">
        <v>6283</v>
      </c>
      <c r="BK654" t="s">
        <v>6264</v>
      </c>
      <c r="BL654" t="s">
        <v>6283</v>
      </c>
      <c r="BM654" t="s">
        <v>11784</v>
      </c>
      <c r="BN654" t="s">
        <v>74</v>
      </c>
      <c r="BO654" t="s">
        <v>74</v>
      </c>
      <c r="BP654" t="s">
        <v>74</v>
      </c>
      <c r="BQ654" t="s">
        <v>74</v>
      </c>
      <c r="BR654" t="s">
        <v>105</v>
      </c>
      <c r="BS654" t="s">
        <v>11785</v>
      </c>
      <c r="BT654" t="str">
        <f>HYPERLINK("https%3A%2F%2Fwww.webofscience.com%2Fwos%2Fwoscc%2Ffull-record%2FWOS:001041914400001","View Full Record in Web of Science")</f>
        <v>View Full Record in Web of Science</v>
      </c>
    </row>
    <row r="655" spans="1:72" x14ac:dyDescent="0.15">
      <c r="A655" t="s">
        <v>72</v>
      </c>
      <c r="B655" t="s">
        <v>11786</v>
      </c>
      <c r="C655" t="s">
        <v>74</v>
      </c>
      <c r="D655" t="s">
        <v>74</v>
      </c>
      <c r="E655" t="s">
        <v>74</v>
      </c>
      <c r="F655" t="s">
        <v>11787</v>
      </c>
      <c r="G655" t="s">
        <v>74</v>
      </c>
      <c r="H655" t="s">
        <v>74</v>
      </c>
      <c r="I655" t="s">
        <v>11788</v>
      </c>
      <c r="J655" t="s">
        <v>11789</v>
      </c>
      <c r="K655" t="s">
        <v>74</v>
      </c>
      <c r="L655" t="s">
        <v>74</v>
      </c>
      <c r="M655" t="s">
        <v>78</v>
      </c>
      <c r="N655" t="s">
        <v>5492</v>
      </c>
      <c r="O655" t="s">
        <v>74</v>
      </c>
      <c r="P655" t="s">
        <v>74</v>
      </c>
      <c r="Q655" t="s">
        <v>74</v>
      </c>
      <c r="R655" t="s">
        <v>74</v>
      </c>
      <c r="S655" t="s">
        <v>74</v>
      </c>
      <c r="T655" t="s">
        <v>11790</v>
      </c>
      <c r="U655" t="s">
        <v>11791</v>
      </c>
      <c r="V655" t="s">
        <v>11792</v>
      </c>
      <c r="W655" t="s">
        <v>11793</v>
      </c>
      <c r="X655" t="s">
        <v>11794</v>
      </c>
      <c r="Y655" t="s">
        <v>11795</v>
      </c>
      <c r="Z655" t="s">
        <v>11796</v>
      </c>
      <c r="AA655" t="s">
        <v>74</v>
      </c>
      <c r="AB655" t="s">
        <v>11797</v>
      </c>
      <c r="AC655" t="s">
        <v>74</v>
      </c>
      <c r="AD655" t="s">
        <v>74</v>
      </c>
      <c r="AE655" t="s">
        <v>74</v>
      </c>
      <c r="AF655" t="s">
        <v>74</v>
      </c>
      <c r="AG655">
        <v>89</v>
      </c>
      <c r="AH655">
        <v>0</v>
      </c>
      <c r="AI655">
        <v>0</v>
      </c>
      <c r="AJ655">
        <v>5</v>
      </c>
      <c r="AK655">
        <v>5</v>
      </c>
      <c r="AL655" t="s">
        <v>1188</v>
      </c>
      <c r="AM655" t="s">
        <v>93</v>
      </c>
      <c r="AN655" t="s">
        <v>1189</v>
      </c>
      <c r="AO655" t="s">
        <v>11798</v>
      </c>
      <c r="AP655" t="s">
        <v>11799</v>
      </c>
      <c r="AQ655" t="s">
        <v>74</v>
      </c>
      <c r="AR655" t="s">
        <v>11800</v>
      </c>
      <c r="AS655" t="s">
        <v>11801</v>
      </c>
      <c r="AT655" t="s">
        <v>11745</v>
      </c>
      <c r="AU655">
        <v>2023</v>
      </c>
      <c r="AV655" t="s">
        <v>74</v>
      </c>
      <c r="AW655" t="s">
        <v>74</v>
      </c>
      <c r="AX655" t="s">
        <v>74</v>
      </c>
      <c r="AY655" t="s">
        <v>74</v>
      </c>
      <c r="AZ655" t="s">
        <v>74</v>
      </c>
      <c r="BA655" t="s">
        <v>74</v>
      </c>
      <c r="BB655" t="s">
        <v>74</v>
      </c>
      <c r="BC655" t="s">
        <v>74</v>
      </c>
      <c r="BD655" t="s">
        <v>74</v>
      </c>
      <c r="BE655" t="s">
        <v>11802</v>
      </c>
      <c r="BF655" t="str">
        <f>HYPERLINK("http://dx.doi.org/10.1080/09500693.2023.2231117","http://dx.doi.org/10.1080/09500693.2023.2231117")</f>
        <v>http://dx.doi.org/10.1080/09500693.2023.2231117</v>
      </c>
      <c r="BG655" t="s">
        <v>74</v>
      </c>
      <c r="BH655" t="s">
        <v>8608</v>
      </c>
      <c r="BI655">
        <v>25</v>
      </c>
      <c r="BJ655" t="s">
        <v>271</v>
      </c>
      <c r="BK655" t="s">
        <v>272</v>
      </c>
      <c r="BL655" t="s">
        <v>271</v>
      </c>
      <c r="BM655" t="s">
        <v>11803</v>
      </c>
      <c r="BN655" t="s">
        <v>74</v>
      </c>
      <c r="BO655" t="s">
        <v>5486</v>
      </c>
      <c r="BP655" t="s">
        <v>74</v>
      </c>
      <c r="BQ655" t="s">
        <v>74</v>
      </c>
      <c r="BR655" t="s">
        <v>105</v>
      </c>
      <c r="BS655" t="s">
        <v>11804</v>
      </c>
      <c r="BT655" t="str">
        <f>HYPERLINK("https%3A%2F%2Fwww.webofscience.com%2Fwos%2Fwoscc%2Ffull-record%2FWOS:001042500300001","View Full Record in Web of Science")</f>
        <v>View Full Record in Web of Science</v>
      </c>
    </row>
    <row r="656" spans="1:72" x14ac:dyDescent="0.15">
      <c r="A656" t="s">
        <v>72</v>
      </c>
      <c r="B656" t="s">
        <v>11805</v>
      </c>
      <c r="C656" t="s">
        <v>74</v>
      </c>
      <c r="D656" t="s">
        <v>74</v>
      </c>
      <c r="E656" t="s">
        <v>74</v>
      </c>
      <c r="F656" t="s">
        <v>11806</v>
      </c>
      <c r="G656" t="s">
        <v>74</v>
      </c>
      <c r="H656" t="s">
        <v>74</v>
      </c>
      <c r="I656" t="s">
        <v>11807</v>
      </c>
      <c r="J656" t="s">
        <v>6028</v>
      </c>
      <c r="K656" t="s">
        <v>74</v>
      </c>
      <c r="L656" t="s">
        <v>74</v>
      </c>
      <c r="M656" t="s">
        <v>78</v>
      </c>
      <c r="N656" t="s">
        <v>5492</v>
      </c>
      <c r="O656" t="s">
        <v>74</v>
      </c>
      <c r="P656" t="s">
        <v>74</v>
      </c>
      <c r="Q656" t="s">
        <v>74</v>
      </c>
      <c r="R656" t="s">
        <v>74</v>
      </c>
      <c r="S656" t="s">
        <v>74</v>
      </c>
      <c r="T656" t="s">
        <v>11808</v>
      </c>
      <c r="U656" t="s">
        <v>11809</v>
      </c>
      <c r="V656" t="s">
        <v>11810</v>
      </c>
      <c r="W656" t="s">
        <v>11811</v>
      </c>
      <c r="X656" t="s">
        <v>11812</v>
      </c>
      <c r="Y656" t="s">
        <v>11813</v>
      </c>
      <c r="Z656" t="s">
        <v>11814</v>
      </c>
      <c r="AA656" t="s">
        <v>74</v>
      </c>
      <c r="AB656" t="s">
        <v>11815</v>
      </c>
      <c r="AC656" t="s">
        <v>11816</v>
      </c>
      <c r="AD656" t="s">
        <v>11817</v>
      </c>
      <c r="AE656" t="s">
        <v>11818</v>
      </c>
      <c r="AF656" t="s">
        <v>74</v>
      </c>
      <c r="AG656">
        <v>70</v>
      </c>
      <c r="AH656">
        <v>0</v>
      </c>
      <c r="AI656">
        <v>0</v>
      </c>
      <c r="AJ656">
        <v>23</v>
      </c>
      <c r="AK656">
        <v>23</v>
      </c>
      <c r="AL656" t="s">
        <v>1188</v>
      </c>
      <c r="AM656" t="s">
        <v>93</v>
      </c>
      <c r="AN656" t="s">
        <v>1189</v>
      </c>
      <c r="AO656" t="s">
        <v>6036</v>
      </c>
      <c r="AP656" t="s">
        <v>6037</v>
      </c>
      <c r="AQ656" t="s">
        <v>74</v>
      </c>
      <c r="AR656" t="s">
        <v>6038</v>
      </c>
      <c r="AS656" t="s">
        <v>6039</v>
      </c>
      <c r="AT656" t="s">
        <v>11745</v>
      </c>
      <c r="AU656">
        <v>2023</v>
      </c>
      <c r="AV656" t="s">
        <v>74</v>
      </c>
      <c r="AW656" t="s">
        <v>74</v>
      </c>
      <c r="AX656" t="s">
        <v>74</v>
      </c>
      <c r="AY656" t="s">
        <v>74</v>
      </c>
      <c r="AZ656" t="s">
        <v>74</v>
      </c>
      <c r="BA656" t="s">
        <v>74</v>
      </c>
      <c r="BB656" t="s">
        <v>74</v>
      </c>
      <c r="BC656" t="s">
        <v>74</v>
      </c>
      <c r="BD656" t="s">
        <v>74</v>
      </c>
      <c r="BE656" t="s">
        <v>11819</v>
      </c>
      <c r="BF656" t="str">
        <f>HYPERLINK("http://dx.doi.org/10.1080/13683500.2023.2242559","http://dx.doi.org/10.1080/13683500.2023.2242559")</f>
        <v>http://dx.doi.org/10.1080/13683500.2023.2242559</v>
      </c>
      <c r="BG656" t="s">
        <v>74</v>
      </c>
      <c r="BH656" t="s">
        <v>8608</v>
      </c>
      <c r="BI656">
        <v>13</v>
      </c>
      <c r="BJ656" t="s">
        <v>5731</v>
      </c>
      <c r="BK656" t="s">
        <v>272</v>
      </c>
      <c r="BL656" t="s">
        <v>397</v>
      </c>
      <c r="BM656" t="s">
        <v>11820</v>
      </c>
      <c r="BN656" t="s">
        <v>74</v>
      </c>
      <c r="BO656" t="s">
        <v>74</v>
      </c>
      <c r="BP656" t="s">
        <v>74</v>
      </c>
      <c r="BQ656" t="s">
        <v>74</v>
      </c>
      <c r="BR656" t="s">
        <v>105</v>
      </c>
      <c r="BS656" t="s">
        <v>11821</v>
      </c>
      <c r="BT656" t="str">
        <f>HYPERLINK("https%3A%2F%2Fwww.webofscience.com%2Fwos%2Fwoscc%2Ffull-record%2FWOS:001043208400001","View Full Record in Web of Science")</f>
        <v>View Full Record in Web of Science</v>
      </c>
    </row>
    <row r="657" spans="1:72" x14ac:dyDescent="0.15">
      <c r="A657" t="s">
        <v>72</v>
      </c>
      <c r="B657" t="s">
        <v>11822</v>
      </c>
      <c r="C657" t="s">
        <v>74</v>
      </c>
      <c r="D657" t="s">
        <v>74</v>
      </c>
      <c r="E657" t="s">
        <v>74</v>
      </c>
      <c r="F657" t="s">
        <v>11823</v>
      </c>
      <c r="G657" t="s">
        <v>74</v>
      </c>
      <c r="H657" t="s">
        <v>74</v>
      </c>
      <c r="I657" t="s">
        <v>11824</v>
      </c>
      <c r="J657" t="s">
        <v>11825</v>
      </c>
      <c r="K657" t="s">
        <v>74</v>
      </c>
      <c r="L657" t="s">
        <v>74</v>
      </c>
      <c r="M657" t="s">
        <v>78</v>
      </c>
      <c r="N657" t="s">
        <v>5492</v>
      </c>
      <c r="O657" t="s">
        <v>74</v>
      </c>
      <c r="P657" t="s">
        <v>74</v>
      </c>
      <c r="Q657" t="s">
        <v>74</v>
      </c>
      <c r="R657" t="s">
        <v>74</v>
      </c>
      <c r="S657" t="s">
        <v>74</v>
      </c>
      <c r="T657" t="s">
        <v>74</v>
      </c>
      <c r="U657" t="s">
        <v>11826</v>
      </c>
      <c r="V657" t="s">
        <v>11827</v>
      </c>
      <c r="W657" t="s">
        <v>11828</v>
      </c>
      <c r="X657" t="s">
        <v>11829</v>
      </c>
      <c r="Y657" t="s">
        <v>11830</v>
      </c>
      <c r="Z657" t="s">
        <v>11831</v>
      </c>
      <c r="AA657" t="s">
        <v>74</v>
      </c>
      <c r="AB657" t="s">
        <v>74</v>
      </c>
      <c r="AC657" t="s">
        <v>74</v>
      </c>
      <c r="AD657" t="s">
        <v>74</v>
      </c>
      <c r="AE657" t="s">
        <v>74</v>
      </c>
      <c r="AF657" t="s">
        <v>74</v>
      </c>
      <c r="AG657">
        <v>87</v>
      </c>
      <c r="AH657">
        <v>0</v>
      </c>
      <c r="AI657">
        <v>0</v>
      </c>
      <c r="AJ657">
        <v>0</v>
      </c>
      <c r="AK657">
        <v>0</v>
      </c>
      <c r="AL657" t="s">
        <v>1188</v>
      </c>
      <c r="AM657" t="s">
        <v>93</v>
      </c>
      <c r="AN657" t="s">
        <v>1189</v>
      </c>
      <c r="AO657" t="s">
        <v>11832</v>
      </c>
      <c r="AP657" t="s">
        <v>11833</v>
      </c>
      <c r="AQ657" t="s">
        <v>74</v>
      </c>
      <c r="AR657" t="s">
        <v>11834</v>
      </c>
      <c r="AS657" t="s">
        <v>11835</v>
      </c>
      <c r="AT657" t="s">
        <v>11836</v>
      </c>
      <c r="AU657">
        <v>2023</v>
      </c>
      <c r="AV657" t="s">
        <v>74</v>
      </c>
      <c r="AW657" t="s">
        <v>74</v>
      </c>
      <c r="AX657" t="s">
        <v>74</v>
      </c>
      <c r="AY657" t="s">
        <v>74</v>
      </c>
      <c r="AZ657" t="s">
        <v>74</v>
      </c>
      <c r="BA657" t="s">
        <v>74</v>
      </c>
      <c r="BB657" t="s">
        <v>74</v>
      </c>
      <c r="BC657" t="s">
        <v>74</v>
      </c>
      <c r="BD657" t="s">
        <v>74</v>
      </c>
      <c r="BE657" t="s">
        <v>11837</v>
      </c>
      <c r="BF657" t="str">
        <f>HYPERLINK("http://dx.doi.org/10.1080/14660970.2023.2229743","http://dx.doi.org/10.1080/14660970.2023.2229743")</f>
        <v>http://dx.doi.org/10.1080/14660970.2023.2229743</v>
      </c>
      <c r="BG657" t="s">
        <v>74</v>
      </c>
      <c r="BH657" t="s">
        <v>8608</v>
      </c>
      <c r="BI657">
        <v>19</v>
      </c>
      <c r="BJ657" t="s">
        <v>5731</v>
      </c>
      <c r="BK657" t="s">
        <v>211</v>
      </c>
      <c r="BL657" t="s">
        <v>397</v>
      </c>
      <c r="BM657" t="s">
        <v>11838</v>
      </c>
      <c r="BN657" t="s">
        <v>74</v>
      </c>
      <c r="BO657" t="s">
        <v>74</v>
      </c>
      <c r="BP657" t="s">
        <v>74</v>
      </c>
      <c r="BQ657" t="s">
        <v>74</v>
      </c>
      <c r="BR657" t="s">
        <v>105</v>
      </c>
      <c r="BS657" t="s">
        <v>11839</v>
      </c>
      <c r="BT657" t="str">
        <f>HYPERLINK("https%3A%2F%2Fwww.webofscience.com%2Fwos%2Fwoscc%2Ffull-record%2FWOS:001040682000001","View Full Record in Web of Science")</f>
        <v>View Full Record in Web of Science</v>
      </c>
    </row>
    <row r="658" spans="1:72" x14ac:dyDescent="0.15">
      <c r="A658" t="s">
        <v>72</v>
      </c>
      <c r="B658" t="s">
        <v>11840</v>
      </c>
      <c r="C658" t="s">
        <v>74</v>
      </c>
      <c r="D658" t="s">
        <v>74</v>
      </c>
      <c r="E658" t="s">
        <v>74</v>
      </c>
      <c r="F658" t="s">
        <v>11841</v>
      </c>
      <c r="G658" t="s">
        <v>74</v>
      </c>
      <c r="H658" t="s">
        <v>74</v>
      </c>
      <c r="I658" t="s">
        <v>11842</v>
      </c>
      <c r="J658" t="s">
        <v>11843</v>
      </c>
      <c r="K658" t="s">
        <v>74</v>
      </c>
      <c r="L658" t="s">
        <v>74</v>
      </c>
      <c r="M658" t="s">
        <v>78</v>
      </c>
      <c r="N658" t="s">
        <v>5492</v>
      </c>
      <c r="O658" t="s">
        <v>74</v>
      </c>
      <c r="P658" t="s">
        <v>74</v>
      </c>
      <c r="Q658" t="s">
        <v>74</v>
      </c>
      <c r="R658" t="s">
        <v>74</v>
      </c>
      <c r="S658" t="s">
        <v>74</v>
      </c>
      <c r="T658" t="s">
        <v>11844</v>
      </c>
      <c r="U658" t="s">
        <v>11845</v>
      </c>
      <c r="V658" t="s">
        <v>11846</v>
      </c>
      <c r="W658" t="s">
        <v>11847</v>
      </c>
      <c r="X658" t="s">
        <v>11848</v>
      </c>
      <c r="Y658" t="s">
        <v>11849</v>
      </c>
      <c r="Z658" t="s">
        <v>11850</v>
      </c>
      <c r="AA658" t="s">
        <v>74</v>
      </c>
      <c r="AB658" t="s">
        <v>11851</v>
      </c>
      <c r="AC658" t="s">
        <v>74</v>
      </c>
      <c r="AD658" t="s">
        <v>74</v>
      </c>
      <c r="AE658" t="s">
        <v>74</v>
      </c>
      <c r="AF658" t="s">
        <v>74</v>
      </c>
      <c r="AG658">
        <v>84</v>
      </c>
      <c r="AH658">
        <v>0</v>
      </c>
      <c r="AI658">
        <v>0</v>
      </c>
      <c r="AJ658">
        <v>0</v>
      </c>
      <c r="AK658">
        <v>0</v>
      </c>
      <c r="AL658" t="s">
        <v>1188</v>
      </c>
      <c r="AM658" t="s">
        <v>93</v>
      </c>
      <c r="AN658" t="s">
        <v>1189</v>
      </c>
      <c r="AO658" t="s">
        <v>11852</v>
      </c>
      <c r="AP658" t="s">
        <v>11853</v>
      </c>
      <c r="AQ658" t="s">
        <v>74</v>
      </c>
      <c r="AR658" t="s">
        <v>11854</v>
      </c>
      <c r="AS658" t="s">
        <v>11855</v>
      </c>
      <c r="AT658" t="s">
        <v>11836</v>
      </c>
      <c r="AU658">
        <v>2023</v>
      </c>
      <c r="AV658" t="s">
        <v>74</v>
      </c>
      <c r="AW658" t="s">
        <v>74</v>
      </c>
      <c r="AX658" t="s">
        <v>74</v>
      </c>
      <c r="AY658" t="s">
        <v>74</v>
      </c>
      <c r="AZ658" t="s">
        <v>74</v>
      </c>
      <c r="BA658" t="s">
        <v>74</v>
      </c>
      <c r="BB658" t="s">
        <v>74</v>
      </c>
      <c r="BC658" t="s">
        <v>74</v>
      </c>
      <c r="BD658" t="s">
        <v>74</v>
      </c>
      <c r="BE658" t="s">
        <v>11856</v>
      </c>
      <c r="BF658" t="str">
        <f>HYPERLINK("http://dx.doi.org/10.1080/01459740.2023.2240944","http://dx.doi.org/10.1080/01459740.2023.2240944")</f>
        <v>http://dx.doi.org/10.1080/01459740.2023.2240944</v>
      </c>
      <c r="BG658" t="s">
        <v>74</v>
      </c>
      <c r="BH658" t="s">
        <v>8608</v>
      </c>
      <c r="BI658">
        <v>14</v>
      </c>
      <c r="BJ658" t="s">
        <v>11857</v>
      </c>
      <c r="BK658" t="s">
        <v>272</v>
      </c>
      <c r="BL658" t="s">
        <v>11858</v>
      </c>
      <c r="BM658" t="s">
        <v>11859</v>
      </c>
      <c r="BN658">
        <v>37526472</v>
      </c>
      <c r="BO658" t="s">
        <v>887</v>
      </c>
      <c r="BP658" t="s">
        <v>74</v>
      </c>
      <c r="BQ658" t="s">
        <v>74</v>
      </c>
      <c r="BR658" t="s">
        <v>105</v>
      </c>
      <c r="BS658" t="s">
        <v>11860</v>
      </c>
      <c r="BT658" t="str">
        <f>HYPERLINK("https%3A%2F%2Fwww.webofscience.com%2Fwos%2Fwoscc%2Ffull-record%2FWOS:001038636700001","View Full Record in Web of Science")</f>
        <v>View Full Record in Web of Science</v>
      </c>
    </row>
    <row r="659" spans="1:72" x14ac:dyDescent="0.15">
      <c r="A659" t="s">
        <v>72</v>
      </c>
      <c r="B659" t="s">
        <v>11861</v>
      </c>
      <c r="C659" t="s">
        <v>74</v>
      </c>
      <c r="D659" t="s">
        <v>74</v>
      </c>
      <c r="E659" t="s">
        <v>74</v>
      </c>
      <c r="F659" t="s">
        <v>11862</v>
      </c>
      <c r="G659" t="s">
        <v>74</v>
      </c>
      <c r="H659" t="s">
        <v>74</v>
      </c>
      <c r="I659" t="s">
        <v>11863</v>
      </c>
      <c r="J659" t="s">
        <v>8638</v>
      </c>
      <c r="K659" t="s">
        <v>74</v>
      </c>
      <c r="L659" t="s">
        <v>74</v>
      </c>
      <c r="M659" t="s">
        <v>78</v>
      </c>
      <c r="N659" t="s">
        <v>5492</v>
      </c>
      <c r="O659" t="s">
        <v>74</v>
      </c>
      <c r="P659" t="s">
        <v>74</v>
      </c>
      <c r="Q659" t="s">
        <v>74</v>
      </c>
      <c r="R659" t="s">
        <v>74</v>
      </c>
      <c r="S659" t="s">
        <v>74</v>
      </c>
      <c r="T659" t="s">
        <v>11864</v>
      </c>
      <c r="U659" t="s">
        <v>11865</v>
      </c>
      <c r="V659" t="s">
        <v>11866</v>
      </c>
      <c r="W659" t="s">
        <v>11867</v>
      </c>
      <c r="X659" t="s">
        <v>11868</v>
      </c>
      <c r="Y659" t="s">
        <v>11869</v>
      </c>
      <c r="Z659" t="s">
        <v>11870</v>
      </c>
      <c r="AA659" t="s">
        <v>74</v>
      </c>
      <c r="AB659" t="s">
        <v>11871</v>
      </c>
      <c r="AC659" t="s">
        <v>11872</v>
      </c>
      <c r="AD659" t="s">
        <v>11873</v>
      </c>
      <c r="AE659" t="s">
        <v>11874</v>
      </c>
      <c r="AF659" t="s">
        <v>74</v>
      </c>
      <c r="AG659">
        <v>69</v>
      </c>
      <c r="AH659">
        <v>0</v>
      </c>
      <c r="AI659">
        <v>0</v>
      </c>
      <c r="AJ659">
        <v>0</v>
      </c>
      <c r="AK659">
        <v>0</v>
      </c>
      <c r="AL659" t="s">
        <v>184</v>
      </c>
      <c r="AM659" t="s">
        <v>185</v>
      </c>
      <c r="AN659" t="s">
        <v>186</v>
      </c>
      <c r="AO659" t="s">
        <v>8647</v>
      </c>
      <c r="AP659" t="s">
        <v>8648</v>
      </c>
      <c r="AQ659" t="s">
        <v>74</v>
      </c>
      <c r="AR659" t="s">
        <v>8649</v>
      </c>
      <c r="AS659" t="s">
        <v>8650</v>
      </c>
      <c r="AT659" t="s">
        <v>11836</v>
      </c>
      <c r="AU659">
        <v>2023</v>
      </c>
      <c r="AV659" t="s">
        <v>74</v>
      </c>
      <c r="AW659" t="s">
        <v>74</v>
      </c>
      <c r="AX659" t="s">
        <v>74</v>
      </c>
      <c r="AY659" t="s">
        <v>74</v>
      </c>
      <c r="AZ659" t="s">
        <v>74</v>
      </c>
      <c r="BA659" t="s">
        <v>74</v>
      </c>
      <c r="BB659" t="s">
        <v>74</v>
      </c>
      <c r="BC659" t="s">
        <v>74</v>
      </c>
      <c r="BD659" t="s">
        <v>74</v>
      </c>
      <c r="BE659" t="s">
        <v>11875</v>
      </c>
      <c r="BF659" t="str">
        <f>HYPERLINK("http://dx.doi.org/10.1080/02713683.2023.2240547","http://dx.doi.org/10.1080/02713683.2023.2240547")</f>
        <v>http://dx.doi.org/10.1080/02713683.2023.2240547</v>
      </c>
      <c r="BG659" t="s">
        <v>74</v>
      </c>
      <c r="BH659" t="s">
        <v>8608</v>
      </c>
      <c r="BI659">
        <v>7</v>
      </c>
      <c r="BJ659" t="s">
        <v>6501</v>
      </c>
      <c r="BK659" t="s">
        <v>102</v>
      </c>
      <c r="BL659" t="s">
        <v>6501</v>
      </c>
      <c r="BM659" t="s">
        <v>11876</v>
      </c>
      <c r="BN659">
        <v>37539829</v>
      </c>
      <c r="BO659" t="s">
        <v>74</v>
      </c>
      <c r="BP659" t="s">
        <v>74</v>
      </c>
      <c r="BQ659" t="s">
        <v>74</v>
      </c>
      <c r="BR659" t="s">
        <v>105</v>
      </c>
      <c r="BS659" t="s">
        <v>11877</v>
      </c>
      <c r="BT659" t="str">
        <f>HYPERLINK("https%3A%2F%2Fwww.webofscience.com%2Fwos%2Fwoscc%2Ffull-record%2FWOS:001042416800001","View Full Record in Web of Science")</f>
        <v>View Full Record in Web of Science</v>
      </c>
    </row>
    <row r="660" spans="1:72" x14ac:dyDescent="0.15">
      <c r="A660" t="s">
        <v>72</v>
      </c>
      <c r="B660" t="s">
        <v>11878</v>
      </c>
      <c r="C660" t="s">
        <v>74</v>
      </c>
      <c r="D660" t="s">
        <v>74</v>
      </c>
      <c r="E660" t="s">
        <v>74</v>
      </c>
      <c r="F660" t="s">
        <v>11879</v>
      </c>
      <c r="G660" t="s">
        <v>74</v>
      </c>
      <c r="H660" t="s">
        <v>74</v>
      </c>
      <c r="I660" t="s">
        <v>11880</v>
      </c>
      <c r="J660" t="s">
        <v>11881</v>
      </c>
      <c r="K660" t="s">
        <v>74</v>
      </c>
      <c r="L660" t="s">
        <v>74</v>
      </c>
      <c r="M660" t="s">
        <v>78</v>
      </c>
      <c r="N660" t="s">
        <v>5492</v>
      </c>
      <c r="O660" t="s">
        <v>74</v>
      </c>
      <c r="P660" t="s">
        <v>74</v>
      </c>
      <c r="Q660" t="s">
        <v>74</v>
      </c>
      <c r="R660" t="s">
        <v>74</v>
      </c>
      <c r="S660" t="s">
        <v>74</v>
      </c>
      <c r="T660" t="s">
        <v>11882</v>
      </c>
      <c r="U660" t="s">
        <v>11883</v>
      </c>
      <c r="V660" t="s">
        <v>11884</v>
      </c>
      <c r="W660" t="s">
        <v>11885</v>
      </c>
      <c r="X660" t="s">
        <v>11886</v>
      </c>
      <c r="Y660" t="s">
        <v>11887</v>
      </c>
      <c r="Z660" t="s">
        <v>11888</v>
      </c>
      <c r="AA660" t="s">
        <v>74</v>
      </c>
      <c r="AB660" t="s">
        <v>11889</v>
      </c>
      <c r="AC660" t="s">
        <v>74</v>
      </c>
      <c r="AD660" t="s">
        <v>74</v>
      </c>
      <c r="AE660" t="s">
        <v>74</v>
      </c>
      <c r="AF660" t="s">
        <v>74</v>
      </c>
      <c r="AG660">
        <v>72</v>
      </c>
      <c r="AH660">
        <v>0</v>
      </c>
      <c r="AI660">
        <v>0</v>
      </c>
      <c r="AJ660">
        <v>1</v>
      </c>
      <c r="AK660">
        <v>1</v>
      </c>
      <c r="AL660" t="s">
        <v>1188</v>
      </c>
      <c r="AM660" t="s">
        <v>93</v>
      </c>
      <c r="AN660" t="s">
        <v>1189</v>
      </c>
      <c r="AO660" t="s">
        <v>11890</v>
      </c>
      <c r="AP660" t="s">
        <v>11891</v>
      </c>
      <c r="AQ660" t="s">
        <v>74</v>
      </c>
      <c r="AR660" t="s">
        <v>11892</v>
      </c>
      <c r="AS660" t="s">
        <v>11893</v>
      </c>
      <c r="AT660" t="s">
        <v>11836</v>
      </c>
      <c r="AU660">
        <v>2023</v>
      </c>
      <c r="AV660" t="s">
        <v>74</v>
      </c>
      <c r="AW660" t="s">
        <v>74</v>
      </c>
      <c r="AX660" t="s">
        <v>74</v>
      </c>
      <c r="AY660" t="s">
        <v>74</v>
      </c>
      <c r="AZ660" t="s">
        <v>74</v>
      </c>
      <c r="BA660" t="s">
        <v>74</v>
      </c>
      <c r="BB660" t="s">
        <v>74</v>
      </c>
      <c r="BC660" t="s">
        <v>74</v>
      </c>
      <c r="BD660" t="s">
        <v>74</v>
      </c>
      <c r="BE660" t="s">
        <v>11894</v>
      </c>
      <c r="BF660" t="str">
        <f>HYPERLINK("http://dx.doi.org/10.1080/10350330.2023.2239735","http://dx.doi.org/10.1080/10350330.2023.2239735")</f>
        <v>http://dx.doi.org/10.1080/10350330.2023.2239735</v>
      </c>
      <c r="BG660" t="s">
        <v>74</v>
      </c>
      <c r="BH660" t="s">
        <v>8608</v>
      </c>
      <c r="BI660">
        <v>26</v>
      </c>
      <c r="BJ660" t="s">
        <v>11895</v>
      </c>
      <c r="BK660" t="s">
        <v>7170</v>
      </c>
      <c r="BL660" t="s">
        <v>11896</v>
      </c>
      <c r="BM660" t="s">
        <v>11897</v>
      </c>
      <c r="BN660" t="s">
        <v>74</v>
      </c>
      <c r="BO660" t="s">
        <v>74</v>
      </c>
      <c r="BP660" t="s">
        <v>74</v>
      </c>
      <c r="BQ660" t="s">
        <v>74</v>
      </c>
      <c r="BR660" t="s">
        <v>105</v>
      </c>
      <c r="BS660" t="s">
        <v>11898</v>
      </c>
      <c r="BT660" t="str">
        <f>HYPERLINK("https%3A%2F%2Fwww.webofscience.com%2Fwos%2Fwoscc%2Ffull-record%2FWOS:001041917500001","View Full Record in Web of Science")</f>
        <v>View Full Record in Web of Science</v>
      </c>
    </row>
    <row r="661" spans="1:72" x14ac:dyDescent="0.15">
      <c r="A661" t="s">
        <v>72</v>
      </c>
      <c r="B661" t="s">
        <v>11899</v>
      </c>
      <c r="C661" t="s">
        <v>74</v>
      </c>
      <c r="D661" t="s">
        <v>74</v>
      </c>
      <c r="E661" t="s">
        <v>74</v>
      </c>
      <c r="F661" t="s">
        <v>11900</v>
      </c>
      <c r="G661" t="s">
        <v>74</v>
      </c>
      <c r="H661" t="s">
        <v>74</v>
      </c>
      <c r="I661" t="s">
        <v>11901</v>
      </c>
      <c r="J661" t="s">
        <v>11902</v>
      </c>
      <c r="K661" t="s">
        <v>74</v>
      </c>
      <c r="L661" t="s">
        <v>74</v>
      </c>
      <c r="M661" t="s">
        <v>78</v>
      </c>
      <c r="N661" t="s">
        <v>5492</v>
      </c>
      <c r="O661" t="s">
        <v>74</v>
      </c>
      <c r="P661" t="s">
        <v>74</v>
      </c>
      <c r="Q661" t="s">
        <v>74</v>
      </c>
      <c r="R661" t="s">
        <v>74</v>
      </c>
      <c r="S661" t="s">
        <v>74</v>
      </c>
      <c r="T661" t="s">
        <v>11903</v>
      </c>
      <c r="U661" t="s">
        <v>11904</v>
      </c>
      <c r="V661" t="s">
        <v>11905</v>
      </c>
      <c r="W661" t="s">
        <v>11906</v>
      </c>
      <c r="X661" t="s">
        <v>11907</v>
      </c>
      <c r="Y661" t="s">
        <v>11908</v>
      </c>
      <c r="Z661" t="s">
        <v>11909</v>
      </c>
      <c r="AA661" t="s">
        <v>74</v>
      </c>
      <c r="AB661" t="s">
        <v>11910</v>
      </c>
      <c r="AC661" t="s">
        <v>74</v>
      </c>
      <c r="AD661" t="s">
        <v>74</v>
      </c>
      <c r="AE661" t="s">
        <v>74</v>
      </c>
      <c r="AF661" t="s">
        <v>74</v>
      </c>
      <c r="AG661">
        <v>66</v>
      </c>
      <c r="AH661">
        <v>2</v>
      </c>
      <c r="AI661">
        <v>2</v>
      </c>
      <c r="AJ661">
        <v>4</v>
      </c>
      <c r="AK661">
        <v>4</v>
      </c>
      <c r="AL661" t="s">
        <v>184</v>
      </c>
      <c r="AM661" t="s">
        <v>185</v>
      </c>
      <c r="AN661" t="s">
        <v>186</v>
      </c>
      <c r="AO661" t="s">
        <v>11911</v>
      </c>
      <c r="AP661" t="s">
        <v>11912</v>
      </c>
      <c r="AQ661" t="s">
        <v>74</v>
      </c>
      <c r="AR661" t="s">
        <v>11913</v>
      </c>
      <c r="AS661" t="s">
        <v>11914</v>
      </c>
      <c r="AT661" t="s">
        <v>11836</v>
      </c>
      <c r="AU661">
        <v>2023</v>
      </c>
      <c r="AV661" t="s">
        <v>74</v>
      </c>
      <c r="AW661" t="s">
        <v>74</v>
      </c>
      <c r="AX661" t="s">
        <v>74</v>
      </c>
      <c r="AY661" t="s">
        <v>74</v>
      </c>
      <c r="AZ661" t="s">
        <v>74</v>
      </c>
      <c r="BA661" t="s">
        <v>74</v>
      </c>
      <c r="BB661" t="s">
        <v>74</v>
      </c>
      <c r="BC661" t="s">
        <v>74</v>
      </c>
      <c r="BD661" t="s">
        <v>74</v>
      </c>
      <c r="BE661" t="s">
        <v>11915</v>
      </c>
      <c r="BF661" t="str">
        <f>HYPERLINK("http://dx.doi.org/10.1080/15376494.2023.2243938","http://dx.doi.org/10.1080/15376494.2023.2243938")</f>
        <v>http://dx.doi.org/10.1080/15376494.2023.2243938</v>
      </c>
      <c r="BG661" t="s">
        <v>74</v>
      </c>
      <c r="BH661" t="s">
        <v>8608</v>
      </c>
      <c r="BI661">
        <v>25</v>
      </c>
      <c r="BJ661" t="s">
        <v>11916</v>
      </c>
      <c r="BK661" t="s">
        <v>102</v>
      </c>
      <c r="BL661" t="s">
        <v>11917</v>
      </c>
      <c r="BM661" t="s">
        <v>11918</v>
      </c>
      <c r="BN661" t="s">
        <v>74</v>
      </c>
      <c r="BO661" t="s">
        <v>74</v>
      </c>
      <c r="BP661" t="s">
        <v>74</v>
      </c>
      <c r="BQ661" t="s">
        <v>74</v>
      </c>
      <c r="BR661" t="s">
        <v>105</v>
      </c>
      <c r="BS661" t="s">
        <v>11919</v>
      </c>
      <c r="BT661" t="str">
        <f>HYPERLINK("https%3A%2F%2Fwww.webofscience.com%2Fwos%2Fwoscc%2Ffull-record%2FWOS:001044246100001","View Full Record in Web of Science")</f>
        <v>View Full Record in Web of Science</v>
      </c>
    </row>
    <row r="662" spans="1:72" x14ac:dyDescent="0.15">
      <c r="A662" t="s">
        <v>72</v>
      </c>
      <c r="B662" t="s">
        <v>11920</v>
      </c>
      <c r="C662" t="s">
        <v>74</v>
      </c>
      <c r="D662" t="s">
        <v>74</v>
      </c>
      <c r="E662" t="s">
        <v>74</v>
      </c>
      <c r="F662" t="s">
        <v>11921</v>
      </c>
      <c r="G662" t="s">
        <v>74</v>
      </c>
      <c r="H662" t="s">
        <v>74</v>
      </c>
      <c r="I662" t="s">
        <v>11922</v>
      </c>
      <c r="J662" t="s">
        <v>8657</v>
      </c>
      <c r="K662" t="s">
        <v>74</v>
      </c>
      <c r="L662" t="s">
        <v>74</v>
      </c>
      <c r="M662" t="s">
        <v>78</v>
      </c>
      <c r="N662" t="s">
        <v>5492</v>
      </c>
      <c r="O662" t="s">
        <v>74</v>
      </c>
      <c r="P662" t="s">
        <v>74</v>
      </c>
      <c r="Q662" t="s">
        <v>74</v>
      </c>
      <c r="R662" t="s">
        <v>74</v>
      </c>
      <c r="S662" t="s">
        <v>74</v>
      </c>
      <c r="T662" t="s">
        <v>11923</v>
      </c>
      <c r="U662" t="s">
        <v>11924</v>
      </c>
      <c r="V662" t="s">
        <v>11925</v>
      </c>
      <c r="W662" t="s">
        <v>11926</v>
      </c>
      <c r="X662" t="s">
        <v>11927</v>
      </c>
      <c r="Y662" t="s">
        <v>11928</v>
      </c>
      <c r="Z662" t="s">
        <v>11929</v>
      </c>
      <c r="AA662" t="s">
        <v>74</v>
      </c>
      <c r="AB662" t="s">
        <v>11930</v>
      </c>
      <c r="AC662" t="s">
        <v>11931</v>
      </c>
      <c r="AD662" t="s">
        <v>11932</v>
      </c>
      <c r="AE662" t="s">
        <v>11933</v>
      </c>
      <c r="AF662" t="s">
        <v>74</v>
      </c>
      <c r="AG662">
        <v>87</v>
      </c>
      <c r="AH662">
        <v>0</v>
      </c>
      <c r="AI662">
        <v>0</v>
      </c>
      <c r="AJ662">
        <v>2</v>
      </c>
      <c r="AK662">
        <v>2</v>
      </c>
      <c r="AL662" t="s">
        <v>184</v>
      </c>
      <c r="AM662" t="s">
        <v>185</v>
      </c>
      <c r="AN662" t="s">
        <v>186</v>
      </c>
      <c r="AO662" t="s">
        <v>8668</v>
      </c>
      <c r="AP662" t="s">
        <v>8669</v>
      </c>
      <c r="AQ662" t="s">
        <v>74</v>
      </c>
      <c r="AR662" t="s">
        <v>8670</v>
      </c>
      <c r="AS662" t="s">
        <v>8671</v>
      </c>
      <c r="AT662" t="s">
        <v>11836</v>
      </c>
      <c r="AU662">
        <v>2023</v>
      </c>
      <c r="AV662" t="s">
        <v>74</v>
      </c>
      <c r="AW662" t="s">
        <v>74</v>
      </c>
      <c r="AX662" t="s">
        <v>74</v>
      </c>
      <c r="AY662" t="s">
        <v>74</v>
      </c>
      <c r="AZ662" t="s">
        <v>74</v>
      </c>
      <c r="BA662" t="s">
        <v>74</v>
      </c>
      <c r="BB662" t="s">
        <v>74</v>
      </c>
      <c r="BC662" t="s">
        <v>74</v>
      </c>
      <c r="BD662" t="s">
        <v>74</v>
      </c>
      <c r="BE662" t="s">
        <v>11934</v>
      </c>
      <c r="BF662" t="str">
        <f>HYPERLINK("http://dx.doi.org/10.1080/10447318.2023.2239556","http://dx.doi.org/10.1080/10447318.2023.2239556")</f>
        <v>http://dx.doi.org/10.1080/10447318.2023.2239556</v>
      </c>
      <c r="BG662" t="s">
        <v>74</v>
      </c>
      <c r="BH662" t="s">
        <v>8608</v>
      </c>
      <c r="BI662">
        <v>22</v>
      </c>
      <c r="BJ662" t="s">
        <v>8673</v>
      </c>
      <c r="BK662" t="s">
        <v>123</v>
      </c>
      <c r="BL662" t="s">
        <v>1556</v>
      </c>
      <c r="BM662" t="s">
        <v>11935</v>
      </c>
      <c r="BN662" t="s">
        <v>74</v>
      </c>
      <c r="BO662" t="s">
        <v>11936</v>
      </c>
      <c r="BP662" t="s">
        <v>74</v>
      </c>
      <c r="BQ662" t="s">
        <v>74</v>
      </c>
      <c r="BR662" t="s">
        <v>105</v>
      </c>
      <c r="BS662" t="s">
        <v>11937</v>
      </c>
      <c r="BT662" t="str">
        <f>HYPERLINK("https%3A%2F%2Fwww.webofscience.com%2Fwos%2Fwoscc%2Ffull-record%2FWOS:001041914200001","View Full Record in Web of Science")</f>
        <v>View Full Record in Web of Science</v>
      </c>
    </row>
    <row r="663" spans="1:72" x14ac:dyDescent="0.15">
      <c r="A663" t="s">
        <v>72</v>
      </c>
      <c r="B663" t="s">
        <v>11938</v>
      </c>
      <c r="C663" t="s">
        <v>74</v>
      </c>
      <c r="D663" t="s">
        <v>74</v>
      </c>
      <c r="E663" t="s">
        <v>74</v>
      </c>
      <c r="F663" t="s">
        <v>11939</v>
      </c>
      <c r="G663" t="s">
        <v>74</v>
      </c>
      <c r="H663" t="s">
        <v>74</v>
      </c>
      <c r="I663" t="s">
        <v>11940</v>
      </c>
      <c r="J663" t="s">
        <v>5396</v>
      </c>
      <c r="K663" t="s">
        <v>74</v>
      </c>
      <c r="L663" t="s">
        <v>74</v>
      </c>
      <c r="M663" t="s">
        <v>78</v>
      </c>
      <c r="N663" t="s">
        <v>79</v>
      </c>
      <c r="O663" t="s">
        <v>74</v>
      </c>
      <c r="P663" t="s">
        <v>74</v>
      </c>
      <c r="Q663" t="s">
        <v>74</v>
      </c>
      <c r="R663" t="s">
        <v>74</v>
      </c>
      <c r="S663" t="s">
        <v>74</v>
      </c>
      <c r="T663" t="s">
        <v>11941</v>
      </c>
      <c r="U663" t="s">
        <v>11942</v>
      </c>
      <c r="V663" t="s">
        <v>11943</v>
      </c>
      <c r="W663" t="s">
        <v>11944</v>
      </c>
      <c r="X663" t="s">
        <v>4428</v>
      </c>
      <c r="Y663" t="s">
        <v>11945</v>
      </c>
      <c r="Z663" t="s">
        <v>11946</v>
      </c>
      <c r="AA663" t="s">
        <v>74</v>
      </c>
      <c r="AB663" t="s">
        <v>74</v>
      </c>
      <c r="AC663" t="s">
        <v>11947</v>
      </c>
      <c r="AD663" t="s">
        <v>1368</v>
      </c>
      <c r="AE663" t="s">
        <v>11948</v>
      </c>
      <c r="AF663" t="s">
        <v>74</v>
      </c>
      <c r="AG663">
        <v>23</v>
      </c>
      <c r="AH663">
        <v>2</v>
      </c>
      <c r="AI663">
        <v>2</v>
      </c>
      <c r="AJ663">
        <v>22</v>
      </c>
      <c r="AK663">
        <v>22</v>
      </c>
      <c r="AL663" t="s">
        <v>184</v>
      </c>
      <c r="AM663" t="s">
        <v>185</v>
      </c>
      <c r="AN663" t="s">
        <v>186</v>
      </c>
      <c r="AO663" t="s">
        <v>5408</v>
      </c>
      <c r="AP663" t="s">
        <v>74</v>
      </c>
      <c r="AQ663" t="s">
        <v>74</v>
      </c>
      <c r="AR663" t="s">
        <v>5409</v>
      </c>
      <c r="AS663" t="s">
        <v>5410</v>
      </c>
      <c r="AT663" t="s">
        <v>7207</v>
      </c>
      <c r="AU663">
        <v>2023</v>
      </c>
      <c r="AV663">
        <v>11</v>
      </c>
      <c r="AW663">
        <v>8</v>
      </c>
      <c r="AX663" t="s">
        <v>74</v>
      </c>
      <c r="AY663" t="s">
        <v>74</v>
      </c>
      <c r="AZ663" t="s">
        <v>74</v>
      </c>
      <c r="BA663" t="s">
        <v>74</v>
      </c>
      <c r="BB663">
        <v>648</v>
      </c>
      <c r="BC663">
        <v>654</v>
      </c>
      <c r="BD663" t="s">
        <v>74</v>
      </c>
      <c r="BE663" t="s">
        <v>11949</v>
      </c>
      <c r="BF663" t="str">
        <f>HYPERLINK("http://dx.doi.org/10.1080/21663831.2023.2209596","http://dx.doi.org/10.1080/21663831.2023.2209596")</f>
        <v>http://dx.doi.org/10.1080/21663831.2023.2209596</v>
      </c>
      <c r="BG663" t="s">
        <v>74</v>
      </c>
      <c r="BH663" t="s">
        <v>74</v>
      </c>
      <c r="BI663">
        <v>7</v>
      </c>
      <c r="BJ663" t="s">
        <v>1593</v>
      </c>
      <c r="BK663" t="s">
        <v>102</v>
      </c>
      <c r="BL663" t="s">
        <v>1594</v>
      </c>
      <c r="BM663" t="s">
        <v>11950</v>
      </c>
      <c r="BN663" t="s">
        <v>74</v>
      </c>
      <c r="BO663" t="s">
        <v>126</v>
      </c>
      <c r="BP663" t="s">
        <v>74</v>
      </c>
      <c r="BQ663" t="s">
        <v>74</v>
      </c>
      <c r="BR663" t="s">
        <v>105</v>
      </c>
      <c r="BS663" t="s">
        <v>11951</v>
      </c>
      <c r="BT663" t="str">
        <f>HYPERLINK("https%3A%2F%2Fwww.webofscience.com%2Fwos%2Fwoscc%2Ffull-record%2FWOS:000984253300001","View Full Record in Web of Science")</f>
        <v>View Full Record in Web of Science</v>
      </c>
    </row>
    <row r="664" spans="1:72" x14ac:dyDescent="0.15">
      <c r="A664" t="s">
        <v>72</v>
      </c>
      <c r="B664" t="s">
        <v>11952</v>
      </c>
      <c r="C664" t="s">
        <v>74</v>
      </c>
      <c r="D664" t="s">
        <v>74</v>
      </c>
      <c r="E664" t="s">
        <v>74</v>
      </c>
      <c r="F664" t="s">
        <v>11953</v>
      </c>
      <c r="G664" t="s">
        <v>74</v>
      </c>
      <c r="H664" t="s">
        <v>74</v>
      </c>
      <c r="I664" t="s">
        <v>11954</v>
      </c>
      <c r="J664" t="s">
        <v>11955</v>
      </c>
      <c r="K664" t="s">
        <v>74</v>
      </c>
      <c r="L664" t="s">
        <v>74</v>
      </c>
      <c r="M664" t="s">
        <v>78</v>
      </c>
      <c r="N664" t="s">
        <v>5492</v>
      </c>
      <c r="O664" t="s">
        <v>74</v>
      </c>
      <c r="P664" t="s">
        <v>74</v>
      </c>
      <c r="Q664" t="s">
        <v>74</v>
      </c>
      <c r="R664" t="s">
        <v>74</v>
      </c>
      <c r="S664" t="s">
        <v>74</v>
      </c>
      <c r="T664" t="s">
        <v>11956</v>
      </c>
      <c r="U664" t="s">
        <v>11957</v>
      </c>
      <c r="V664" t="s">
        <v>11958</v>
      </c>
      <c r="W664" t="s">
        <v>11959</v>
      </c>
      <c r="X664" t="s">
        <v>11960</v>
      </c>
      <c r="Y664" t="s">
        <v>11961</v>
      </c>
      <c r="Z664" t="s">
        <v>11962</v>
      </c>
      <c r="AA664" t="s">
        <v>74</v>
      </c>
      <c r="AB664" t="s">
        <v>74</v>
      </c>
      <c r="AC664" t="s">
        <v>74</v>
      </c>
      <c r="AD664" t="s">
        <v>74</v>
      </c>
      <c r="AE664" t="s">
        <v>74</v>
      </c>
      <c r="AF664" t="s">
        <v>74</v>
      </c>
      <c r="AG664">
        <v>45</v>
      </c>
      <c r="AH664">
        <v>0</v>
      </c>
      <c r="AI664">
        <v>0</v>
      </c>
      <c r="AJ664">
        <v>1</v>
      </c>
      <c r="AK664">
        <v>1</v>
      </c>
      <c r="AL664" t="s">
        <v>1188</v>
      </c>
      <c r="AM664" t="s">
        <v>93</v>
      </c>
      <c r="AN664" t="s">
        <v>1189</v>
      </c>
      <c r="AO664" t="s">
        <v>11963</v>
      </c>
      <c r="AP664" t="s">
        <v>11964</v>
      </c>
      <c r="AQ664" t="s">
        <v>74</v>
      </c>
      <c r="AR664" t="s">
        <v>11965</v>
      </c>
      <c r="AS664" t="s">
        <v>11966</v>
      </c>
      <c r="AT664" t="s">
        <v>11836</v>
      </c>
      <c r="AU664">
        <v>2023</v>
      </c>
      <c r="AV664" t="s">
        <v>74</v>
      </c>
      <c r="AW664" t="s">
        <v>74</v>
      </c>
      <c r="AX664" t="s">
        <v>74</v>
      </c>
      <c r="AY664" t="s">
        <v>74</v>
      </c>
      <c r="AZ664" t="s">
        <v>74</v>
      </c>
      <c r="BA664" t="s">
        <v>74</v>
      </c>
      <c r="BB664" t="s">
        <v>74</v>
      </c>
      <c r="BC664" t="s">
        <v>74</v>
      </c>
      <c r="BD664" t="s">
        <v>74</v>
      </c>
      <c r="BE664" t="s">
        <v>11967</v>
      </c>
      <c r="BF664" t="str">
        <f>HYPERLINK("http://dx.doi.org/10.1080/14733285.2023.2237916","http://dx.doi.org/10.1080/14733285.2023.2237916")</f>
        <v>http://dx.doi.org/10.1080/14733285.2023.2237916</v>
      </c>
      <c r="BG664" t="s">
        <v>74</v>
      </c>
      <c r="BH664" t="s">
        <v>8608</v>
      </c>
      <c r="BI664">
        <v>16</v>
      </c>
      <c r="BJ664" t="s">
        <v>1194</v>
      </c>
      <c r="BK664" t="s">
        <v>272</v>
      </c>
      <c r="BL664" t="s">
        <v>1194</v>
      </c>
      <c r="BM664" t="s">
        <v>11968</v>
      </c>
      <c r="BN664" t="s">
        <v>74</v>
      </c>
      <c r="BO664" t="s">
        <v>74</v>
      </c>
      <c r="BP664" t="s">
        <v>74</v>
      </c>
      <c r="BQ664" t="s">
        <v>74</v>
      </c>
      <c r="BR664" t="s">
        <v>105</v>
      </c>
      <c r="BS664" t="s">
        <v>11969</v>
      </c>
      <c r="BT664" t="str">
        <f>HYPERLINK("https%3A%2F%2Fwww.webofscience.com%2Fwos%2Fwoscc%2Ffull-record%2FWOS:001047367000001","View Full Record in Web of Science")</f>
        <v>View Full Record in Web of Science</v>
      </c>
    </row>
    <row r="665" spans="1:72" x14ac:dyDescent="0.15">
      <c r="A665" t="s">
        <v>72</v>
      </c>
      <c r="B665" t="s">
        <v>11970</v>
      </c>
      <c r="C665" t="s">
        <v>74</v>
      </c>
      <c r="D665" t="s">
        <v>74</v>
      </c>
      <c r="E665" t="s">
        <v>74</v>
      </c>
      <c r="F665" t="s">
        <v>11971</v>
      </c>
      <c r="G665" t="s">
        <v>74</v>
      </c>
      <c r="H665" t="s">
        <v>74</v>
      </c>
      <c r="I665" t="s">
        <v>11972</v>
      </c>
      <c r="J665" t="s">
        <v>11663</v>
      </c>
      <c r="K665" t="s">
        <v>74</v>
      </c>
      <c r="L665" t="s">
        <v>74</v>
      </c>
      <c r="M665" t="s">
        <v>78</v>
      </c>
      <c r="N665" t="s">
        <v>5492</v>
      </c>
      <c r="O665" t="s">
        <v>74</v>
      </c>
      <c r="P665" t="s">
        <v>74</v>
      </c>
      <c r="Q665" t="s">
        <v>74</v>
      </c>
      <c r="R665" t="s">
        <v>74</v>
      </c>
      <c r="S665" t="s">
        <v>74</v>
      </c>
      <c r="T665" t="s">
        <v>11973</v>
      </c>
      <c r="U665" t="s">
        <v>11974</v>
      </c>
      <c r="V665" t="s">
        <v>11975</v>
      </c>
      <c r="W665" t="s">
        <v>11976</v>
      </c>
      <c r="X665" t="s">
        <v>11977</v>
      </c>
      <c r="Y665" t="s">
        <v>11978</v>
      </c>
      <c r="Z665" t="s">
        <v>11979</v>
      </c>
      <c r="AA665" t="s">
        <v>74</v>
      </c>
      <c r="AB665" t="s">
        <v>74</v>
      </c>
      <c r="AC665" t="s">
        <v>74</v>
      </c>
      <c r="AD665" t="s">
        <v>74</v>
      </c>
      <c r="AE665" t="s">
        <v>74</v>
      </c>
      <c r="AF665" t="s">
        <v>74</v>
      </c>
      <c r="AG665">
        <v>46</v>
      </c>
      <c r="AH665">
        <v>0</v>
      </c>
      <c r="AI665">
        <v>0</v>
      </c>
      <c r="AJ665">
        <v>2</v>
      </c>
      <c r="AK665">
        <v>2</v>
      </c>
      <c r="AL665" t="s">
        <v>92</v>
      </c>
      <c r="AM665" t="s">
        <v>93</v>
      </c>
      <c r="AN665" t="s">
        <v>94</v>
      </c>
      <c r="AO665" t="s">
        <v>11672</v>
      </c>
      <c r="AP665" t="s">
        <v>11673</v>
      </c>
      <c r="AQ665" t="s">
        <v>74</v>
      </c>
      <c r="AR665" t="s">
        <v>11674</v>
      </c>
      <c r="AS665" t="s">
        <v>11675</v>
      </c>
      <c r="AT665" t="s">
        <v>11836</v>
      </c>
      <c r="AU665">
        <v>2023</v>
      </c>
      <c r="AV665" t="s">
        <v>74</v>
      </c>
      <c r="AW665" t="s">
        <v>74</v>
      </c>
      <c r="AX665" t="s">
        <v>74</v>
      </c>
      <c r="AY665" t="s">
        <v>74</v>
      </c>
      <c r="AZ665" t="s">
        <v>74</v>
      </c>
      <c r="BA665" t="s">
        <v>74</v>
      </c>
      <c r="BB665" t="s">
        <v>74</v>
      </c>
      <c r="BC665" t="s">
        <v>74</v>
      </c>
      <c r="BD665" t="s">
        <v>74</v>
      </c>
      <c r="BE665" t="s">
        <v>11980</v>
      </c>
      <c r="BF665" t="str">
        <f>HYPERLINK("http://dx.doi.org/10.1080/02564602.2023.2240286","http://dx.doi.org/10.1080/02564602.2023.2240286")</f>
        <v>http://dx.doi.org/10.1080/02564602.2023.2240286</v>
      </c>
      <c r="BG665" t="s">
        <v>74</v>
      </c>
      <c r="BH665" t="s">
        <v>8608</v>
      </c>
      <c r="BI665">
        <v>13</v>
      </c>
      <c r="BJ665" t="s">
        <v>11677</v>
      </c>
      <c r="BK665" t="s">
        <v>102</v>
      </c>
      <c r="BL665" t="s">
        <v>11678</v>
      </c>
      <c r="BM665" t="s">
        <v>11981</v>
      </c>
      <c r="BN665" t="s">
        <v>74</v>
      </c>
      <c r="BO665" t="s">
        <v>74</v>
      </c>
      <c r="BP665" t="s">
        <v>74</v>
      </c>
      <c r="BQ665" t="s">
        <v>74</v>
      </c>
      <c r="BR665" t="s">
        <v>105</v>
      </c>
      <c r="BS665" t="s">
        <v>11982</v>
      </c>
      <c r="BT665" t="str">
        <f>HYPERLINK("https%3A%2F%2Fwww.webofscience.com%2Fwos%2Fwoscc%2Ffull-record%2FWOS:001040662300001","View Full Record in Web of Science")</f>
        <v>View Full Record in Web of Science</v>
      </c>
    </row>
    <row r="666" spans="1:72" x14ac:dyDescent="0.15">
      <c r="A666" t="s">
        <v>72</v>
      </c>
      <c r="B666" t="s">
        <v>11983</v>
      </c>
      <c r="C666" t="s">
        <v>74</v>
      </c>
      <c r="D666" t="s">
        <v>74</v>
      </c>
      <c r="E666" t="s">
        <v>74</v>
      </c>
      <c r="F666" t="s">
        <v>11984</v>
      </c>
      <c r="G666" t="s">
        <v>74</v>
      </c>
      <c r="H666" t="s">
        <v>74</v>
      </c>
      <c r="I666" t="s">
        <v>11985</v>
      </c>
      <c r="J666" t="s">
        <v>11986</v>
      </c>
      <c r="K666" t="s">
        <v>74</v>
      </c>
      <c r="L666" t="s">
        <v>74</v>
      </c>
      <c r="M666" t="s">
        <v>78</v>
      </c>
      <c r="N666" t="s">
        <v>6754</v>
      </c>
      <c r="O666" t="s">
        <v>74</v>
      </c>
      <c r="P666" t="s">
        <v>74</v>
      </c>
      <c r="Q666" t="s">
        <v>74</v>
      </c>
      <c r="R666" t="s">
        <v>74</v>
      </c>
      <c r="S666" t="s">
        <v>74</v>
      </c>
      <c r="T666" t="s">
        <v>74</v>
      </c>
      <c r="U666" t="s">
        <v>11987</v>
      </c>
      <c r="V666" t="s">
        <v>11988</v>
      </c>
      <c r="W666" t="s">
        <v>11989</v>
      </c>
      <c r="X666" t="s">
        <v>11990</v>
      </c>
      <c r="Y666" t="s">
        <v>11991</v>
      </c>
      <c r="Z666" t="s">
        <v>11992</v>
      </c>
      <c r="AA666" t="s">
        <v>11993</v>
      </c>
      <c r="AB666" t="s">
        <v>11994</v>
      </c>
      <c r="AC666" t="s">
        <v>11995</v>
      </c>
      <c r="AD666" t="s">
        <v>11996</v>
      </c>
      <c r="AE666" t="s">
        <v>11997</v>
      </c>
      <c r="AF666" t="s">
        <v>74</v>
      </c>
      <c r="AG666">
        <v>136</v>
      </c>
      <c r="AH666">
        <v>0</v>
      </c>
      <c r="AI666">
        <v>0</v>
      </c>
      <c r="AJ666">
        <v>1</v>
      </c>
      <c r="AK666">
        <v>1</v>
      </c>
      <c r="AL666" t="s">
        <v>1188</v>
      </c>
      <c r="AM666" t="s">
        <v>93</v>
      </c>
      <c r="AN666" t="s">
        <v>1189</v>
      </c>
      <c r="AO666" t="s">
        <v>11998</v>
      </c>
      <c r="AP666" t="s">
        <v>11999</v>
      </c>
      <c r="AQ666" t="s">
        <v>74</v>
      </c>
      <c r="AR666" t="s">
        <v>12000</v>
      </c>
      <c r="AS666" t="s">
        <v>12001</v>
      </c>
      <c r="AT666" t="s">
        <v>11836</v>
      </c>
      <c r="AU666">
        <v>2023</v>
      </c>
      <c r="AV666" t="s">
        <v>74</v>
      </c>
      <c r="AW666" t="s">
        <v>74</v>
      </c>
      <c r="AX666" t="s">
        <v>74</v>
      </c>
      <c r="AY666" t="s">
        <v>74</v>
      </c>
      <c r="AZ666" t="s">
        <v>74</v>
      </c>
      <c r="BA666" t="s">
        <v>74</v>
      </c>
      <c r="BB666" t="s">
        <v>74</v>
      </c>
      <c r="BC666" t="s">
        <v>74</v>
      </c>
      <c r="BD666" t="s">
        <v>74</v>
      </c>
      <c r="BE666" t="s">
        <v>12002</v>
      </c>
      <c r="BF666" t="str">
        <f>HYPERLINK("http://dx.doi.org/10.1080/01635581.2023.2241698","http://dx.doi.org/10.1080/01635581.2023.2241698")</f>
        <v>http://dx.doi.org/10.1080/01635581.2023.2241698</v>
      </c>
      <c r="BG666" t="s">
        <v>74</v>
      </c>
      <c r="BH666" t="s">
        <v>8608</v>
      </c>
      <c r="BI666">
        <v>23</v>
      </c>
      <c r="BJ666" t="s">
        <v>12003</v>
      </c>
      <c r="BK666" t="s">
        <v>102</v>
      </c>
      <c r="BL666" t="s">
        <v>12003</v>
      </c>
      <c r="BM666" t="s">
        <v>12004</v>
      </c>
      <c r="BN666">
        <v>37553896</v>
      </c>
      <c r="BO666" t="s">
        <v>74</v>
      </c>
      <c r="BP666" t="s">
        <v>74</v>
      </c>
      <c r="BQ666" t="s">
        <v>74</v>
      </c>
      <c r="BR666" t="s">
        <v>105</v>
      </c>
      <c r="BS666" t="s">
        <v>12005</v>
      </c>
      <c r="BT666" t="str">
        <f>HYPERLINK("https%3A%2F%2Fwww.webofscience.com%2Fwos%2Fwoscc%2Ffull-record%2FWOS:001044762900001","View Full Record in Web of Science")</f>
        <v>View Full Record in Web of Science</v>
      </c>
    </row>
    <row r="667" spans="1:72" x14ac:dyDescent="0.15">
      <c r="A667" t="s">
        <v>72</v>
      </c>
      <c r="B667" t="s">
        <v>12006</v>
      </c>
      <c r="C667" t="s">
        <v>74</v>
      </c>
      <c r="D667" t="s">
        <v>74</v>
      </c>
      <c r="E667" t="s">
        <v>74</v>
      </c>
      <c r="F667" t="s">
        <v>12007</v>
      </c>
      <c r="G667" t="s">
        <v>74</v>
      </c>
      <c r="H667" t="s">
        <v>74</v>
      </c>
      <c r="I667" t="s">
        <v>12008</v>
      </c>
      <c r="J667" t="s">
        <v>12009</v>
      </c>
      <c r="K667" t="s">
        <v>74</v>
      </c>
      <c r="L667" t="s">
        <v>74</v>
      </c>
      <c r="M667" t="s">
        <v>78</v>
      </c>
      <c r="N667" t="s">
        <v>5492</v>
      </c>
      <c r="O667" t="s">
        <v>74</v>
      </c>
      <c r="P667" t="s">
        <v>74</v>
      </c>
      <c r="Q667" t="s">
        <v>74</v>
      </c>
      <c r="R667" t="s">
        <v>74</v>
      </c>
      <c r="S667" t="s">
        <v>74</v>
      </c>
      <c r="T667" t="s">
        <v>12010</v>
      </c>
      <c r="U667" t="s">
        <v>74</v>
      </c>
      <c r="V667" t="s">
        <v>12011</v>
      </c>
      <c r="W667" t="s">
        <v>12012</v>
      </c>
      <c r="X667" t="s">
        <v>11197</v>
      </c>
      <c r="Y667" t="s">
        <v>12013</v>
      </c>
      <c r="Z667" t="s">
        <v>12014</v>
      </c>
      <c r="AA667" t="s">
        <v>74</v>
      </c>
      <c r="AB667" t="s">
        <v>74</v>
      </c>
      <c r="AC667" t="s">
        <v>12015</v>
      </c>
      <c r="AD667" t="s">
        <v>12015</v>
      </c>
      <c r="AE667" t="s">
        <v>12016</v>
      </c>
      <c r="AF667" t="s">
        <v>74</v>
      </c>
      <c r="AG667">
        <v>66</v>
      </c>
      <c r="AH667">
        <v>0</v>
      </c>
      <c r="AI667">
        <v>0</v>
      </c>
      <c r="AJ667">
        <v>0</v>
      </c>
      <c r="AK667">
        <v>0</v>
      </c>
      <c r="AL667" t="s">
        <v>1188</v>
      </c>
      <c r="AM667" t="s">
        <v>93</v>
      </c>
      <c r="AN667" t="s">
        <v>1189</v>
      </c>
      <c r="AO667" t="s">
        <v>12017</v>
      </c>
      <c r="AP667" t="s">
        <v>12018</v>
      </c>
      <c r="AQ667" t="s">
        <v>74</v>
      </c>
      <c r="AR667" t="s">
        <v>12019</v>
      </c>
      <c r="AS667" t="s">
        <v>12020</v>
      </c>
      <c r="AT667" t="s">
        <v>11836</v>
      </c>
      <c r="AU667">
        <v>2023</v>
      </c>
      <c r="AV667" t="s">
        <v>74</v>
      </c>
      <c r="AW667" t="s">
        <v>74</v>
      </c>
      <c r="AX667" t="s">
        <v>74</v>
      </c>
      <c r="AY667" t="s">
        <v>74</v>
      </c>
      <c r="AZ667" t="s">
        <v>74</v>
      </c>
      <c r="BA667" t="s">
        <v>74</v>
      </c>
      <c r="BB667" t="s">
        <v>74</v>
      </c>
      <c r="BC667" t="s">
        <v>74</v>
      </c>
      <c r="BD667" t="s">
        <v>74</v>
      </c>
      <c r="BE667" t="s">
        <v>12021</v>
      </c>
      <c r="BF667" t="str">
        <f>HYPERLINK("http://dx.doi.org/10.1080/17411912.2023.2230498","http://dx.doi.org/10.1080/17411912.2023.2230498")</f>
        <v>http://dx.doi.org/10.1080/17411912.2023.2230498</v>
      </c>
      <c r="BG667" t="s">
        <v>74</v>
      </c>
      <c r="BH667" t="s">
        <v>8608</v>
      </c>
      <c r="BI667">
        <v>22</v>
      </c>
      <c r="BJ667" t="s">
        <v>7626</v>
      </c>
      <c r="BK667" t="s">
        <v>6264</v>
      </c>
      <c r="BL667" t="s">
        <v>7626</v>
      </c>
      <c r="BM667" t="s">
        <v>12022</v>
      </c>
      <c r="BN667" t="s">
        <v>74</v>
      </c>
      <c r="BO667" t="s">
        <v>74</v>
      </c>
      <c r="BP667" t="s">
        <v>74</v>
      </c>
      <c r="BQ667" t="s">
        <v>74</v>
      </c>
      <c r="BR667" t="s">
        <v>105</v>
      </c>
      <c r="BS667" t="s">
        <v>12023</v>
      </c>
      <c r="BT667" t="str">
        <f>HYPERLINK("https%3A%2F%2Fwww.webofscience.com%2Fwos%2Fwoscc%2Ffull-record%2FWOS:001068092300001","View Full Record in Web of Science")</f>
        <v>View Full Record in Web of Science</v>
      </c>
    </row>
    <row r="668" spans="1:72" x14ac:dyDescent="0.15">
      <c r="A668" t="s">
        <v>72</v>
      </c>
      <c r="B668" t="s">
        <v>12024</v>
      </c>
      <c r="C668" t="s">
        <v>74</v>
      </c>
      <c r="D668" t="s">
        <v>74</v>
      </c>
      <c r="E668" t="s">
        <v>74</v>
      </c>
      <c r="F668" t="s">
        <v>12025</v>
      </c>
      <c r="G668" t="s">
        <v>74</v>
      </c>
      <c r="H668" t="s">
        <v>74</v>
      </c>
      <c r="I668" t="s">
        <v>12026</v>
      </c>
      <c r="J668" t="s">
        <v>12027</v>
      </c>
      <c r="K668" t="s">
        <v>74</v>
      </c>
      <c r="L668" t="s">
        <v>74</v>
      </c>
      <c r="M668" t="s">
        <v>78</v>
      </c>
      <c r="N668" t="s">
        <v>79</v>
      </c>
      <c r="O668" t="s">
        <v>74</v>
      </c>
      <c r="P668" t="s">
        <v>74</v>
      </c>
      <c r="Q668" t="s">
        <v>74</v>
      </c>
      <c r="R668" t="s">
        <v>74</v>
      </c>
      <c r="S668" t="s">
        <v>74</v>
      </c>
      <c r="T668" t="s">
        <v>12028</v>
      </c>
      <c r="U668" t="s">
        <v>12029</v>
      </c>
      <c r="V668" t="s">
        <v>12030</v>
      </c>
      <c r="W668" t="s">
        <v>12031</v>
      </c>
      <c r="X668" t="s">
        <v>12032</v>
      </c>
      <c r="Y668" t="s">
        <v>12033</v>
      </c>
      <c r="Z668" t="s">
        <v>12034</v>
      </c>
      <c r="AA668" t="s">
        <v>74</v>
      </c>
      <c r="AB668" t="s">
        <v>74</v>
      </c>
      <c r="AC668" t="s">
        <v>74</v>
      </c>
      <c r="AD668" t="s">
        <v>74</v>
      </c>
      <c r="AE668" t="s">
        <v>74</v>
      </c>
      <c r="AF668" t="s">
        <v>74</v>
      </c>
      <c r="AG668">
        <v>61</v>
      </c>
      <c r="AH668">
        <v>0</v>
      </c>
      <c r="AI668">
        <v>0</v>
      </c>
      <c r="AJ668">
        <v>2</v>
      </c>
      <c r="AK668">
        <v>2</v>
      </c>
      <c r="AL668" t="s">
        <v>1188</v>
      </c>
      <c r="AM668" t="s">
        <v>93</v>
      </c>
      <c r="AN668" t="s">
        <v>1189</v>
      </c>
      <c r="AO668" t="s">
        <v>12035</v>
      </c>
      <c r="AP668" t="s">
        <v>12036</v>
      </c>
      <c r="AQ668" t="s">
        <v>74</v>
      </c>
      <c r="AR668" t="s">
        <v>12037</v>
      </c>
      <c r="AS668" t="s">
        <v>12038</v>
      </c>
      <c r="AT668" t="s">
        <v>11219</v>
      </c>
      <c r="AU668">
        <v>2023</v>
      </c>
      <c r="AV668">
        <v>43</v>
      </c>
      <c r="AW668">
        <v>7</v>
      </c>
      <c r="AX668" t="s">
        <v>74</v>
      </c>
      <c r="AY668" t="s">
        <v>74</v>
      </c>
      <c r="AZ668" t="s">
        <v>74</v>
      </c>
      <c r="BA668" t="s">
        <v>74</v>
      </c>
      <c r="BB668">
        <v>780</v>
      </c>
      <c r="BC668">
        <v>794</v>
      </c>
      <c r="BD668" t="s">
        <v>74</v>
      </c>
      <c r="BE668" t="s">
        <v>12039</v>
      </c>
      <c r="BF668" t="str">
        <f>HYPERLINK("http://dx.doi.org/10.1080/01443410.2023.2241688","http://dx.doi.org/10.1080/01443410.2023.2241688")</f>
        <v>http://dx.doi.org/10.1080/01443410.2023.2241688</v>
      </c>
      <c r="BG668" t="s">
        <v>74</v>
      </c>
      <c r="BH668" t="s">
        <v>8608</v>
      </c>
      <c r="BI668">
        <v>15</v>
      </c>
      <c r="BJ668" t="s">
        <v>12040</v>
      </c>
      <c r="BK668" t="s">
        <v>272</v>
      </c>
      <c r="BL668" t="s">
        <v>5673</v>
      </c>
      <c r="BM668" t="s">
        <v>12041</v>
      </c>
      <c r="BN668" t="s">
        <v>74</v>
      </c>
      <c r="BO668" t="s">
        <v>74</v>
      </c>
      <c r="BP668" t="s">
        <v>74</v>
      </c>
      <c r="BQ668" t="s">
        <v>74</v>
      </c>
      <c r="BR668" t="s">
        <v>105</v>
      </c>
      <c r="BS668" t="s">
        <v>12042</v>
      </c>
      <c r="BT668" t="str">
        <f>HYPERLINK("https%3A%2F%2Fwww.webofscience.com%2Fwos%2Fwoscc%2Ffull-record%2FWOS:001040042400001","View Full Record in Web of Science")</f>
        <v>View Full Record in Web of Science</v>
      </c>
    </row>
    <row r="669" spans="1:72" x14ac:dyDescent="0.15">
      <c r="A669" t="s">
        <v>72</v>
      </c>
      <c r="B669" t="s">
        <v>12043</v>
      </c>
      <c r="C669" t="s">
        <v>74</v>
      </c>
      <c r="D669" t="s">
        <v>74</v>
      </c>
      <c r="E669" t="s">
        <v>74</v>
      </c>
      <c r="F669" t="s">
        <v>12044</v>
      </c>
      <c r="G669" t="s">
        <v>74</v>
      </c>
      <c r="H669" t="s">
        <v>74</v>
      </c>
      <c r="I669" t="s">
        <v>12045</v>
      </c>
      <c r="J669" t="s">
        <v>10174</v>
      </c>
      <c r="K669" t="s">
        <v>74</v>
      </c>
      <c r="L669" t="s">
        <v>74</v>
      </c>
      <c r="M669" t="s">
        <v>78</v>
      </c>
      <c r="N669" t="s">
        <v>5492</v>
      </c>
      <c r="O669" t="s">
        <v>74</v>
      </c>
      <c r="P669" t="s">
        <v>74</v>
      </c>
      <c r="Q669" t="s">
        <v>74</v>
      </c>
      <c r="R669" t="s">
        <v>74</v>
      </c>
      <c r="S669" t="s">
        <v>74</v>
      </c>
      <c r="T669" t="s">
        <v>12046</v>
      </c>
      <c r="U669" t="s">
        <v>12047</v>
      </c>
      <c r="V669" t="s">
        <v>12048</v>
      </c>
      <c r="W669" t="s">
        <v>12049</v>
      </c>
      <c r="X669" t="s">
        <v>12050</v>
      </c>
      <c r="Y669" t="s">
        <v>12051</v>
      </c>
      <c r="Z669" t="s">
        <v>12052</v>
      </c>
      <c r="AA669" t="s">
        <v>12053</v>
      </c>
      <c r="AB669" t="s">
        <v>74</v>
      </c>
      <c r="AC669" t="s">
        <v>74</v>
      </c>
      <c r="AD669" t="s">
        <v>74</v>
      </c>
      <c r="AE669" t="s">
        <v>74</v>
      </c>
      <c r="AF669" t="s">
        <v>74</v>
      </c>
      <c r="AG669">
        <v>58</v>
      </c>
      <c r="AH669">
        <v>0</v>
      </c>
      <c r="AI669">
        <v>0</v>
      </c>
      <c r="AJ669">
        <v>0</v>
      </c>
      <c r="AK669">
        <v>0</v>
      </c>
      <c r="AL669" t="s">
        <v>92</v>
      </c>
      <c r="AM669" t="s">
        <v>93</v>
      </c>
      <c r="AN669" t="s">
        <v>94</v>
      </c>
      <c r="AO669" t="s">
        <v>10186</v>
      </c>
      <c r="AP669" t="s">
        <v>10187</v>
      </c>
      <c r="AQ669" t="s">
        <v>74</v>
      </c>
      <c r="AR669" t="s">
        <v>10188</v>
      </c>
      <c r="AS669" t="s">
        <v>10189</v>
      </c>
      <c r="AT669" t="s">
        <v>12054</v>
      </c>
      <c r="AU669">
        <v>2023</v>
      </c>
      <c r="AV669" t="s">
        <v>74</v>
      </c>
      <c r="AW669" t="s">
        <v>74</v>
      </c>
      <c r="AX669" t="s">
        <v>74</v>
      </c>
      <c r="AY669" t="s">
        <v>74</v>
      </c>
      <c r="AZ669" t="s">
        <v>74</v>
      </c>
      <c r="BA669" t="s">
        <v>74</v>
      </c>
      <c r="BB669" t="s">
        <v>74</v>
      </c>
      <c r="BC669" t="s">
        <v>74</v>
      </c>
      <c r="BD669" t="s">
        <v>74</v>
      </c>
      <c r="BE669" t="s">
        <v>12055</v>
      </c>
      <c r="BF669" t="str">
        <f>HYPERLINK("http://dx.doi.org/10.1080/02670836.2023.2239630","http://dx.doi.org/10.1080/02670836.2023.2239630")</f>
        <v>http://dx.doi.org/10.1080/02670836.2023.2239630</v>
      </c>
      <c r="BG669" t="s">
        <v>74</v>
      </c>
      <c r="BH669" t="s">
        <v>8608</v>
      </c>
      <c r="BI669">
        <v>14</v>
      </c>
      <c r="BJ669" t="s">
        <v>10151</v>
      </c>
      <c r="BK669" t="s">
        <v>102</v>
      </c>
      <c r="BL669" t="s">
        <v>10152</v>
      </c>
      <c r="BM669" t="s">
        <v>12056</v>
      </c>
      <c r="BN669" t="s">
        <v>74</v>
      </c>
      <c r="BO669" t="s">
        <v>74</v>
      </c>
      <c r="BP669" t="s">
        <v>74</v>
      </c>
      <c r="BQ669" t="s">
        <v>74</v>
      </c>
      <c r="BR669" t="s">
        <v>105</v>
      </c>
      <c r="BS669" t="s">
        <v>12057</v>
      </c>
      <c r="BT669" t="str">
        <f>HYPERLINK("https%3A%2F%2Fwww.webofscience.com%2Fwos%2Fwoscc%2Ffull-record%2FWOS:001045348800001","View Full Record in Web of Science")</f>
        <v>View Full Record in Web of Science</v>
      </c>
    </row>
    <row r="670" spans="1:72" x14ac:dyDescent="0.15">
      <c r="A670" t="s">
        <v>72</v>
      </c>
      <c r="B670" t="s">
        <v>12058</v>
      </c>
      <c r="C670" t="s">
        <v>74</v>
      </c>
      <c r="D670" t="s">
        <v>74</v>
      </c>
      <c r="E670" t="s">
        <v>74</v>
      </c>
      <c r="F670" t="s">
        <v>12059</v>
      </c>
      <c r="G670" t="s">
        <v>74</v>
      </c>
      <c r="H670" t="s">
        <v>74</v>
      </c>
      <c r="I670" t="s">
        <v>12060</v>
      </c>
      <c r="J670" t="s">
        <v>12061</v>
      </c>
      <c r="K670" t="s">
        <v>74</v>
      </c>
      <c r="L670" t="s">
        <v>74</v>
      </c>
      <c r="M670" t="s">
        <v>78</v>
      </c>
      <c r="N670" t="s">
        <v>5492</v>
      </c>
      <c r="O670" t="s">
        <v>74</v>
      </c>
      <c r="P670" t="s">
        <v>74</v>
      </c>
      <c r="Q670" t="s">
        <v>74</v>
      </c>
      <c r="R670" t="s">
        <v>74</v>
      </c>
      <c r="S670" t="s">
        <v>74</v>
      </c>
      <c r="T670" t="s">
        <v>12062</v>
      </c>
      <c r="U670" t="s">
        <v>12063</v>
      </c>
      <c r="V670" t="s">
        <v>12064</v>
      </c>
      <c r="W670" t="s">
        <v>12065</v>
      </c>
      <c r="X670" t="s">
        <v>12066</v>
      </c>
      <c r="Y670" t="s">
        <v>12067</v>
      </c>
      <c r="Z670" t="s">
        <v>12068</v>
      </c>
      <c r="AA670" t="s">
        <v>74</v>
      </c>
      <c r="AB670" t="s">
        <v>74</v>
      </c>
      <c r="AC670" t="s">
        <v>74</v>
      </c>
      <c r="AD670" t="s">
        <v>74</v>
      </c>
      <c r="AE670" t="s">
        <v>74</v>
      </c>
      <c r="AF670" t="s">
        <v>74</v>
      </c>
      <c r="AG670">
        <v>95</v>
      </c>
      <c r="AH670">
        <v>0</v>
      </c>
      <c r="AI670">
        <v>0</v>
      </c>
      <c r="AJ670">
        <v>20</v>
      </c>
      <c r="AK670">
        <v>20</v>
      </c>
      <c r="AL670" t="s">
        <v>1188</v>
      </c>
      <c r="AM670" t="s">
        <v>93</v>
      </c>
      <c r="AN670" t="s">
        <v>1189</v>
      </c>
      <c r="AO670" t="s">
        <v>12069</v>
      </c>
      <c r="AP670" t="s">
        <v>12070</v>
      </c>
      <c r="AQ670" t="s">
        <v>74</v>
      </c>
      <c r="AR670" t="s">
        <v>12071</v>
      </c>
      <c r="AS670" t="s">
        <v>12072</v>
      </c>
      <c r="AT670" t="s">
        <v>12054</v>
      </c>
      <c r="AU670">
        <v>2023</v>
      </c>
      <c r="AV670" t="s">
        <v>74</v>
      </c>
      <c r="AW670" t="s">
        <v>74</v>
      </c>
      <c r="AX670" t="s">
        <v>74</v>
      </c>
      <c r="AY670" t="s">
        <v>74</v>
      </c>
      <c r="AZ670" t="s">
        <v>74</v>
      </c>
      <c r="BA670" t="s">
        <v>74</v>
      </c>
      <c r="BB670" t="s">
        <v>74</v>
      </c>
      <c r="BC670" t="s">
        <v>74</v>
      </c>
      <c r="BD670" t="s">
        <v>74</v>
      </c>
      <c r="BE670" t="s">
        <v>12073</v>
      </c>
      <c r="BF670" t="str">
        <f>HYPERLINK("http://dx.doi.org/10.1080/09669582.2023.2244197","http://dx.doi.org/10.1080/09669582.2023.2244197")</f>
        <v>http://dx.doi.org/10.1080/09669582.2023.2244197</v>
      </c>
      <c r="BG670" t="s">
        <v>74</v>
      </c>
      <c r="BH670" t="s">
        <v>8608</v>
      </c>
      <c r="BI670">
        <v>21</v>
      </c>
      <c r="BJ670" t="s">
        <v>12074</v>
      </c>
      <c r="BK670" t="s">
        <v>272</v>
      </c>
      <c r="BL670" t="s">
        <v>12075</v>
      </c>
      <c r="BM670" t="s">
        <v>12076</v>
      </c>
      <c r="BN670" t="s">
        <v>74</v>
      </c>
      <c r="BO670" t="s">
        <v>74</v>
      </c>
      <c r="BP670" t="s">
        <v>74</v>
      </c>
      <c r="BQ670" t="s">
        <v>74</v>
      </c>
      <c r="BR670" t="s">
        <v>105</v>
      </c>
      <c r="BS670" t="s">
        <v>12077</v>
      </c>
      <c r="BT670" t="str">
        <f>HYPERLINK("https%3A%2F%2Fwww.webofscience.com%2Fwos%2Fwoscc%2Ffull-record%2FWOS:001045996300001","View Full Record in Web of Science")</f>
        <v>View Full Record in Web of Science</v>
      </c>
    </row>
    <row r="671" spans="1:72" x14ac:dyDescent="0.15">
      <c r="A671" t="s">
        <v>72</v>
      </c>
      <c r="B671" t="s">
        <v>12078</v>
      </c>
      <c r="C671" t="s">
        <v>74</v>
      </c>
      <c r="D671" t="s">
        <v>74</v>
      </c>
      <c r="E671" t="s">
        <v>74</v>
      </c>
      <c r="F671" t="s">
        <v>12079</v>
      </c>
      <c r="G671" t="s">
        <v>74</v>
      </c>
      <c r="H671" t="s">
        <v>74</v>
      </c>
      <c r="I671" t="s">
        <v>12080</v>
      </c>
      <c r="J671" t="s">
        <v>12081</v>
      </c>
      <c r="K671" t="s">
        <v>74</v>
      </c>
      <c r="L671" t="s">
        <v>74</v>
      </c>
      <c r="M671" t="s">
        <v>78</v>
      </c>
      <c r="N671" t="s">
        <v>5492</v>
      </c>
      <c r="O671" t="s">
        <v>74</v>
      </c>
      <c r="P671" t="s">
        <v>74</v>
      </c>
      <c r="Q671" t="s">
        <v>74</v>
      </c>
      <c r="R671" t="s">
        <v>74</v>
      </c>
      <c r="S671" t="s">
        <v>74</v>
      </c>
      <c r="T671" t="s">
        <v>12082</v>
      </c>
      <c r="U671" t="s">
        <v>12083</v>
      </c>
      <c r="V671" t="s">
        <v>12084</v>
      </c>
      <c r="W671" t="s">
        <v>12085</v>
      </c>
      <c r="X671" t="s">
        <v>12086</v>
      </c>
      <c r="Y671" t="s">
        <v>12087</v>
      </c>
      <c r="Z671" t="s">
        <v>12088</v>
      </c>
      <c r="AA671" t="s">
        <v>74</v>
      </c>
      <c r="AB671" t="s">
        <v>74</v>
      </c>
      <c r="AC671" t="s">
        <v>74</v>
      </c>
      <c r="AD671" t="s">
        <v>74</v>
      </c>
      <c r="AE671" t="s">
        <v>74</v>
      </c>
      <c r="AF671" t="s">
        <v>74</v>
      </c>
      <c r="AG671">
        <v>53</v>
      </c>
      <c r="AH671">
        <v>0</v>
      </c>
      <c r="AI671">
        <v>0</v>
      </c>
      <c r="AJ671">
        <v>0</v>
      </c>
      <c r="AK671">
        <v>0</v>
      </c>
      <c r="AL671" t="s">
        <v>1188</v>
      </c>
      <c r="AM671" t="s">
        <v>93</v>
      </c>
      <c r="AN671" t="s">
        <v>1189</v>
      </c>
      <c r="AO671" t="s">
        <v>12089</v>
      </c>
      <c r="AP671" t="s">
        <v>12090</v>
      </c>
      <c r="AQ671" t="s">
        <v>74</v>
      </c>
      <c r="AR671" t="s">
        <v>12091</v>
      </c>
      <c r="AS671" t="s">
        <v>12092</v>
      </c>
      <c r="AT671" t="s">
        <v>12054</v>
      </c>
      <c r="AU671">
        <v>2023</v>
      </c>
      <c r="AV671" t="s">
        <v>74</v>
      </c>
      <c r="AW671" t="s">
        <v>74</v>
      </c>
      <c r="AX671" t="s">
        <v>74</v>
      </c>
      <c r="AY671" t="s">
        <v>74</v>
      </c>
      <c r="AZ671" t="s">
        <v>74</v>
      </c>
      <c r="BA671" t="s">
        <v>74</v>
      </c>
      <c r="BB671" t="s">
        <v>74</v>
      </c>
      <c r="BC671" t="s">
        <v>74</v>
      </c>
      <c r="BD671" t="s">
        <v>74</v>
      </c>
      <c r="BE671" t="s">
        <v>12093</v>
      </c>
      <c r="BF671" t="str">
        <f>HYPERLINK("http://dx.doi.org/10.1080/19419899.2023.2241866","http://dx.doi.org/10.1080/19419899.2023.2241866")</f>
        <v>http://dx.doi.org/10.1080/19419899.2023.2241866</v>
      </c>
      <c r="BG671" t="s">
        <v>74</v>
      </c>
      <c r="BH671" t="s">
        <v>8608</v>
      </c>
      <c r="BI671">
        <v>12</v>
      </c>
      <c r="BJ671" t="s">
        <v>1690</v>
      </c>
      <c r="BK671" t="s">
        <v>272</v>
      </c>
      <c r="BL671" t="s">
        <v>1691</v>
      </c>
      <c r="BM671" t="s">
        <v>12094</v>
      </c>
      <c r="BN671" t="s">
        <v>74</v>
      </c>
      <c r="BO671" t="s">
        <v>74</v>
      </c>
      <c r="BP671" t="s">
        <v>74</v>
      </c>
      <c r="BQ671" t="s">
        <v>74</v>
      </c>
      <c r="BR671" t="s">
        <v>105</v>
      </c>
      <c r="BS671" t="s">
        <v>12095</v>
      </c>
      <c r="BT671" t="str">
        <f>HYPERLINK("https%3A%2F%2Fwww.webofscience.com%2Fwos%2Fwoscc%2Ffull-record%2FWOS:001038066300001","View Full Record in Web of Science")</f>
        <v>View Full Record in Web of Science</v>
      </c>
    </row>
    <row r="672" spans="1:72" x14ac:dyDescent="0.15">
      <c r="A672" t="s">
        <v>72</v>
      </c>
      <c r="B672" t="s">
        <v>12096</v>
      </c>
      <c r="C672" t="s">
        <v>74</v>
      </c>
      <c r="D672" t="s">
        <v>74</v>
      </c>
      <c r="E672" t="s">
        <v>74</v>
      </c>
      <c r="F672" t="s">
        <v>12097</v>
      </c>
      <c r="G672" t="s">
        <v>74</v>
      </c>
      <c r="H672" t="s">
        <v>74</v>
      </c>
      <c r="I672" t="s">
        <v>12098</v>
      </c>
      <c r="J672" t="s">
        <v>12099</v>
      </c>
      <c r="K672" t="s">
        <v>74</v>
      </c>
      <c r="L672" t="s">
        <v>74</v>
      </c>
      <c r="M672" t="s">
        <v>78</v>
      </c>
      <c r="N672" t="s">
        <v>5492</v>
      </c>
      <c r="O672" t="s">
        <v>74</v>
      </c>
      <c r="P672" t="s">
        <v>74</v>
      </c>
      <c r="Q672" t="s">
        <v>74</v>
      </c>
      <c r="R672" t="s">
        <v>74</v>
      </c>
      <c r="S672" t="s">
        <v>74</v>
      </c>
      <c r="T672" t="s">
        <v>12100</v>
      </c>
      <c r="U672" t="s">
        <v>12101</v>
      </c>
      <c r="V672" t="s">
        <v>12102</v>
      </c>
      <c r="W672" t="s">
        <v>12103</v>
      </c>
      <c r="X672" t="s">
        <v>12104</v>
      </c>
      <c r="Y672" t="s">
        <v>12105</v>
      </c>
      <c r="Z672" t="s">
        <v>12106</v>
      </c>
      <c r="AA672" t="s">
        <v>74</v>
      </c>
      <c r="AB672" t="s">
        <v>74</v>
      </c>
      <c r="AC672" t="s">
        <v>12107</v>
      </c>
      <c r="AD672" t="s">
        <v>12108</v>
      </c>
      <c r="AE672" t="s">
        <v>12109</v>
      </c>
      <c r="AF672" t="s">
        <v>74</v>
      </c>
      <c r="AG672">
        <v>31</v>
      </c>
      <c r="AH672">
        <v>0</v>
      </c>
      <c r="AI672">
        <v>0</v>
      </c>
      <c r="AJ672">
        <v>1</v>
      </c>
      <c r="AK672">
        <v>1</v>
      </c>
      <c r="AL672" t="s">
        <v>92</v>
      </c>
      <c r="AM672" t="s">
        <v>93</v>
      </c>
      <c r="AN672" t="s">
        <v>94</v>
      </c>
      <c r="AO672" t="s">
        <v>12110</v>
      </c>
      <c r="AP672" t="s">
        <v>12111</v>
      </c>
      <c r="AQ672" t="s">
        <v>74</v>
      </c>
      <c r="AR672" t="s">
        <v>12112</v>
      </c>
      <c r="AS672" t="s">
        <v>12113</v>
      </c>
      <c r="AT672" t="s">
        <v>12054</v>
      </c>
      <c r="AU672">
        <v>2023</v>
      </c>
      <c r="AV672" t="s">
        <v>74</v>
      </c>
      <c r="AW672" t="s">
        <v>74</v>
      </c>
      <c r="AX672" t="s">
        <v>74</v>
      </c>
      <c r="AY672" t="s">
        <v>74</v>
      </c>
      <c r="AZ672" t="s">
        <v>74</v>
      </c>
      <c r="BA672" t="s">
        <v>74</v>
      </c>
      <c r="BB672" t="s">
        <v>74</v>
      </c>
      <c r="BC672" t="s">
        <v>74</v>
      </c>
      <c r="BD672" t="s">
        <v>74</v>
      </c>
      <c r="BE672" t="s">
        <v>12114</v>
      </c>
      <c r="BF672" t="str">
        <f>HYPERLINK("http://dx.doi.org/10.1080/13647830.2023.2241421","http://dx.doi.org/10.1080/13647830.2023.2241421")</f>
        <v>http://dx.doi.org/10.1080/13647830.2023.2241421</v>
      </c>
      <c r="BG672" t="s">
        <v>74</v>
      </c>
      <c r="BH672" t="s">
        <v>8608</v>
      </c>
      <c r="BI672">
        <v>26</v>
      </c>
      <c r="BJ672" t="s">
        <v>12115</v>
      </c>
      <c r="BK672" t="s">
        <v>102</v>
      </c>
      <c r="BL672" t="s">
        <v>12116</v>
      </c>
      <c r="BM672" t="s">
        <v>12117</v>
      </c>
      <c r="BN672" t="s">
        <v>74</v>
      </c>
      <c r="BO672" t="s">
        <v>74</v>
      </c>
      <c r="BP672" t="s">
        <v>74</v>
      </c>
      <c r="BQ672" t="s">
        <v>74</v>
      </c>
      <c r="BR672" t="s">
        <v>105</v>
      </c>
      <c r="BS672" t="s">
        <v>12118</v>
      </c>
      <c r="BT672" t="str">
        <f>HYPERLINK("https%3A%2F%2Fwww.webofscience.com%2Fwos%2Fwoscc%2Ffull-record%2FWOS:001039672200001","View Full Record in Web of Science")</f>
        <v>View Full Record in Web of Science</v>
      </c>
    </row>
    <row r="673" spans="1:72" x14ac:dyDescent="0.15">
      <c r="A673" t="s">
        <v>72</v>
      </c>
      <c r="B673" t="s">
        <v>12119</v>
      </c>
      <c r="C673" t="s">
        <v>74</v>
      </c>
      <c r="D673" t="s">
        <v>74</v>
      </c>
      <c r="E673" t="s">
        <v>74</v>
      </c>
      <c r="F673" t="s">
        <v>12120</v>
      </c>
      <c r="G673" t="s">
        <v>74</v>
      </c>
      <c r="H673" t="s">
        <v>74</v>
      </c>
      <c r="I673" t="s">
        <v>12121</v>
      </c>
      <c r="J673" t="s">
        <v>12122</v>
      </c>
      <c r="K673" t="s">
        <v>74</v>
      </c>
      <c r="L673" t="s">
        <v>74</v>
      </c>
      <c r="M673" t="s">
        <v>78</v>
      </c>
      <c r="N673" t="s">
        <v>5492</v>
      </c>
      <c r="O673" t="s">
        <v>74</v>
      </c>
      <c r="P673" t="s">
        <v>74</v>
      </c>
      <c r="Q673" t="s">
        <v>74</v>
      </c>
      <c r="R673" t="s">
        <v>74</v>
      </c>
      <c r="S673" t="s">
        <v>74</v>
      </c>
      <c r="T673" t="s">
        <v>12123</v>
      </c>
      <c r="U673" t="s">
        <v>12124</v>
      </c>
      <c r="V673" t="s">
        <v>12125</v>
      </c>
      <c r="W673" t="s">
        <v>12126</v>
      </c>
      <c r="X673" t="s">
        <v>12127</v>
      </c>
      <c r="Y673" t="s">
        <v>12128</v>
      </c>
      <c r="Z673" t="s">
        <v>12129</v>
      </c>
      <c r="AA673" t="s">
        <v>74</v>
      </c>
      <c r="AB673" t="s">
        <v>74</v>
      </c>
      <c r="AC673" t="s">
        <v>74</v>
      </c>
      <c r="AD673" t="s">
        <v>74</v>
      </c>
      <c r="AE673" t="s">
        <v>74</v>
      </c>
      <c r="AF673" t="s">
        <v>74</v>
      </c>
      <c r="AG673">
        <v>33</v>
      </c>
      <c r="AH673">
        <v>0</v>
      </c>
      <c r="AI673">
        <v>0</v>
      </c>
      <c r="AJ673">
        <v>1</v>
      </c>
      <c r="AK673">
        <v>1</v>
      </c>
      <c r="AL673" t="s">
        <v>1188</v>
      </c>
      <c r="AM673" t="s">
        <v>93</v>
      </c>
      <c r="AN673" t="s">
        <v>1189</v>
      </c>
      <c r="AO673" t="s">
        <v>12130</v>
      </c>
      <c r="AP673" t="s">
        <v>12131</v>
      </c>
      <c r="AQ673" t="s">
        <v>74</v>
      </c>
      <c r="AR673" t="s">
        <v>12132</v>
      </c>
      <c r="AS673" t="s">
        <v>12133</v>
      </c>
      <c r="AT673" t="s">
        <v>12054</v>
      </c>
      <c r="AU673">
        <v>2023</v>
      </c>
      <c r="AV673" t="s">
        <v>74</v>
      </c>
      <c r="AW673" t="s">
        <v>74</v>
      </c>
      <c r="AX673" t="s">
        <v>74</v>
      </c>
      <c r="AY673" t="s">
        <v>74</v>
      </c>
      <c r="AZ673" t="s">
        <v>74</v>
      </c>
      <c r="BA673" t="s">
        <v>74</v>
      </c>
      <c r="BB673" t="s">
        <v>74</v>
      </c>
      <c r="BC673" t="s">
        <v>74</v>
      </c>
      <c r="BD673" t="s">
        <v>74</v>
      </c>
      <c r="BE673" t="s">
        <v>12134</v>
      </c>
      <c r="BF673" t="str">
        <f>HYPERLINK("http://dx.doi.org/10.1080/02691728.2023.2239753","http://dx.doi.org/10.1080/02691728.2023.2239753")</f>
        <v>http://dx.doi.org/10.1080/02691728.2023.2239753</v>
      </c>
      <c r="BG673" t="s">
        <v>74</v>
      </c>
      <c r="BH673" t="s">
        <v>8608</v>
      </c>
      <c r="BI673">
        <v>15</v>
      </c>
      <c r="BJ673" t="s">
        <v>12135</v>
      </c>
      <c r="BK673" t="s">
        <v>7170</v>
      </c>
      <c r="BL673" t="s">
        <v>12136</v>
      </c>
      <c r="BM673" t="s">
        <v>12137</v>
      </c>
      <c r="BN673" t="s">
        <v>74</v>
      </c>
      <c r="BO673" t="s">
        <v>74</v>
      </c>
      <c r="BP673" t="s">
        <v>74</v>
      </c>
      <c r="BQ673" t="s">
        <v>74</v>
      </c>
      <c r="BR673" t="s">
        <v>105</v>
      </c>
      <c r="BS673" t="s">
        <v>12138</v>
      </c>
      <c r="BT673" t="str">
        <f>HYPERLINK("https%3A%2F%2Fwww.webofscience.com%2Fwos%2Fwoscc%2Ffull-record%2FWOS:001040180600001","View Full Record in Web of Science")</f>
        <v>View Full Record in Web of Science</v>
      </c>
    </row>
    <row r="674" spans="1:72" x14ac:dyDescent="0.15">
      <c r="A674" t="s">
        <v>72</v>
      </c>
      <c r="B674" t="s">
        <v>12139</v>
      </c>
      <c r="C674" t="s">
        <v>74</v>
      </c>
      <c r="D674" t="s">
        <v>74</v>
      </c>
      <c r="E674" t="s">
        <v>74</v>
      </c>
      <c r="F674" t="s">
        <v>12140</v>
      </c>
      <c r="G674" t="s">
        <v>74</v>
      </c>
      <c r="H674" t="s">
        <v>74</v>
      </c>
      <c r="I674" t="s">
        <v>12141</v>
      </c>
      <c r="J674" t="s">
        <v>12142</v>
      </c>
      <c r="K674" t="s">
        <v>74</v>
      </c>
      <c r="L674" t="s">
        <v>74</v>
      </c>
      <c r="M674" t="s">
        <v>78</v>
      </c>
      <c r="N674" t="s">
        <v>3443</v>
      </c>
      <c r="O674" t="s">
        <v>74</v>
      </c>
      <c r="P674" t="s">
        <v>74</v>
      </c>
      <c r="Q674" t="s">
        <v>74</v>
      </c>
      <c r="R674" t="s">
        <v>74</v>
      </c>
      <c r="S674" t="s">
        <v>74</v>
      </c>
      <c r="T674" t="s">
        <v>74</v>
      </c>
      <c r="U674" t="s">
        <v>74</v>
      </c>
      <c r="V674" t="s">
        <v>74</v>
      </c>
      <c r="W674" t="s">
        <v>12143</v>
      </c>
      <c r="X674" t="s">
        <v>8718</v>
      </c>
      <c r="Y674" t="s">
        <v>12144</v>
      </c>
      <c r="Z674" t="s">
        <v>12145</v>
      </c>
      <c r="AA674" t="s">
        <v>74</v>
      </c>
      <c r="AB674" t="s">
        <v>74</v>
      </c>
      <c r="AC674" t="s">
        <v>74</v>
      </c>
      <c r="AD674" t="s">
        <v>74</v>
      </c>
      <c r="AE674" t="s">
        <v>74</v>
      </c>
      <c r="AF674" t="s">
        <v>74</v>
      </c>
      <c r="AG674">
        <v>1</v>
      </c>
      <c r="AH674">
        <v>0</v>
      </c>
      <c r="AI674">
        <v>0</v>
      </c>
      <c r="AJ674">
        <v>0</v>
      </c>
      <c r="AK674">
        <v>0</v>
      </c>
      <c r="AL674" t="s">
        <v>1188</v>
      </c>
      <c r="AM674" t="s">
        <v>93</v>
      </c>
      <c r="AN674" t="s">
        <v>1189</v>
      </c>
      <c r="AO674" t="s">
        <v>12146</v>
      </c>
      <c r="AP674" t="s">
        <v>12147</v>
      </c>
      <c r="AQ674" t="s">
        <v>74</v>
      </c>
      <c r="AR674" t="s">
        <v>12148</v>
      </c>
      <c r="AS674" t="s">
        <v>12149</v>
      </c>
      <c r="AT674" t="s">
        <v>11328</v>
      </c>
      <c r="AU674">
        <v>2023</v>
      </c>
      <c r="AV674">
        <v>20</v>
      </c>
      <c r="AW674">
        <v>4</v>
      </c>
      <c r="AX674" t="s">
        <v>74</v>
      </c>
      <c r="AY674" t="s">
        <v>74</v>
      </c>
      <c r="AZ674" t="s">
        <v>74</v>
      </c>
      <c r="BA674" t="s">
        <v>74</v>
      </c>
      <c r="BB674">
        <v>614</v>
      </c>
      <c r="BC674">
        <v>616</v>
      </c>
      <c r="BD674" t="s">
        <v>74</v>
      </c>
      <c r="BE674" t="s">
        <v>12150</v>
      </c>
      <c r="BF674" t="str">
        <f>HYPERLINK("http://dx.doi.org/10.1080/14780038.2023.2241747","http://dx.doi.org/10.1080/14780038.2023.2241747")</f>
        <v>http://dx.doi.org/10.1080/14780038.2023.2241747</v>
      </c>
      <c r="BG674" t="s">
        <v>74</v>
      </c>
      <c r="BH674" t="s">
        <v>8608</v>
      </c>
      <c r="BI674">
        <v>3</v>
      </c>
      <c r="BJ674" t="s">
        <v>6263</v>
      </c>
      <c r="BK674" t="s">
        <v>6264</v>
      </c>
      <c r="BL674" t="s">
        <v>6263</v>
      </c>
      <c r="BM674" t="s">
        <v>12151</v>
      </c>
      <c r="BN674" t="s">
        <v>74</v>
      </c>
      <c r="BO674" t="s">
        <v>74</v>
      </c>
      <c r="BP674" t="s">
        <v>74</v>
      </c>
      <c r="BQ674" t="s">
        <v>74</v>
      </c>
      <c r="BR674" t="s">
        <v>105</v>
      </c>
      <c r="BS674" t="s">
        <v>12152</v>
      </c>
      <c r="BT674" t="str">
        <f>HYPERLINK("https%3A%2F%2Fwww.webofscience.com%2Fwos%2Fwoscc%2Ffull-record%2FWOS:001040933600001","View Full Record in Web of Science")</f>
        <v>View Full Record in Web of Science</v>
      </c>
    </row>
    <row r="675" spans="1:72" x14ac:dyDescent="0.15">
      <c r="A675" t="s">
        <v>72</v>
      </c>
      <c r="B675" t="s">
        <v>12153</v>
      </c>
      <c r="C675" t="s">
        <v>74</v>
      </c>
      <c r="D675" t="s">
        <v>74</v>
      </c>
      <c r="E675" t="s">
        <v>74</v>
      </c>
      <c r="F675" t="s">
        <v>12154</v>
      </c>
      <c r="G675" t="s">
        <v>74</v>
      </c>
      <c r="H675" t="s">
        <v>74</v>
      </c>
      <c r="I675" t="s">
        <v>12155</v>
      </c>
      <c r="J675" t="s">
        <v>12156</v>
      </c>
      <c r="K675" t="s">
        <v>74</v>
      </c>
      <c r="L675" t="s">
        <v>74</v>
      </c>
      <c r="M675" t="s">
        <v>78</v>
      </c>
      <c r="N675" t="s">
        <v>79</v>
      </c>
      <c r="O675" t="s">
        <v>74</v>
      </c>
      <c r="P675" t="s">
        <v>74</v>
      </c>
      <c r="Q675" t="s">
        <v>74</v>
      </c>
      <c r="R675" t="s">
        <v>74</v>
      </c>
      <c r="S675" t="s">
        <v>74</v>
      </c>
      <c r="T675" t="s">
        <v>12157</v>
      </c>
      <c r="U675" t="s">
        <v>12158</v>
      </c>
      <c r="V675" t="s">
        <v>12159</v>
      </c>
      <c r="W675" t="s">
        <v>12160</v>
      </c>
      <c r="X675" t="s">
        <v>12161</v>
      </c>
      <c r="Y675" t="s">
        <v>12162</v>
      </c>
      <c r="Z675" t="s">
        <v>12163</v>
      </c>
      <c r="AA675" t="s">
        <v>74</v>
      </c>
      <c r="AB675" t="s">
        <v>74</v>
      </c>
      <c r="AC675" t="s">
        <v>12164</v>
      </c>
      <c r="AD675" t="s">
        <v>12164</v>
      </c>
      <c r="AE675" t="s">
        <v>12165</v>
      </c>
      <c r="AF675" t="s">
        <v>74</v>
      </c>
      <c r="AG675">
        <v>61</v>
      </c>
      <c r="AH675">
        <v>0</v>
      </c>
      <c r="AI675">
        <v>0</v>
      </c>
      <c r="AJ675">
        <v>5</v>
      </c>
      <c r="AK675">
        <v>5</v>
      </c>
      <c r="AL675" t="s">
        <v>1188</v>
      </c>
      <c r="AM675" t="s">
        <v>93</v>
      </c>
      <c r="AN675" t="s">
        <v>1189</v>
      </c>
      <c r="AO675" t="s">
        <v>12166</v>
      </c>
      <c r="AP675" t="s">
        <v>12167</v>
      </c>
      <c r="AQ675" t="s">
        <v>74</v>
      </c>
      <c r="AR675" t="s">
        <v>12168</v>
      </c>
      <c r="AS675" t="s">
        <v>12169</v>
      </c>
      <c r="AT675" t="s">
        <v>5386</v>
      </c>
      <c r="AU675">
        <v>2023</v>
      </c>
      <c r="AV675">
        <v>24</v>
      </c>
      <c r="AW675">
        <v>13</v>
      </c>
      <c r="AX675" t="s">
        <v>74</v>
      </c>
      <c r="AY675" t="s">
        <v>74</v>
      </c>
      <c r="AZ675" t="s">
        <v>74</v>
      </c>
      <c r="BA675" t="s">
        <v>74</v>
      </c>
      <c r="BB675">
        <v>1629</v>
      </c>
      <c r="BC675">
        <v>1650</v>
      </c>
      <c r="BD675" t="s">
        <v>74</v>
      </c>
      <c r="BE675" t="s">
        <v>12170</v>
      </c>
      <c r="BF675" t="str">
        <f>HYPERLINK("http://dx.doi.org/10.1080/1461670X.2023.2241082","http://dx.doi.org/10.1080/1461670X.2023.2241082")</f>
        <v>http://dx.doi.org/10.1080/1461670X.2023.2241082</v>
      </c>
      <c r="BG675" t="s">
        <v>74</v>
      </c>
      <c r="BH675" t="s">
        <v>8608</v>
      </c>
      <c r="BI675">
        <v>22</v>
      </c>
      <c r="BJ675" t="s">
        <v>7911</v>
      </c>
      <c r="BK675" t="s">
        <v>272</v>
      </c>
      <c r="BL675" t="s">
        <v>7911</v>
      </c>
      <c r="BM675" t="s">
        <v>12171</v>
      </c>
      <c r="BN675" t="s">
        <v>74</v>
      </c>
      <c r="BO675" t="s">
        <v>887</v>
      </c>
      <c r="BP675" t="s">
        <v>74</v>
      </c>
      <c r="BQ675" t="s">
        <v>74</v>
      </c>
      <c r="BR675" t="s">
        <v>105</v>
      </c>
      <c r="BS675" t="s">
        <v>12172</v>
      </c>
      <c r="BT675" t="str">
        <f>HYPERLINK("https%3A%2F%2Fwww.webofscience.com%2Fwos%2Fwoscc%2Ffull-record%2FWOS:001041791500001","View Full Record in Web of Science")</f>
        <v>View Full Record in Web of Science</v>
      </c>
    </row>
    <row r="676" spans="1:72" x14ac:dyDescent="0.15">
      <c r="A676" t="s">
        <v>72</v>
      </c>
      <c r="B676" t="s">
        <v>12173</v>
      </c>
      <c r="C676" t="s">
        <v>74</v>
      </c>
      <c r="D676" t="s">
        <v>74</v>
      </c>
      <c r="E676" t="s">
        <v>74</v>
      </c>
      <c r="F676" t="s">
        <v>12174</v>
      </c>
      <c r="G676" t="s">
        <v>74</v>
      </c>
      <c r="H676" t="s">
        <v>74</v>
      </c>
      <c r="I676" t="s">
        <v>12175</v>
      </c>
      <c r="J676" t="s">
        <v>12176</v>
      </c>
      <c r="K676" t="s">
        <v>74</v>
      </c>
      <c r="L676" t="s">
        <v>74</v>
      </c>
      <c r="M676" t="s">
        <v>78</v>
      </c>
      <c r="N676" t="s">
        <v>5492</v>
      </c>
      <c r="O676" t="s">
        <v>74</v>
      </c>
      <c r="P676" t="s">
        <v>74</v>
      </c>
      <c r="Q676" t="s">
        <v>74</v>
      </c>
      <c r="R676" t="s">
        <v>74</v>
      </c>
      <c r="S676" t="s">
        <v>74</v>
      </c>
      <c r="T676" t="s">
        <v>12177</v>
      </c>
      <c r="U676" t="s">
        <v>12178</v>
      </c>
      <c r="V676" t="s">
        <v>12179</v>
      </c>
      <c r="W676" t="s">
        <v>12180</v>
      </c>
      <c r="X676" t="s">
        <v>12181</v>
      </c>
      <c r="Y676" t="s">
        <v>12182</v>
      </c>
      <c r="Z676" t="s">
        <v>12183</v>
      </c>
      <c r="AA676" t="s">
        <v>74</v>
      </c>
      <c r="AB676" t="s">
        <v>74</v>
      </c>
      <c r="AC676" t="s">
        <v>74</v>
      </c>
      <c r="AD676" t="s">
        <v>74</v>
      </c>
      <c r="AE676" t="s">
        <v>74</v>
      </c>
      <c r="AF676" t="s">
        <v>74</v>
      </c>
      <c r="AG676">
        <v>40</v>
      </c>
      <c r="AH676">
        <v>0</v>
      </c>
      <c r="AI676">
        <v>0</v>
      </c>
      <c r="AJ676">
        <v>0</v>
      </c>
      <c r="AK676">
        <v>0</v>
      </c>
      <c r="AL676" t="s">
        <v>1188</v>
      </c>
      <c r="AM676" t="s">
        <v>93</v>
      </c>
      <c r="AN676" t="s">
        <v>1189</v>
      </c>
      <c r="AO676" t="s">
        <v>12184</v>
      </c>
      <c r="AP676" t="s">
        <v>12185</v>
      </c>
      <c r="AQ676" t="s">
        <v>74</v>
      </c>
      <c r="AR676" t="s">
        <v>12186</v>
      </c>
      <c r="AS676" t="s">
        <v>12187</v>
      </c>
      <c r="AT676" t="s">
        <v>12054</v>
      </c>
      <c r="AU676">
        <v>2023</v>
      </c>
      <c r="AV676" t="s">
        <v>74</v>
      </c>
      <c r="AW676" t="s">
        <v>74</v>
      </c>
      <c r="AX676" t="s">
        <v>74</v>
      </c>
      <c r="AY676" t="s">
        <v>74</v>
      </c>
      <c r="AZ676" t="s">
        <v>74</v>
      </c>
      <c r="BA676" t="s">
        <v>74</v>
      </c>
      <c r="BB676" t="s">
        <v>74</v>
      </c>
      <c r="BC676" t="s">
        <v>74</v>
      </c>
      <c r="BD676" t="s">
        <v>74</v>
      </c>
      <c r="BE676" t="s">
        <v>12188</v>
      </c>
      <c r="BF676" t="str">
        <f>HYPERLINK("http://dx.doi.org/10.1080/02692171.2023.2240257","http://dx.doi.org/10.1080/02692171.2023.2240257")</f>
        <v>http://dx.doi.org/10.1080/02692171.2023.2240257</v>
      </c>
      <c r="BG676" t="s">
        <v>74</v>
      </c>
      <c r="BH676" t="s">
        <v>8608</v>
      </c>
      <c r="BI676">
        <v>14</v>
      </c>
      <c r="BJ676" t="s">
        <v>373</v>
      </c>
      <c r="BK676" t="s">
        <v>211</v>
      </c>
      <c r="BL676" t="s">
        <v>295</v>
      </c>
      <c r="BM676" t="s">
        <v>12189</v>
      </c>
      <c r="BN676" t="s">
        <v>74</v>
      </c>
      <c r="BO676" t="s">
        <v>74</v>
      </c>
      <c r="BP676" t="s">
        <v>74</v>
      </c>
      <c r="BQ676" t="s">
        <v>74</v>
      </c>
      <c r="BR676" t="s">
        <v>105</v>
      </c>
      <c r="BS676" t="s">
        <v>12190</v>
      </c>
      <c r="BT676" t="str">
        <f>HYPERLINK("https%3A%2F%2Fwww.webofscience.com%2Fwos%2Fwoscc%2Ffull-record%2FWOS:001040238500001","View Full Record in Web of Science")</f>
        <v>View Full Record in Web of Science</v>
      </c>
    </row>
    <row r="677" spans="1:72" x14ac:dyDescent="0.15">
      <c r="A677" t="s">
        <v>72</v>
      </c>
      <c r="B677" t="s">
        <v>12191</v>
      </c>
      <c r="C677" t="s">
        <v>74</v>
      </c>
      <c r="D677" t="s">
        <v>74</v>
      </c>
      <c r="E677" t="s">
        <v>74</v>
      </c>
      <c r="F677" t="s">
        <v>12192</v>
      </c>
      <c r="G677" t="s">
        <v>74</v>
      </c>
      <c r="H677" t="s">
        <v>74</v>
      </c>
      <c r="I677" t="s">
        <v>12193</v>
      </c>
      <c r="J677" t="s">
        <v>6995</v>
      </c>
      <c r="K677" t="s">
        <v>74</v>
      </c>
      <c r="L677" t="s">
        <v>74</v>
      </c>
      <c r="M677" t="s">
        <v>78</v>
      </c>
      <c r="N677" t="s">
        <v>5492</v>
      </c>
      <c r="O677" t="s">
        <v>74</v>
      </c>
      <c r="P677" t="s">
        <v>74</v>
      </c>
      <c r="Q677" t="s">
        <v>74</v>
      </c>
      <c r="R677" t="s">
        <v>74</v>
      </c>
      <c r="S677" t="s">
        <v>74</v>
      </c>
      <c r="T677" t="s">
        <v>12194</v>
      </c>
      <c r="U677" t="s">
        <v>12195</v>
      </c>
      <c r="V677" t="s">
        <v>12196</v>
      </c>
      <c r="W677" t="s">
        <v>12197</v>
      </c>
      <c r="X677" t="s">
        <v>12198</v>
      </c>
      <c r="Y677" t="s">
        <v>12199</v>
      </c>
      <c r="Z677" t="s">
        <v>74</v>
      </c>
      <c r="AA677" t="s">
        <v>74</v>
      </c>
      <c r="AB677" t="s">
        <v>74</v>
      </c>
      <c r="AC677" t="s">
        <v>74</v>
      </c>
      <c r="AD677" t="s">
        <v>74</v>
      </c>
      <c r="AE677" t="s">
        <v>74</v>
      </c>
      <c r="AF677" t="s">
        <v>74</v>
      </c>
      <c r="AG677">
        <v>31</v>
      </c>
      <c r="AH677">
        <v>0</v>
      </c>
      <c r="AI677">
        <v>0</v>
      </c>
      <c r="AJ677">
        <v>0</v>
      </c>
      <c r="AK677">
        <v>0</v>
      </c>
      <c r="AL677" t="s">
        <v>1188</v>
      </c>
      <c r="AM677" t="s">
        <v>93</v>
      </c>
      <c r="AN677" t="s">
        <v>1189</v>
      </c>
      <c r="AO677" t="s">
        <v>6999</v>
      </c>
      <c r="AP677" t="s">
        <v>7000</v>
      </c>
      <c r="AQ677" t="s">
        <v>74</v>
      </c>
      <c r="AR677" t="s">
        <v>7001</v>
      </c>
      <c r="AS677" t="s">
        <v>7002</v>
      </c>
      <c r="AT677" t="s">
        <v>12054</v>
      </c>
      <c r="AU677">
        <v>2023</v>
      </c>
      <c r="AV677" t="s">
        <v>74</v>
      </c>
      <c r="AW677" t="s">
        <v>74</v>
      </c>
      <c r="AX677" t="s">
        <v>74</v>
      </c>
      <c r="AY677" t="s">
        <v>74</v>
      </c>
      <c r="AZ677" t="s">
        <v>74</v>
      </c>
      <c r="BA677" t="s">
        <v>74</v>
      </c>
      <c r="BB677" t="s">
        <v>74</v>
      </c>
      <c r="BC677" t="s">
        <v>74</v>
      </c>
      <c r="BD677" t="s">
        <v>74</v>
      </c>
      <c r="BE677" t="s">
        <v>12200</v>
      </c>
      <c r="BF677" t="str">
        <f>HYPERLINK("http://dx.doi.org/10.1080/09540962.2023.2238912","http://dx.doi.org/10.1080/09540962.2023.2238912")</f>
        <v>http://dx.doi.org/10.1080/09540962.2023.2238912</v>
      </c>
      <c r="BG677" t="s">
        <v>74</v>
      </c>
      <c r="BH677" t="s">
        <v>8608</v>
      </c>
      <c r="BI677">
        <v>5</v>
      </c>
      <c r="BJ677" t="s">
        <v>7004</v>
      </c>
      <c r="BK677" t="s">
        <v>272</v>
      </c>
      <c r="BL677" t="s">
        <v>7004</v>
      </c>
      <c r="BM677" t="s">
        <v>12201</v>
      </c>
      <c r="BN677" t="s">
        <v>74</v>
      </c>
      <c r="BO677" t="s">
        <v>887</v>
      </c>
      <c r="BP677" t="s">
        <v>74</v>
      </c>
      <c r="BQ677" t="s">
        <v>74</v>
      </c>
      <c r="BR677" t="s">
        <v>105</v>
      </c>
      <c r="BS677" t="s">
        <v>12202</v>
      </c>
      <c r="BT677" t="str">
        <f>HYPERLINK("https%3A%2F%2Fwww.webofscience.com%2Fwos%2Fwoscc%2Ffull-record%2FWOS:001047955100001","View Full Record in Web of Science")</f>
        <v>View Full Record in Web of Science</v>
      </c>
    </row>
    <row r="678" spans="1:72" x14ac:dyDescent="0.15">
      <c r="A678" t="s">
        <v>72</v>
      </c>
      <c r="B678" t="s">
        <v>12203</v>
      </c>
      <c r="C678" t="s">
        <v>74</v>
      </c>
      <c r="D678" t="s">
        <v>74</v>
      </c>
      <c r="E678" t="s">
        <v>74</v>
      </c>
      <c r="F678" t="s">
        <v>12204</v>
      </c>
      <c r="G678" t="s">
        <v>74</v>
      </c>
      <c r="H678" t="s">
        <v>74</v>
      </c>
      <c r="I678" t="s">
        <v>12205</v>
      </c>
      <c r="J678" t="s">
        <v>12206</v>
      </c>
      <c r="K678" t="s">
        <v>74</v>
      </c>
      <c r="L678" t="s">
        <v>74</v>
      </c>
      <c r="M678" t="s">
        <v>78</v>
      </c>
      <c r="N678" t="s">
        <v>5492</v>
      </c>
      <c r="O678" t="s">
        <v>74</v>
      </c>
      <c r="P678" t="s">
        <v>74</v>
      </c>
      <c r="Q678" t="s">
        <v>74</v>
      </c>
      <c r="R678" t="s">
        <v>74</v>
      </c>
      <c r="S678" t="s">
        <v>74</v>
      </c>
      <c r="T678" t="s">
        <v>12207</v>
      </c>
      <c r="U678" t="s">
        <v>12208</v>
      </c>
      <c r="V678" t="s">
        <v>12209</v>
      </c>
      <c r="W678" t="s">
        <v>12210</v>
      </c>
      <c r="X678" t="s">
        <v>5335</v>
      </c>
      <c r="Y678" t="s">
        <v>12211</v>
      </c>
      <c r="Z678" t="s">
        <v>12212</v>
      </c>
      <c r="AA678" t="s">
        <v>74</v>
      </c>
      <c r="AB678" t="s">
        <v>74</v>
      </c>
      <c r="AC678" t="s">
        <v>74</v>
      </c>
      <c r="AD678" t="s">
        <v>74</v>
      </c>
      <c r="AE678" t="s">
        <v>74</v>
      </c>
      <c r="AF678" t="s">
        <v>74</v>
      </c>
      <c r="AG678">
        <v>153</v>
      </c>
      <c r="AH678">
        <v>0</v>
      </c>
      <c r="AI678">
        <v>0</v>
      </c>
      <c r="AJ678">
        <v>9</v>
      </c>
      <c r="AK678">
        <v>9</v>
      </c>
      <c r="AL678" t="s">
        <v>1188</v>
      </c>
      <c r="AM678" t="s">
        <v>93</v>
      </c>
      <c r="AN678" t="s">
        <v>1189</v>
      </c>
      <c r="AO678" t="s">
        <v>12213</v>
      </c>
      <c r="AP678" t="s">
        <v>12214</v>
      </c>
      <c r="AQ678" t="s">
        <v>74</v>
      </c>
      <c r="AR678" t="s">
        <v>12215</v>
      </c>
      <c r="AS678" t="s">
        <v>12216</v>
      </c>
      <c r="AT678" t="s">
        <v>12054</v>
      </c>
      <c r="AU678">
        <v>2023</v>
      </c>
      <c r="AV678" t="s">
        <v>74</v>
      </c>
      <c r="AW678" t="s">
        <v>74</v>
      </c>
      <c r="AX678" t="s">
        <v>74</v>
      </c>
      <c r="AY678" t="s">
        <v>74</v>
      </c>
      <c r="AZ678" t="s">
        <v>74</v>
      </c>
      <c r="BA678" t="s">
        <v>74</v>
      </c>
      <c r="BB678" t="s">
        <v>74</v>
      </c>
      <c r="BC678" t="s">
        <v>74</v>
      </c>
      <c r="BD678" t="s">
        <v>74</v>
      </c>
      <c r="BE678" t="s">
        <v>12217</v>
      </c>
      <c r="BF678" t="str">
        <f>HYPERLINK("http://dx.doi.org/10.1080/00223980.2023.2244129","http://dx.doi.org/10.1080/00223980.2023.2244129")</f>
        <v>http://dx.doi.org/10.1080/00223980.2023.2244129</v>
      </c>
      <c r="BG678" t="s">
        <v>74</v>
      </c>
      <c r="BH678" t="s">
        <v>8608</v>
      </c>
      <c r="BI678">
        <v>31</v>
      </c>
      <c r="BJ678" t="s">
        <v>1690</v>
      </c>
      <c r="BK678" t="s">
        <v>272</v>
      </c>
      <c r="BL678" t="s">
        <v>1691</v>
      </c>
      <c r="BM678" t="s">
        <v>12218</v>
      </c>
      <c r="BN678">
        <v>37647358</v>
      </c>
      <c r="BO678" t="s">
        <v>74</v>
      </c>
      <c r="BP678" t="s">
        <v>74</v>
      </c>
      <c r="BQ678" t="s">
        <v>74</v>
      </c>
      <c r="BR678" t="s">
        <v>105</v>
      </c>
      <c r="BS678" t="s">
        <v>12219</v>
      </c>
      <c r="BT678" t="str">
        <f>HYPERLINK("https%3A%2F%2Fwww.webofscience.com%2Fwos%2Fwoscc%2Ffull-record%2FWOS:001061999200001","View Full Record in Web of Science")</f>
        <v>View Full Record in Web of Science</v>
      </c>
    </row>
    <row r="679" spans="1:72" x14ac:dyDescent="0.15">
      <c r="A679" t="s">
        <v>72</v>
      </c>
      <c r="B679" t="s">
        <v>12220</v>
      </c>
      <c r="C679" t="s">
        <v>74</v>
      </c>
      <c r="D679" t="s">
        <v>74</v>
      </c>
      <c r="E679" t="s">
        <v>74</v>
      </c>
      <c r="F679" t="s">
        <v>12221</v>
      </c>
      <c r="G679" t="s">
        <v>74</v>
      </c>
      <c r="H679" t="s">
        <v>74</v>
      </c>
      <c r="I679" t="s">
        <v>12222</v>
      </c>
      <c r="J679" t="s">
        <v>12223</v>
      </c>
      <c r="K679" t="s">
        <v>74</v>
      </c>
      <c r="L679" t="s">
        <v>74</v>
      </c>
      <c r="M679" t="s">
        <v>78</v>
      </c>
      <c r="N679" t="s">
        <v>5492</v>
      </c>
      <c r="O679" t="s">
        <v>74</v>
      </c>
      <c r="P679" t="s">
        <v>74</v>
      </c>
      <c r="Q679" t="s">
        <v>74</v>
      </c>
      <c r="R679" t="s">
        <v>74</v>
      </c>
      <c r="S679" t="s">
        <v>74</v>
      </c>
      <c r="T679" t="s">
        <v>12224</v>
      </c>
      <c r="U679" t="s">
        <v>12225</v>
      </c>
      <c r="V679" t="s">
        <v>12226</v>
      </c>
      <c r="W679" t="s">
        <v>12227</v>
      </c>
      <c r="X679" t="s">
        <v>12228</v>
      </c>
      <c r="Y679" t="s">
        <v>12229</v>
      </c>
      <c r="Z679" t="s">
        <v>74</v>
      </c>
      <c r="AA679" t="s">
        <v>74</v>
      </c>
      <c r="AB679" t="s">
        <v>74</v>
      </c>
      <c r="AC679" t="s">
        <v>74</v>
      </c>
      <c r="AD679" t="s">
        <v>74</v>
      </c>
      <c r="AE679" t="s">
        <v>74</v>
      </c>
      <c r="AF679" t="s">
        <v>74</v>
      </c>
      <c r="AG679">
        <v>45</v>
      </c>
      <c r="AH679">
        <v>0</v>
      </c>
      <c r="AI679">
        <v>0</v>
      </c>
      <c r="AJ679">
        <v>0</v>
      </c>
      <c r="AK679">
        <v>0</v>
      </c>
      <c r="AL679" t="s">
        <v>184</v>
      </c>
      <c r="AM679" t="s">
        <v>185</v>
      </c>
      <c r="AN679" t="s">
        <v>186</v>
      </c>
      <c r="AO679" t="s">
        <v>12230</v>
      </c>
      <c r="AP679" t="s">
        <v>12231</v>
      </c>
      <c r="AQ679" t="s">
        <v>74</v>
      </c>
      <c r="AR679" t="s">
        <v>12232</v>
      </c>
      <c r="AS679" t="s">
        <v>12233</v>
      </c>
      <c r="AT679" t="s">
        <v>12054</v>
      </c>
      <c r="AU679">
        <v>2023</v>
      </c>
      <c r="AV679" t="s">
        <v>74</v>
      </c>
      <c r="AW679" t="s">
        <v>74</v>
      </c>
      <c r="AX679" t="s">
        <v>74</v>
      </c>
      <c r="AY679" t="s">
        <v>74</v>
      </c>
      <c r="AZ679" t="s">
        <v>74</v>
      </c>
      <c r="BA679" t="s">
        <v>74</v>
      </c>
      <c r="BB679" t="s">
        <v>74</v>
      </c>
      <c r="BC679" t="s">
        <v>74</v>
      </c>
      <c r="BD679" t="s">
        <v>74</v>
      </c>
      <c r="BE679" t="s">
        <v>12234</v>
      </c>
      <c r="BF679" t="str">
        <f>HYPERLINK("http://dx.doi.org/10.1080/10407782.2023.2243380","http://dx.doi.org/10.1080/10407782.2023.2243380")</f>
        <v>http://dx.doi.org/10.1080/10407782.2023.2243380</v>
      </c>
      <c r="BG679" t="s">
        <v>74</v>
      </c>
      <c r="BH679" t="s">
        <v>8608</v>
      </c>
      <c r="BI679">
        <v>20</v>
      </c>
      <c r="BJ679" t="s">
        <v>9081</v>
      </c>
      <c r="BK679" t="s">
        <v>102</v>
      </c>
      <c r="BL679" t="s">
        <v>9081</v>
      </c>
      <c r="BM679" t="s">
        <v>12235</v>
      </c>
      <c r="BN679" t="s">
        <v>74</v>
      </c>
      <c r="BO679" t="s">
        <v>74</v>
      </c>
      <c r="BP679" t="s">
        <v>74</v>
      </c>
      <c r="BQ679" t="s">
        <v>74</v>
      </c>
      <c r="BR679" t="s">
        <v>105</v>
      </c>
      <c r="BS679" t="s">
        <v>12236</v>
      </c>
      <c r="BT679" t="str">
        <f>HYPERLINK("https%3A%2F%2Fwww.webofscience.com%2Fwos%2Fwoscc%2Ffull-record%2FWOS:001048505300001","View Full Record in Web of Science")</f>
        <v>View Full Record in Web of Science</v>
      </c>
    </row>
    <row r="680" spans="1:72" x14ac:dyDescent="0.15">
      <c r="A680" t="s">
        <v>72</v>
      </c>
      <c r="B680" t="s">
        <v>12237</v>
      </c>
      <c r="C680" t="s">
        <v>74</v>
      </c>
      <c r="D680" t="s">
        <v>74</v>
      </c>
      <c r="E680" t="s">
        <v>74</v>
      </c>
      <c r="F680" t="s">
        <v>12238</v>
      </c>
      <c r="G680" t="s">
        <v>74</v>
      </c>
      <c r="H680" t="s">
        <v>74</v>
      </c>
      <c r="I680" t="s">
        <v>12239</v>
      </c>
      <c r="J680" t="s">
        <v>12240</v>
      </c>
      <c r="K680" t="s">
        <v>74</v>
      </c>
      <c r="L680" t="s">
        <v>74</v>
      </c>
      <c r="M680" t="s">
        <v>78</v>
      </c>
      <c r="N680" t="s">
        <v>5492</v>
      </c>
      <c r="O680" t="s">
        <v>74</v>
      </c>
      <c r="P680" t="s">
        <v>74</v>
      </c>
      <c r="Q680" t="s">
        <v>74</v>
      </c>
      <c r="R680" t="s">
        <v>74</v>
      </c>
      <c r="S680" t="s">
        <v>74</v>
      </c>
      <c r="T680" t="s">
        <v>74</v>
      </c>
      <c r="U680" t="s">
        <v>74</v>
      </c>
      <c r="V680" t="s">
        <v>12241</v>
      </c>
      <c r="W680" t="s">
        <v>12242</v>
      </c>
      <c r="X680" t="s">
        <v>12243</v>
      </c>
      <c r="Y680" t="s">
        <v>12244</v>
      </c>
      <c r="Z680" t="s">
        <v>12245</v>
      </c>
      <c r="AA680" t="s">
        <v>74</v>
      </c>
      <c r="AB680" t="s">
        <v>74</v>
      </c>
      <c r="AC680" t="s">
        <v>74</v>
      </c>
      <c r="AD680" t="s">
        <v>74</v>
      </c>
      <c r="AE680" t="s">
        <v>74</v>
      </c>
      <c r="AF680" t="s">
        <v>74</v>
      </c>
      <c r="AG680">
        <v>25</v>
      </c>
      <c r="AH680">
        <v>0</v>
      </c>
      <c r="AI680">
        <v>0</v>
      </c>
      <c r="AJ680">
        <v>1</v>
      </c>
      <c r="AK680">
        <v>1</v>
      </c>
      <c r="AL680" t="s">
        <v>1188</v>
      </c>
      <c r="AM680" t="s">
        <v>93</v>
      </c>
      <c r="AN680" t="s">
        <v>1189</v>
      </c>
      <c r="AO680" t="s">
        <v>12246</v>
      </c>
      <c r="AP680" t="s">
        <v>12247</v>
      </c>
      <c r="AQ680" t="s">
        <v>74</v>
      </c>
      <c r="AR680" t="s">
        <v>12248</v>
      </c>
      <c r="AS680" t="s">
        <v>12249</v>
      </c>
      <c r="AT680" t="s">
        <v>12054</v>
      </c>
      <c r="AU680">
        <v>2023</v>
      </c>
      <c r="AV680" t="s">
        <v>74</v>
      </c>
      <c r="AW680" t="s">
        <v>74</v>
      </c>
      <c r="AX680" t="s">
        <v>74</v>
      </c>
      <c r="AY680" t="s">
        <v>74</v>
      </c>
      <c r="AZ680" t="s">
        <v>74</v>
      </c>
      <c r="BA680" t="s">
        <v>74</v>
      </c>
      <c r="BB680" t="s">
        <v>74</v>
      </c>
      <c r="BC680" t="s">
        <v>74</v>
      </c>
      <c r="BD680" t="s">
        <v>74</v>
      </c>
      <c r="BE680" t="s">
        <v>12250</v>
      </c>
      <c r="BF680" t="str">
        <f>HYPERLINK("http://dx.doi.org/10.1080/10371397.2023.2239164","http://dx.doi.org/10.1080/10371397.2023.2239164")</f>
        <v>http://dx.doi.org/10.1080/10371397.2023.2239164</v>
      </c>
      <c r="BG680" t="s">
        <v>74</v>
      </c>
      <c r="BH680" t="s">
        <v>8608</v>
      </c>
      <c r="BI680">
        <v>15</v>
      </c>
      <c r="BJ680" t="s">
        <v>5750</v>
      </c>
      <c r="BK680" t="s">
        <v>211</v>
      </c>
      <c r="BL680" t="s">
        <v>5750</v>
      </c>
      <c r="BM680" t="s">
        <v>12251</v>
      </c>
      <c r="BN680" t="s">
        <v>74</v>
      </c>
      <c r="BO680" t="s">
        <v>74</v>
      </c>
      <c r="BP680" t="s">
        <v>74</v>
      </c>
      <c r="BQ680" t="s">
        <v>74</v>
      </c>
      <c r="BR680" t="s">
        <v>105</v>
      </c>
      <c r="BS680" t="s">
        <v>12252</v>
      </c>
      <c r="BT680" t="str">
        <f>HYPERLINK("https%3A%2F%2Fwww.webofscience.com%2Fwos%2Fwoscc%2Ffull-record%2FWOS:001040211300001","View Full Record in Web of Science")</f>
        <v>View Full Record in Web of Science</v>
      </c>
    </row>
    <row r="681" spans="1:72" x14ac:dyDescent="0.15">
      <c r="A681" t="s">
        <v>72</v>
      </c>
      <c r="B681" t="s">
        <v>12253</v>
      </c>
      <c r="C681" t="s">
        <v>74</v>
      </c>
      <c r="D681" t="s">
        <v>74</v>
      </c>
      <c r="E681" t="s">
        <v>74</v>
      </c>
      <c r="F681" t="s">
        <v>12254</v>
      </c>
      <c r="G681" t="s">
        <v>74</v>
      </c>
      <c r="H681" t="s">
        <v>74</v>
      </c>
      <c r="I681" t="s">
        <v>12255</v>
      </c>
      <c r="J681" t="s">
        <v>12256</v>
      </c>
      <c r="K681" t="s">
        <v>74</v>
      </c>
      <c r="L681" t="s">
        <v>74</v>
      </c>
      <c r="M681" t="s">
        <v>78</v>
      </c>
      <c r="N681" t="s">
        <v>5492</v>
      </c>
      <c r="O681" t="s">
        <v>74</v>
      </c>
      <c r="P681" t="s">
        <v>74</v>
      </c>
      <c r="Q681" t="s">
        <v>74</v>
      </c>
      <c r="R681" t="s">
        <v>74</v>
      </c>
      <c r="S681" t="s">
        <v>74</v>
      </c>
      <c r="T681" t="s">
        <v>12257</v>
      </c>
      <c r="U681" t="s">
        <v>12258</v>
      </c>
      <c r="V681" t="s">
        <v>12259</v>
      </c>
      <c r="W681" t="s">
        <v>12260</v>
      </c>
      <c r="X681" t="s">
        <v>12261</v>
      </c>
      <c r="Y681" t="s">
        <v>12262</v>
      </c>
      <c r="Z681" t="s">
        <v>12263</v>
      </c>
      <c r="AA681" t="s">
        <v>74</v>
      </c>
      <c r="AB681" t="s">
        <v>12264</v>
      </c>
      <c r="AC681" t="s">
        <v>12265</v>
      </c>
      <c r="AD681" t="s">
        <v>12266</v>
      </c>
      <c r="AE681" t="s">
        <v>12267</v>
      </c>
      <c r="AF681" t="s">
        <v>74</v>
      </c>
      <c r="AG681">
        <v>67</v>
      </c>
      <c r="AH681">
        <v>0</v>
      </c>
      <c r="AI681">
        <v>0</v>
      </c>
      <c r="AJ681">
        <v>2</v>
      </c>
      <c r="AK681">
        <v>2</v>
      </c>
      <c r="AL681" t="s">
        <v>92</v>
      </c>
      <c r="AM681" t="s">
        <v>93</v>
      </c>
      <c r="AN681" t="s">
        <v>94</v>
      </c>
      <c r="AO681" t="s">
        <v>12268</v>
      </c>
      <c r="AP681" t="s">
        <v>12269</v>
      </c>
      <c r="AQ681" t="s">
        <v>74</v>
      </c>
      <c r="AR681" t="s">
        <v>12270</v>
      </c>
      <c r="AS681" t="s">
        <v>12271</v>
      </c>
      <c r="AT681" t="s">
        <v>12054</v>
      </c>
      <c r="AU681">
        <v>2023</v>
      </c>
      <c r="AV681" t="s">
        <v>74</v>
      </c>
      <c r="AW681" t="s">
        <v>74</v>
      </c>
      <c r="AX681" t="s">
        <v>74</v>
      </c>
      <c r="AY681" t="s">
        <v>74</v>
      </c>
      <c r="AZ681" t="s">
        <v>74</v>
      </c>
      <c r="BA681" t="s">
        <v>74</v>
      </c>
      <c r="BB681" t="s">
        <v>74</v>
      </c>
      <c r="BC681" t="s">
        <v>74</v>
      </c>
      <c r="BD681" t="s">
        <v>74</v>
      </c>
      <c r="BE681" t="s">
        <v>12272</v>
      </c>
      <c r="BF681" t="str">
        <f>HYPERLINK("http://dx.doi.org/10.1080/08870446.2023.2244522","http://dx.doi.org/10.1080/08870446.2023.2244522")</f>
        <v>http://dx.doi.org/10.1080/08870446.2023.2244522</v>
      </c>
      <c r="BG681" t="s">
        <v>74</v>
      </c>
      <c r="BH681" t="s">
        <v>8608</v>
      </c>
      <c r="BI681">
        <v>23</v>
      </c>
      <c r="BJ681" t="s">
        <v>12273</v>
      </c>
      <c r="BK681" t="s">
        <v>272</v>
      </c>
      <c r="BL681" t="s">
        <v>12274</v>
      </c>
      <c r="BM681" t="s">
        <v>12275</v>
      </c>
      <c r="BN681">
        <v>37545105</v>
      </c>
      <c r="BO681" t="s">
        <v>74</v>
      </c>
      <c r="BP681" t="s">
        <v>74</v>
      </c>
      <c r="BQ681" t="s">
        <v>74</v>
      </c>
      <c r="BR681" t="s">
        <v>105</v>
      </c>
      <c r="BS681" t="s">
        <v>12276</v>
      </c>
      <c r="BT681" t="str">
        <f>HYPERLINK("https%3A%2F%2Fwww.webofscience.com%2Fwos%2Fwoscc%2Ffull-record%2FWOS:001042376400001","View Full Record in Web of Science")</f>
        <v>View Full Record in Web of Science</v>
      </c>
    </row>
    <row r="682" spans="1:72" x14ac:dyDescent="0.15">
      <c r="A682" t="s">
        <v>72</v>
      </c>
      <c r="B682" t="s">
        <v>12277</v>
      </c>
      <c r="C682" t="s">
        <v>74</v>
      </c>
      <c r="D682" t="s">
        <v>74</v>
      </c>
      <c r="E682" t="s">
        <v>74</v>
      </c>
      <c r="F682" t="s">
        <v>12278</v>
      </c>
      <c r="G682" t="s">
        <v>74</v>
      </c>
      <c r="H682" t="s">
        <v>74</v>
      </c>
      <c r="I682" t="s">
        <v>12279</v>
      </c>
      <c r="J682" t="s">
        <v>9521</v>
      </c>
      <c r="K682" t="s">
        <v>74</v>
      </c>
      <c r="L682" t="s">
        <v>74</v>
      </c>
      <c r="M682" t="s">
        <v>78</v>
      </c>
      <c r="N682" t="s">
        <v>2650</v>
      </c>
      <c r="O682" t="s">
        <v>74</v>
      </c>
      <c r="P682" t="s">
        <v>74</v>
      </c>
      <c r="Q682" t="s">
        <v>74</v>
      </c>
      <c r="R682" t="s">
        <v>74</v>
      </c>
      <c r="S682" t="s">
        <v>74</v>
      </c>
      <c r="T682" t="s">
        <v>12280</v>
      </c>
      <c r="U682" t="s">
        <v>12281</v>
      </c>
      <c r="V682" t="s">
        <v>74</v>
      </c>
      <c r="W682" t="s">
        <v>12282</v>
      </c>
      <c r="X682" t="s">
        <v>12283</v>
      </c>
      <c r="Y682" t="s">
        <v>12284</v>
      </c>
      <c r="Z682" t="s">
        <v>12285</v>
      </c>
      <c r="AA682" t="s">
        <v>74</v>
      </c>
      <c r="AB682" t="s">
        <v>74</v>
      </c>
      <c r="AC682" t="s">
        <v>12286</v>
      </c>
      <c r="AD682" t="s">
        <v>12287</v>
      </c>
      <c r="AE682" t="s">
        <v>12288</v>
      </c>
      <c r="AF682" t="s">
        <v>74</v>
      </c>
      <c r="AG682">
        <v>26</v>
      </c>
      <c r="AH682">
        <v>0</v>
      </c>
      <c r="AI682">
        <v>0</v>
      </c>
      <c r="AJ682">
        <v>1</v>
      </c>
      <c r="AK682">
        <v>1</v>
      </c>
      <c r="AL682" t="s">
        <v>92</v>
      </c>
      <c r="AM682" t="s">
        <v>93</v>
      </c>
      <c r="AN682" t="s">
        <v>94</v>
      </c>
      <c r="AO682" t="s">
        <v>9533</v>
      </c>
      <c r="AP682" t="s">
        <v>9534</v>
      </c>
      <c r="AQ682" t="s">
        <v>74</v>
      </c>
      <c r="AR682" t="s">
        <v>9535</v>
      </c>
      <c r="AS682" t="s">
        <v>9536</v>
      </c>
      <c r="AT682" t="s">
        <v>12289</v>
      </c>
      <c r="AU682">
        <v>2023</v>
      </c>
      <c r="AV682">
        <v>27</v>
      </c>
      <c r="AW682">
        <v>7</v>
      </c>
      <c r="AX682" t="s">
        <v>74</v>
      </c>
      <c r="AY682" t="s">
        <v>74</v>
      </c>
      <c r="AZ682" t="s">
        <v>74</v>
      </c>
      <c r="BA682" t="s">
        <v>74</v>
      </c>
      <c r="BB682">
        <v>517</v>
      </c>
      <c r="BC682">
        <v>521</v>
      </c>
      <c r="BD682" t="s">
        <v>74</v>
      </c>
      <c r="BE682" t="s">
        <v>12290</v>
      </c>
      <c r="BF682" t="str">
        <f>HYPERLINK("http://dx.doi.org/10.1080/14728222.2023.2240023","http://dx.doi.org/10.1080/14728222.2023.2240023")</f>
        <v>http://dx.doi.org/10.1080/14728222.2023.2240023</v>
      </c>
      <c r="BG682" t="s">
        <v>74</v>
      </c>
      <c r="BH682" t="s">
        <v>8608</v>
      </c>
      <c r="BI682">
        <v>5</v>
      </c>
      <c r="BJ682" t="s">
        <v>101</v>
      </c>
      <c r="BK682" t="s">
        <v>102</v>
      </c>
      <c r="BL682" t="s">
        <v>101</v>
      </c>
      <c r="BM682" t="s">
        <v>12291</v>
      </c>
      <c r="BN682">
        <v>37489110</v>
      </c>
      <c r="BO682" t="s">
        <v>74</v>
      </c>
      <c r="BP682" t="s">
        <v>74</v>
      </c>
      <c r="BQ682" t="s">
        <v>74</v>
      </c>
      <c r="BR682" t="s">
        <v>105</v>
      </c>
      <c r="BS682" t="s">
        <v>12292</v>
      </c>
      <c r="BT682" t="str">
        <f>HYPERLINK("https%3A%2F%2Fwww.webofscience.com%2Fwos%2Fwoscc%2Ffull-record%2FWOS:001041540200001","View Full Record in Web of Science")</f>
        <v>View Full Record in Web of Science</v>
      </c>
    </row>
    <row r="683" spans="1:72" x14ac:dyDescent="0.15">
      <c r="A683" t="s">
        <v>72</v>
      </c>
      <c r="B683" t="s">
        <v>12293</v>
      </c>
      <c r="C683" t="s">
        <v>74</v>
      </c>
      <c r="D683" t="s">
        <v>74</v>
      </c>
      <c r="E683" t="s">
        <v>74</v>
      </c>
      <c r="F683" t="s">
        <v>12294</v>
      </c>
      <c r="G683" t="s">
        <v>74</v>
      </c>
      <c r="H683" t="s">
        <v>74</v>
      </c>
      <c r="I683" t="s">
        <v>12295</v>
      </c>
      <c r="J683" t="s">
        <v>12296</v>
      </c>
      <c r="K683" t="s">
        <v>74</v>
      </c>
      <c r="L683" t="s">
        <v>74</v>
      </c>
      <c r="M683" t="s">
        <v>78</v>
      </c>
      <c r="N683" t="s">
        <v>5492</v>
      </c>
      <c r="O683" t="s">
        <v>74</v>
      </c>
      <c r="P683" t="s">
        <v>74</v>
      </c>
      <c r="Q683" t="s">
        <v>74</v>
      </c>
      <c r="R683" t="s">
        <v>74</v>
      </c>
      <c r="S683" t="s">
        <v>74</v>
      </c>
      <c r="T683" t="s">
        <v>12297</v>
      </c>
      <c r="U683" t="s">
        <v>12298</v>
      </c>
      <c r="V683" t="s">
        <v>12299</v>
      </c>
      <c r="W683" t="s">
        <v>12300</v>
      </c>
      <c r="X683" t="s">
        <v>12301</v>
      </c>
      <c r="Y683" t="s">
        <v>12302</v>
      </c>
      <c r="Z683" t="s">
        <v>12303</v>
      </c>
      <c r="AA683" t="s">
        <v>74</v>
      </c>
      <c r="AB683" t="s">
        <v>74</v>
      </c>
      <c r="AC683" t="s">
        <v>74</v>
      </c>
      <c r="AD683" t="s">
        <v>74</v>
      </c>
      <c r="AE683" t="s">
        <v>74</v>
      </c>
      <c r="AF683" t="s">
        <v>74</v>
      </c>
      <c r="AG683">
        <v>59</v>
      </c>
      <c r="AH683">
        <v>0</v>
      </c>
      <c r="AI683">
        <v>0</v>
      </c>
      <c r="AJ683">
        <v>0</v>
      </c>
      <c r="AK683">
        <v>0</v>
      </c>
      <c r="AL683" t="s">
        <v>1188</v>
      </c>
      <c r="AM683" t="s">
        <v>93</v>
      </c>
      <c r="AN683" t="s">
        <v>1189</v>
      </c>
      <c r="AO683" t="s">
        <v>12304</v>
      </c>
      <c r="AP683" t="s">
        <v>12305</v>
      </c>
      <c r="AQ683" t="s">
        <v>74</v>
      </c>
      <c r="AR683" t="s">
        <v>12306</v>
      </c>
      <c r="AS683" t="s">
        <v>12307</v>
      </c>
      <c r="AT683" t="s">
        <v>12054</v>
      </c>
      <c r="AU683">
        <v>2023</v>
      </c>
      <c r="AV683" t="s">
        <v>74</v>
      </c>
      <c r="AW683" t="s">
        <v>74</v>
      </c>
      <c r="AX683" t="s">
        <v>74</v>
      </c>
      <c r="AY683" t="s">
        <v>74</v>
      </c>
      <c r="AZ683" t="s">
        <v>74</v>
      </c>
      <c r="BA683" t="s">
        <v>74</v>
      </c>
      <c r="BB683" t="s">
        <v>74</v>
      </c>
      <c r="BC683" t="s">
        <v>74</v>
      </c>
      <c r="BD683" t="s">
        <v>74</v>
      </c>
      <c r="BE683" t="s">
        <v>12308</v>
      </c>
      <c r="BF683" t="str">
        <f>HYPERLINK("http://dx.doi.org/10.1080/00071005.2023.2231526","http://dx.doi.org/10.1080/00071005.2023.2231526")</f>
        <v>http://dx.doi.org/10.1080/00071005.2023.2231526</v>
      </c>
      <c r="BG683" t="s">
        <v>74</v>
      </c>
      <c r="BH683" t="s">
        <v>8608</v>
      </c>
      <c r="BI683">
        <v>25</v>
      </c>
      <c r="BJ683" t="s">
        <v>271</v>
      </c>
      <c r="BK683" t="s">
        <v>272</v>
      </c>
      <c r="BL683" t="s">
        <v>271</v>
      </c>
      <c r="BM683" t="s">
        <v>12309</v>
      </c>
      <c r="BN683" t="s">
        <v>74</v>
      </c>
      <c r="BO683" t="s">
        <v>887</v>
      </c>
      <c r="BP683" t="s">
        <v>74</v>
      </c>
      <c r="BQ683" t="s">
        <v>74</v>
      </c>
      <c r="BR683" t="s">
        <v>105</v>
      </c>
      <c r="BS683" t="s">
        <v>12310</v>
      </c>
      <c r="BT683" t="str">
        <f>HYPERLINK("https%3A%2F%2Fwww.webofscience.com%2Fwos%2Fwoscc%2Ffull-record%2FWOS:001071631900001","View Full Record in Web of Science")</f>
        <v>View Full Record in Web of Science</v>
      </c>
    </row>
    <row r="684" spans="1:72" x14ac:dyDescent="0.15">
      <c r="A684" t="s">
        <v>72</v>
      </c>
      <c r="B684" t="s">
        <v>12311</v>
      </c>
      <c r="C684" t="s">
        <v>74</v>
      </c>
      <c r="D684" t="s">
        <v>74</v>
      </c>
      <c r="E684" t="s">
        <v>74</v>
      </c>
      <c r="F684" t="s">
        <v>12312</v>
      </c>
      <c r="G684" t="s">
        <v>74</v>
      </c>
      <c r="H684" t="s">
        <v>74</v>
      </c>
      <c r="I684" t="s">
        <v>12313</v>
      </c>
      <c r="J684" t="s">
        <v>5453</v>
      </c>
      <c r="K684" t="s">
        <v>74</v>
      </c>
      <c r="L684" t="s">
        <v>74</v>
      </c>
      <c r="M684" t="s">
        <v>78</v>
      </c>
      <c r="N684" t="s">
        <v>79</v>
      </c>
      <c r="O684" t="s">
        <v>74</v>
      </c>
      <c r="P684" t="s">
        <v>74</v>
      </c>
      <c r="Q684" t="s">
        <v>74</v>
      </c>
      <c r="R684" t="s">
        <v>74</v>
      </c>
      <c r="S684" t="s">
        <v>74</v>
      </c>
      <c r="T684" t="s">
        <v>12314</v>
      </c>
      <c r="U684" t="s">
        <v>12315</v>
      </c>
      <c r="V684" t="s">
        <v>12316</v>
      </c>
      <c r="W684" t="s">
        <v>12317</v>
      </c>
      <c r="X684" t="s">
        <v>10293</v>
      </c>
      <c r="Y684" t="s">
        <v>12318</v>
      </c>
      <c r="Z684" t="s">
        <v>12319</v>
      </c>
      <c r="AA684" t="s">
        <v>12320</v>
      </c>
      <c r="AB684" t="s">
        <v>12321</v>
      </c>
      <c r="AC684" t="s">
        <v>74</v>
      </c>
      <c r="AD684" t="s">
        <v>74</v>
      </c>
      <c r="AE684" t="s">
        <v>74</v>
      </c>
      <c r="AF684" t="s">
        <v>74</v>
      </c>
      <c r="AG684">
        <v>37</v>
      </c>
      <c r="AH684">
        <v>0</v>
      </c>
      <c r="AI684">
        <v>0</v>
      </c>
      <c r="AJ684">
        <v>9</v>
      </c>
      <c r="AK684">
        <v>9</v>
      </c>
      <c r="AL684" t="s">
        <v>184</v>
      </c>
      <c r="AM684" t="s">
        <v>185</v>
      </c>
      <c r="AN684" t="s">
        <v>186</v>
      </c>
      <c r="AO684" t="s">
        <v>5463</v>
      </c>
      <c r="AP684" t="s">
        <v>5464</v>
      </c>
      <c r="AQ684" t="s">
        <v>74</v>
      </c>
      <c r="AR684" t="s">
        <v>5465</v>
      </c>
      <c r="AS684" t="s">
        <v>5466</v>
      </c>
      <c r="AT684" t="s">
        <v>12322</v>
      </c>
      <c r="AU684">
        <v>2023</v>
      </c>
      <c r="AV684">
        <v>45</v>
      </c>
      <c r="AW684">
        <v>3</v>
      </c>
      <c r="AX684" t="s">
        <v>74</v>
      </c>
      <c r="AY684" t="s">
        <v>74</v>
      </c>
      <c r="AZ684" t="s">
        <v>74</v>
      </c>
      <c r="BA684" t="s">
        <v>74</v>
      </c>
      <c r="BB684">
        <v>9283</v>
      </c>
      <c r="BC684">
        <v>9296</v>
      </c>
      <c r="BD684" t="s">
        <v>74</v>
      </c>
      <c r="BE684" t="s">
        <v>12323</v>
      </c>
      <c r="BF684" t="str">
        <f>HYPERLINK("http://dx.doi.org/10.1080/15567036.2023.2235307","http://dx.doi.org/10.1080/15567036.2023.2235307")</f>
        <v>http://dx.doi.org/10.1080/15567036.2023.2235307</v>
      </c>
      <c r="BG684" t="s">
        <v>74</v>
      </c>
      <c r="BH684" t="s">
        <v>74</v>
      </c>
      <c r="BI684">
        <v>14</v>
      </c>
      <c r="BJ684" t="s">
        <v>5469</v>
      </c>
      <c r="BK684" t="s">
        <v>102</v>
      </c>
      <c r="BL684" t="s">
        <v>5470</v>
      </c>
      <c r="BM684" t="s">
        <v>12324</v>
      </c>
      <c r="BN684" t="s">
        <v>74</v>
      </c>
      <c r="BO684" t="s">
        <v>74</v>
      </c>
      <c r="BP684" t="s">
        <v>74</v>
      </c>
      <c r="BQ684" t="s">
        <v>74</v>
      </c>
      <c r="BR684" t="s">
        <v>105</v>
      </c>
      <c r="BS684" t="s">
        <v>12325</v>
      </c>
      <c r="BT684" t="str">
        <f>HYPERLINK("https%3A%2F%2Fwww.webofscience.com%2Fwos%2Fwoscc%2Ffull-record%2FWOS:001023993900001","View Full Record in Web of Science")</f>
        <v>View Full Record in Web of Science</v>
      </c>
    </row>
    <row r="685" spans="1:72" x14ac:dyDescent="0.15">
      <c r="A685" t="s">
        <v>72</v>
      </c>
      <c r="B685" t="s">
        <v>12326</v>
      </c>
      <c r="C685" t="s">
        <v>74</v>
      </c>
      <c r="D685" t="s">
        <v>74</v>
      </c>
      <c r="E685" t="s">
        <v>74</v>
      </c>
      <c r="F685" t="s">
        <v>12327</v>
      </c>
      <c r="G685" t="s">
        <v>74</v>
      </c>
      <c r="H685" t="s">
        <v>74</v>
      </c>
      <c r="I685" t="s">
        <v>12328</v>
      </c>
      <c r="J685" t="s">
        <v>12329</v>
      </c>
      <c r="K685" t="s">
        <v>74</v>
      </c>
      <c r="L685" t="s">
        <v>74</v>
      </c>
      <c r="M685" t="s">
        <v>78</v>
      </c>
      <c r="N685" t="s">
        <v>171</v>
      </c>
      <c r="O685" t="s">
        <v>74</v>
      </c>
      <c r="P685" t="s">
        <v>74</v>
      </c>
      <c r="Q685" t="s">
        <v>74</v>
      </c>
      <c r="R685" t="s">
        <v>74</v>
      </c>
      <c r="S685" t="s">
        <v>74</v>
      </c>
      <c r="T685" t="s">
        <v>12330</v>
      </c>
      <c r="U685" t="s">
        <v>12331</v>
      </c>
      <c r="V685" t="s">
        <v>12332</v>
      </c>
      <c r="W685" t="s">
        <v>12333</v>
      </c>
      <c r="X685" t="s">
        <v>12334</v>
      </c>
      <c r="Y685" t="s">
        <v>12335</v>
      </c>
      <c r="Z685" t="s">
        <v>12336</v>
      </c>
      <c r="AA685" t="s">
        <v>74</v>
      </c>
      <c r="AB685" t="s">
        <v>74</v>
      </c>
      <c r="AC685" t="s">
        <v>12337</v>
      </c>
      <c r="AD685" t="s">
        <v>12338</v>
      </c>
      <c r="AE685" t="s">
        <v>12339</v>
      </c>
      <c r="AF685" t="s">
        <v>74</v>
      </c>
      <c r="AG685">
        <v>73</v>
      </c>
      <c r="AH685">
        <v>0</v>
      </c>
      <c r="AI685">
        <v>0</v>
      </c>
      <c r="AJ685">
        <v>3</v>
      </c>
      <c r="AK685">
        <v>3</v>
      </c>
      <c r="AL685" t="s">
        <v>184</v>
      </c>
      <c r="AM685" t="s">
        <v>185</v>
      </c>
      <c r="AN685" t="s">
        <v>186</v>
      </c>
      <c r="AO685" t="s">
        <v>12340</v>
      </c>
      <c r="AP685" t="s">
        <v>12341</v>
      </c>
      <c r="AQ685" t="s">
        <v>74</v>
      </c>
      <c r="AR685" t="s">
        <v>12342</v>
      </c>
      <c r="AS685" t="s">
        <v>12343</v>
      </c>
      <c r="AT685" t="s">
        <v>12322</v>
      </c>
      <c r="AU685">
        <v>2023</v>
      </c>
      <c r="AV685">
        <v>19</v>
      </c>
      <c r="AW685">
        <v>2</v>
      </c>
      <c r="AX685" t="s">
        <v>74</v>
      </c>
      <c r="AY685" t="s">
        <v>74</v>
      </c>
      <c r="AZ685" t="s">
        <v>74</v>
      </c>
      <c r="BA685" t="s">
        <v>74</v>
      </c>
      <c r="BB685" t="s">
        <v>74</v>
      </c>
      <c r="BC685" t="s">
        <v>74</v>
      </c>
      <c r="BD685">
        <v>2228669</v>
      </c>
      <c r="BE685" t="s">
        <v>12344</v>
      </c>
      <c r="BF685" t="str">
        <f>HYPERLINK("http://dx.doi.org/10.1080/21645515.2023.2228669","http://dx.doi.org/10.1080/21645515.2023.2228669")</f>
        <v>http://dx.doi.org/10.1080/21645515.2023.2228669</v>
      </c>
      <c r="BG685" t="s">
        <v>74</v>
      </c>
      <c r="BH685" t="s">
        <v>74</v>
      </c>
      <c r="BI685">
        <v>7</v>
      </c>
      <c r="BJ685" t="s">
        <v>12345</v>
      </c>
      <c r="BK685" t="s">
        <v>102</v>
      </c>
      <c r="BL685" t="s">
        <v>12345</v>
      </c>
      <c r="BM685" t="s">
        <v>12346</v>
      </c>
      <c r="BN685">
        <v>37449650</v>
      </c>
      <c r="BO685" t="s">
        <v>165</v>
      </c>
      <c r="BP685" t="s">
        <v>74</v>
      </c>
      <c r="BQ685" t="s">
        <v>74</v>
      </c>
      <c r="BR685" t="s">
        <v>105</v>
      </c>
      <c r="BS685" t="s">
        <v>12347</v>
      </c>
      <c r="BT685" t="str">
        <f>HYPERLINK("https%3A%2F%2Fwww.webofscience.com%2Fwos%2Fwoscc%2Ffull-record%2FWOS:001025147800001","View Full Record in Web of Science")</f>
        <v>View Full Record in Web of Science</v>
      </c>
    </row>
    <row r="686" spans="1:72" x14ac:dyDescent="0.15">
      <c r="A686" t="s">
        <v>72</v>
      </c>
      <c r="B686" t="s">
        <v>12348</v>
      </c>
      <c r="C686" t="s">
        <v>74</v>
      </c>
      <c r="D686" t="s">
        <v>74</v>
      </c>
      <c r="E686" t="s">
        <v>74</v>
      </c>
      <c r="F686" t="s">
        <v>12349</v>
      </c>
      <c r="G686" t="s">
        <v>74</v>
      </c>
      <c r="H686" t="s">
        <v>74</v>
      </c>
      <c r="I686" t="s">
        <v>12350</v>
      </c>
      <c r="J686" t="s">
        <v>12329</v>
      </c>
      <c r="K686" t="s">
        <v>74</v>
      </c>
      <c r="L686" t="s">
        <v>74</v>
      </c>
      <c r="M686" t="s">
        <v>78</v>
      </c>
      <c r="N686" t="s">
        <v>79</v>
      </c>
      <c r="O686" t="s">
        <v>74</v>
      </c>
      <c r="P686" t="s">
        <v>74</v>
      </c>
      <c r="Q686" t="s">
        <v>74</v>
      </c>
      <c r="R686" t="s">
        <v>74</v>
      </c>
      <c r="S686" t="s">
        <v>74</v>
      </c>
      <c r="T686" t="s">
        <v>12351</v>
      </c>
      <c r="U686" t="s">
        <v>12352</v>
      </c>
      <c r="V686" t="s">
        <v>12353</v>
      </c>
      <c r="W686" t="s">
        <v>12354</v>
      </c>
      <c r="X686" t="s">
        <v>12355</v>
      </c>
      <c r="Y686" t="s">
        <v>12356</v>
      </c>
      <c r="Z686" t="s">
        <v>12357</v>
      </c>
      <c r="AA686" t="s">
        <v>74</v>
      </c>
      <c r="AB686" t="s">
        <v>12358</v>
      </c>
      <c r="AC686" t="s">
        <v>12359</v>
      </c>
      <c r="AD686" t="s">
        <v>12360</v>
      </c>
      <c r="AE686" t="s">
        <v>12361</v>
      </c>
      <c r="AF686" t="s">
        <v>74</v>
      </c>
      <c r="AG686">
        <v>34</v>
      </c>
      <c r="AH686">
        <v>0</v>
      </c>
      <c r="AI686">
        <v>0</v>
      </c>
      <c r="AJ686">
        <v>1</v>
      </c>
      <c r="AK686">
        <v>1</v>
      </c>
      <c r="AL686" t="s">
        <v>184</v>
      </c>
      <c r="AM686" t="s">
        <v>185</v>
      </c>
      <c r="AN686" t="s">
        <v>186</v>
      </c>
      <c r="AO686" t="s">
        <v>12340</v>
      </c>
      <c r="AP686" t="s">
        <v>12341</v>
      </c>
      <c r="AQ686" t="s">
        <v>74</v>
      </c>
      <c r="AR686" t="s">
        <v>12342</v>
      </c>
      <c r="AS686" t="s">
        <v>12343</v>
      </c>
      <c r="AT686" t="s">
        <v>12322</v>
      </c>
      <c r="AU686">
        <v>2023</v>
      </c>
      <c r="AV686">
        <v>19</v>
      </c>
      <c r="AW686">
        <v>2</v>
      </c>
      <c r="AX686" t="s">
        <v>74</v>
      </c>
      <c r="AY686" t="s">
        <v>74</v>
      </c>
      <c r="AZ686" t="s">
        <v>74</v>
      </c>
      <c r="BA686" t="s">
        <v>74</v>
      </c>
      <c r="BB686" t="s">
        <v>74</v>
      </c>
      <c r="BC686" t="s">
        <v>74</v>
      </c>
      <c r="BD686">
        <v>2232706</v>
      </c>
      <c r="BE686" t="s">
        <v>12362</v>
      </c>
      <c r="BF686" t="str">
        <f>HYPERLINK("http://dx.doi.org/10.1080/21645515.2023.2232706","http://dx.doi.org/10.1080/21645515.2023.2232706")</f>
        <v>http://dx.doi.org/10.1080/21645515.2023.2232706</v>
      </c>
      <c r="BG686" t="s">
        <v>74</v>
      </c>
      <c r="BH686" t="s">
        <v>74</v>
      </c>
      <c r="BI686">
        <v>7</v>
      </c>
      <c r="BJ686" t="s">
        <v>12345</v>
      </c>
      <c r="BK686" t="s">
        <v>102</v>
      </c>
      <c r="BL686" t="s">
        <v>12345</v>
      </c>
      <c r="BM686" t="s">
        <v>12363</v>
      </c>
      <c r="BN686">
        <v>37529922</v>
      </c>
      <c r="BO686" t="s">
        <v>104</v>
      </c>
      <c r="BP686" t="s">
        <v>74</v>
      </c>
      <c r="BQ686" t="s">
        <v>74</v>
      </c>
      <c r="BR686" t="s">
        <v>105</v>
      </c>
      <c r="BS686" t="s">
        <v>12364</v>
      </c>
      <c r="BT686" t="str">
        <f>HYPERLINK("https%3A%2F%2Fwww.webofscience.com%2Fwos%2Fwoscc%2Ffull-record%2FWOS:001041333400001","View Full Record in Web of Science")</f>
        <v>View Full Record in Web of Science</v>
      </c>
    </row>
    <row r="687" spans="1:72" x14ac:dyDescent="0.15">
      <c r="A687" t="s">
        <v>72</v>
      </c>
      <c r="B687" t="s">
        <v>12365</v>
      </c>
      <c r="C687" t="s">
        <v>74</v>
      </c>
      <c r="D687" t="s">
        <v>74</v>
      </c>
      <c r="E687" t="s">
        <v>74</v>
      </c>
      <c r="F687" t="s">
        <v>12366</v>
      </c>
      <c r="G687" t="s">
        <v>74</v>
      </c>
      <c r="H687" t="s">
        <v>74</v>
      </c>
      <c r="I687" t="s">
        <v>12367</v>
      </c>
      <c r="J687" t="s">
        <v>12329</v>
      </c>
      <c r="K687" t="s">
        <v>74</v>
      </c>
      <c r="L687" t="s">
        <v>74</v>
      </c>
      <c r="M687" t="s">
        <v>78</v>
      </c>
      <c r="N687" t="s">
        <v>79</v>
      </c>
      <c r="O687" t="s">
        <v>74</v>
      </c>
      <c r="P687" t="s">
        <v>74</v>
      </c>
      <c r="Q687" t="s">
        <v>74</v>
      </c>
      <c r="R687" t="s">
        <v>74</v>
      </c>
      <c r="S687" t="s">
        <v>74</v>
      </c>
      <c r="T687" t="s">
        <v>12368</v>
      </c>
      <c r="U687" t="s">
        <v>74</v>
      </c>
      <c r="V687" t="s">
        <v>12369</v>
      </c>
      <c r="W687" t="s">
        <v>12370</v>
      </c>
      <c r="X687" t="s">
        <v>12371</v>
      </c>
      <c r="Y687" t="s">
        <v>12372</v>
      </c>
      <c r="Z687" t="s">
        <v>12373</v>
      </c>
      <c r="AA687" t="s">
        <v>12374</v>
      </c>
      <c r="AB687" t="s">
        <v>12375</v>
      </c>
      <c r="AC687" t="s">
        <v>12376</v>
      </c>
      <c r="AD687" t="s">
        <v>12376</v>
      </c>
      <c r="AE687" t="s">
        <v>12377</v>
      </c>
      <c r="AF687" t="s">
        <v>74</v>
      </c>
      <c r="AG687">
        <v>30</v>
      </c>
      <c r="AH687">
        <v>0</v>
      </c>
      <c r="AI687">
        <v>0</v>
      </c>
      <c r="AJ687">
        <v>0</v>
      </c>
      <c r="AK687">
        <v>0</v>
      </c>
      <c r="AL687" t="s">
        <v>184</v>
      </c>
      <c r="AM687" t="s">
        <v>185</v>
      </c>
      <c r="AN687" t="s">
        <v>186</v>
      </c>
      <c r="AO687" t="s">
        <v>12340</v>
      </c>
      <c r="AP687" t="s">
        <v>12341</v>
      </c>
      <c r="AQ687" t="s">
        <v>74</v>
      </c>
      <c r="AR687" t="s">
        <v>12342</v>
      </c>
      <c r="AS687" t="s">
        <v>12343</v>
      </c>
      <c r="AT687" t="s">
        <v>12322</v>
      </c>
      <c r="AU687">
        <v>2023</v>
      </c>
      <c r="AV687">
        <v>19</v>
      </c>
      <c r="AW687">
        <v>2</v>
      </c>
      <c r="AX687" t="s">
        <v>74</v>
      </c>
      <c r="AY687" t="s">
        <v>74</v>
      </c>
      <c r="AZ687" t="s">
        <v>74</v>
      </c>
      <c r="BA687" t="s">
        <v>74</v>
      </c>
      <c r="BB687" t="s">
        <v>74</v>
      </c>
      <c r="BC687" t="s">
        <v>74</v>
      </c>
      <c r="BD687">
        <v>2233400</v>
      </c>
      <c r="BE687" t="s">
        <v>12378</v>
      </c>
      <c r="BF687" t="str">
        <f>HYPERLINK("http://dx.doi.org/10.1080/21645515.2023.2233400","http://dx.doi.org/10.1080/21645515.2023.2233400")</f>
        <v>http://dx.doi.org/10.1080/21645515.2023.2233400</v>
      </c>
      <c r="BG687" t="s">
        <v>74</v>
      </c>
      <c r="BH687" t="s">
        <v>74</v>
      </c>
      <c r="BI687">
        <v>12</v>
      </c>
      <c r="BJ687" t="s">
        <v>12345</v>
      </c>
      <c r="BK687" t="s">
        <v>102</v>
      </c>
      <c r="BL687" t="s">
        <v>12345</v>
      </c>
      <c r="BM687" t="s">
        <v>12379</v>
      </c>
      <c r="BN687">
        <v>37438960</v>
      </c>
      <c r="BO687" t="s">
        <v>1474</v>
      </c>
      <c r="BP687" t="s">
        <v>74</v>
      </c>
      <c r="BQ687" t="s">
        <v>74</v>
      </c>
      <c r="BR687" t="s">
        <v>105</v>
      </c>
      <c r="BS687" t="s">
        <v>12380</v>
      </c>
      <c r="BT687" t="str">
        <f>HYPERLINK("https%3A%2F%2Fwww.webofscience.com%2Fwos%2Fwoscc%2Ffull-record%2FWOS:001024489800001","View Full Record in Web of Science")</f>
        <v>View Full Record in Web of Science</v>
      </c>
    </row>
    <row r="688" spans="1:72" x14ac:dyDescent="0.15">
      <c r="A688" t="s">
        <v>72</v>
      </c>
      <c r="B688" t="s">
        <v>12381</v>
      </c>
      <c r="C688" t="s">
        <v>74</v>
      </c>
      <c r="D688" t="s">
        <v>74</v>
      </c>
      <c r="E688" t="s">
        <v>74</v>
      </c>
      <c r="F688" t="s">
        <v>12382</v>
      </c>
      <c r="G688" t="s">
        <v>74</v>
      </c>
      <c r="H688" t="s">
        <v>74</v>
      </c>
      <c r="I688" t="s">
        <v>12383</v>
      </c>
      <c r="J688" t="s">
        <v>9925</v>
      </c>
      <c r="K688" t="s">
        <v>74</v>
      </c>
      <c r="L688" t="s">
        <v>74</v>
      </c>
      <c r="M688" t="s">
        <v>78</v>
      </c>
      <c r="N688" t="s">
        <v>5492</v>
      </c>
      <c r="O688" t="s">
        <v>74</v>
      </c>
      <c r="P688" t="s">
        <v>74</v>
      </c>
      <c r="Q688" t="s">
        <v>74</v>
      </c>
      <c r="R688" t="s">
        <v>74</v>
      </c>
      <c r="S688" t="s">
        <v>74</v>
      </c>
      <c r="T688" t="s">
        <v>12384</v>
      </c>
      <c r="U688" t="s">
        <v>12385</v>
      </c>
      <c r="V688" t="s">
        <v>12386</v>
      </c>
      <c r="W688" t="s">
        <v>12387</v>
      </c>
      <c r="X688" t="s">
        <v>12388</v>
      </c>
      <c r="Y688" t="s">
        <v>12389</v>
      </c>
      <c r="Z688" t="s">
        <v>12390</v>
      </c>
      <c r="AA688" t="s">
        <v>12391</v>
      </c>
      <c r="AB688" t="s">
        <v>12392</v>
      </c>
      <c r="AC688" t="s">
        <v>74</v>
      </c>
      <c r="AD688" t="s">
        <v>74</v>
      </c>
      <c r="AE688" t="s">
        <v>74</v>
      </c>
      <c r="AF688" t="s">
        <v>74</v>
      </c>
      <c r="AG688">
        <v>88</v>
      </c>
      <c r="AH688">
        <v>1</v>
      </c>
      <c r="AI688">
        <v>1</v>
      </c>
      <c r="AJ688">
        <v>43</v>
      </c>
      <c r="AK688">
        <v>43</v>
      </c>
      <c r="AL688" t="s">
        <v>92</v>
      </c>
      <c r="AM688" t="s">
        <v>93</v>
      </c>
      <c r="AN688" t="s">
        <v>94</v>
      </c>
      <c r="AO688" t="s">
        <v>9927</v>
      </c>
      <c r="AP688" t="s">
        <v>9928</v>
      </c>
      <c r="AQ688" t="s">
        <v>74</v>
      </c>
      <c r="AR688" t="s">
        <v>9929</v>
      </c>
      <c r="AS688" t="s">
        <v>9930</v>
      </c>
      <c r="AT688" t="s">
        <v>12393</v>
      </c>
      <c r="AU688">
        <v>2023</v>
      </c>
      <c r="AV688" t="s">
        <v>74</v>
      </c>
      <c r="AW688" t="s">
        <v>74</v>
      </c>
      <c r="AX688" t="s">
        <v>74</v>
      </c>
      <c r="AY688" t="s">
        <v>74</v>
      </c>
      <c r="AZ688" t="s">
        <v>74</v>
      </c>
      <c r="BA688" t="s">
        <v>74</v>
      </c>
      <c r="BB688" t="s">
        <v>74</v>
      </c>
      <c r="BC688" t="s">
        <v>74</v>
      </c>
      <c r="BD688" t="s">
        <v>74</v>
      </c>
      <c r="BE688" t="s">
        <v>12394</v>
      </c>
      <c r="BF688" t="str">
        <f>HYPERLINK("http://dx.doi.org/10.1080/00207543.2023.2240900","http://dx.doi.org/10.1080/00207543.2023.2240900")</f>
        <v>http://dx.doi.org/10.1080/00207543.2023.2240900</v>
      </c>
      <c r="BG688" t="s">
        <v>74</v>
      </c>
      <c r="BH688" t="s">
        <v>8608</v>
      </c>
      <c r="BI688">
        <v>13</v>
      </c>
      <c r="BJ688" t="s">
        <v>7565</v>
      </c>
      <c r="BK688" t="s">
        <v>102</v>
      </c>
      <c r="BL688" t="s">
        <v>332</v>
      </c>
      <c r="BM688" t="s">
        <v>12395</v>
      </c>
      <c r="BN688" t="s">
        <v>74</v>
      </c>
      <c r="BO688" t="s">
        <v>5391</v>
      </c>
      <c r="BP688" t="s">
        <v>74</v>
      </c>
      <c r="BQ688" t="s">
        <v>74</v>
      </c>
      <c r="BR688" t="s">
        <v>105</v>
      </c>
      <c r="BS688" t="s">
        <v>12396</v>
      </c>
      <c r="BT688" t="str">
        <f>HYPERLINK("https%3A%2F%2Fwww.webofscience.com%2Fwos%2Fwoscc%2Ffull-record%2FWOS:001038072500001","View Full Record in Web of Science")</f>
        <v>View Full Record in Web of Science</v>
      </c>
    </row>
    <row r="689" spans="1:72" x14ac:dyDescent="0.15">
      <c r="A689" t="s">
        <v>72</v>
      </c>
      <c r="B689" t="s">
        <v>12397</v>
      </c>
      <c r="C689" t="s">
        <v>74</v>
      </c>
      <c r="D689" t="s">
        <v>74</v>
      </c>
      <c r="E689" t="s">
        <v>74</v>
      </c>
      <c r="F689" t="s">
        <v>12398</v>
      </c>
      <c r="G689" t="s">
        <v>74</v>
      </c>
      <c r="H689" t="s">
        <v>74</v>
      </c>
      <c r="I689" t="s">
        <v>12399</v>
      </c>
      <c r="J689" t="s">
        <v>12329</v>
      </c>
      <c r="K689" t="s">
        <v>74</v>
      </c>
      <c r="L689" t="s">
        <v>74</v>
      </c>
      <c r="M689" t="s">
        <v>78</v>
      </c>
      <c r="N689" t="s">
        <v>2650</v>
      </c>
      <c r="O689" t="s">
        <v>74</v>
      </c>
      <c r="P689" t="s">
        <v>74</v>
      </c>
      <c r="Q689" t="s">
        <v>74</v>
      </c>
      <c r="R689" t="s">
        <v>74</v>
      </c>
      <c r="S689" t="s">
        <v>74</v>
      </c>
      <c r="T689" t="s">
        <v>74</v>
      </c>
      <c r="U689" t="s">
        <v>74</v>
      </c>
      <c r="V689" t="s">
        <v>74</v>
      </c>
      <c r="W689" t="s">
        <v>12400</v>
      </c>
      <c r="X689" t="s">
        <v>12401</v>
      </c>
      <c r="Y689" t="s">
        <v>12402</v>
      </c>
      <c r="Z689" t="s">
        <v>12403</v>
      </c>
      <c r="AA689" t="s">
        <v>74</v>
      </c>
      <c r="AB689" t="s">
        <v>74</v>
      </c>
      <c r="AC689" t="s">
        <v>74</v>
      </c>
      <c r="AD689" t="s">
        <v>74</v>
      </c>
      <c r="AE689" t="s">
        <v>74</v>
      </c>
      <c r="AF689" t="s">
        <v>74</v>
      </c>
      <c r="AG689">
        <v>1</v>
      </c>
      <c r="AH689">
        <v>0</v>
      </c>
      <c r="AI689">
        <v>0</v>
      </c>
      <c r="AJ689">
        <v>0</v>
      </c>
      <c r="AK689">
        <v>0</v>
      </c>
      <c r="AL689" t="s">
        <v>184</v>
      </c>
      <c r="AM689" t="s">
        <v>185</v>
      </c>
      <c r="AN689" t="s">
        <v>186</v>
      </c>
      <c r="AO689" t="s">
        <v>12340</v>
      </c>
      <c r="AP689" t="s">
        <v>12341</v>
      </c>
      <c r="AQ689" t="s">
        <v>74</v>
      </c>
      <c r="AR689" t="s">
        <v>12342</v>
      </c>
      <c r="AS689" t="s">
        <v>12343</v>
      </c>
      <c r="AT689" t="s">
        <v>12322</v>
      </c>
      <c r="AU689">
        <v>2023</v>
      </c>
      <c r="AV689">
        <v>19</v>
      </c>
      <c r="AW689">
        <v>2</v>
      </c>
      <c r="AX689" t="s">
        <v>74</v>
      </c>
      <c r="AY689" t="s">
        <v>74</v>
      </c>
      <c r="AZ689" t="s">
        <v>74</v>
      </c>
      <c r="BA689" t="s">
        <v>74</v>
      </c>
      <c r="BB689" t="s">
        <v>74</v>
      </c>
      <c r="BC689" t="s">
        <v>74</v>
      </c>
      <c r="BD689">
        <v>2234215</v>
      </c>
      <c r="BE689" t="s">
        <v>12404</v>
      </c>
      <c r="BF689" t="str">
        <f>HYPERLINK("http://dx.doi.org/10.1080/21645515.2023.2234215","http://dx.doi.org/10.1080/21645515.2023.2234215")</f>
        <v>http://dx.doi.org/10.1080/21645515.2023.2234215</v>
      </c>
      <c r="BG689" t="s">
        <v>74</v>
      </c>
      <c r="BH689" t="s">
        <v>74</v>
      </c>
      <c r="BI689">
        <v>2</v>
      </c>
      <c r="BJ689" t="s">
        <v>12345</v>
      </c>
      <c r="BK689" t="s">
        <v>102</v>
      </c>
      <c r="BL689" t="s">
        <v>12345</v>
      </c>
      <c r="BM689" t="s">
        <v>12405</v>
      </c>
      <c r="BN689">
        <v>37433008</v>
      </c>
      <c r="BO689" t="s">
        <v>165</v>
      </c>
      <c r="BP689" t="s">
        <v>74</v>
      </c>
      <c r="BQ689" t="s">
        <v>74</v>
      </c>
      <c r="BR689" t="s">
        <v>105</v>
      </c>
      <c r="BS689" t="s">
        <v>12406</v>
      </c>
      <c r="BT689" t="str">
        <f>HYPERLINK("https%3A%2F%2Fwww.webofscience.com%2Fwos%2Fwoscc%2Ffull-record%2FWOS:001027458200001","View Full Record in Web of Science")</f>
        <v>View Full Record in Web of Science</v>
      </c>
    </row>
    <row r="690" spans="1:72" x14ac:dyDescent="0.15">
      <c r="A690" t="s">
        <v>72</v>
      </c>
      <c r="B690" t="s">
        <v>12407</v>
      </c>
      <c r="C690" t="s">
        <v>74</v>
      </c>
      <c r="D690" t="s">
        <v>74</v>
      </c>
      <c r="E690" t="s">
        <v>74</v>
      </c>
      <c r="F690" t="s">
        <v>12408</v>
      </c>
      <c r="G690" t="s">
        <v>74</v>
      </c>
      <c r="H690" t="s">
        <v>74</v>
      </c>
      <c r="I690" t="s">
        <v>12409</v>
      </c>
      <c r="J690" t="s">
        <v>12329</v>
      </c>
      <c r="K690" t="s">
        <v>74</v>
      </c>
      <c r="L690" t="s">
        <v>74</v>
      </c>
      <c r="M690" t="s">
        <v>78</v>
      </c>
      <c r="N690" t="s">
        <v>79</v>
      </c>
      <c r="O690" t="s">
        <v>74</v>
      </c>
      <c r="P690" t="s">
        <v>74</v>
      </c>
      <c r="Q690" t="s">
        <v>74</v>
      </c>
      <c r="R690" t="s">
        <v>74</v>
      </c>
      <c r="S690" t="s">
        <v>74</v>
      </c>
      <c r="T690" t="s">
        <v>12410</v>
      </c>
      <c r="U690" t="s">
        <v>12411</v>
      </c>
      <c r="V690" t="s">
        <v>12412</v>
      </c>
      <c r="W690" t="s">
        <v>12413</v>
      </c>
      <c r="X690" t="s">
        <v>12414</v>
      </c>
      <c r="Y690" t="s">
        <v>12415</v>
      </c>
      <c r="Z690" t="s">
        <v>12416</v>
      </c>
      <c r="AA690" t="s">
        <v>12417</v>
      </c>
      <c r="AB690" t="s">
        <v>12418</v>
      </c>
      <c r="AC690" t="s">
        <v>12419</v>
      </c>
      <c r="AD690" t="s">
        <v>12420</v>
      </c>
      <c r="AE690" t="s">
        <v>12421</v>
      </c>
      <c r="AF690" t="s">
        <v>74</v>
      </c>
      <c r="AG690">
        <v>72</v>
      </c>
      <c r="AH690">
        <v>1</v>
      </c>
      <c r="AI690">
        <v>1</v>
      </c>
      <c r="AJ690">
        <v>0</v>
      </c>
      <c r="AK690">
        <v>0</v>
      </c>
      <c r="AL690" t="s">
        <v>184</v>
      </c>
      <c r="AM690" t="s">
        <v>185</v>
      </c>
      <c r="AN690" t="s">
        <v>186</v>
      </c>
      <c r="AO690" t="s">
        <v>12340</v>
      </c>
      <c r="AP690" t="s">
        <v>12341</v>
      </c>
      <c r="AQ690" t="s">
        <v>74</v>
      </c>
      <c r="AR690" t="s">
        <v>12342</v>
      </c>
      <c r="AS690" t="s">
        <v>12343</v>
      </c>
      <c r="AT690" t="s">
        <v>12322</v>
      </c>
      <c r="AU690">
        <v>2023</v>
      </c>
      <c r="AV690">
        <v>19</v>
      </c>
      <c r="AW690">
        <v>2</v>
      </c>
      <c r="AX690" t="s">
        <v>74</v>
      </c>
      <c r="AY690" t="s">
        <v>74</v>
      </c>
      <c r="AZ690" t="s">
        <v>74</v>
      </c>
      <c r="BA690" t="s">
        <v>74</v>
      </c>
      <c r="BB690" t="s">
        <v>74</v>
      </c>
      <c r="BC690" t="s">
        <v>74</v>
      </c>
      <c r="BD690">
        <v>2242748</v>
      </c>
      <c r="BE690" t="s">
        <v>12422</v>
      </c>
      <c r="BF690" t="str">
        <f>HYPERLINK("http://dx.doi.org/10.1080/21645515.2023.2242748","http://dx.doi.org/10.1080/21645515.2023.2242748")</f>
        <v>http://dx.doi.org/10.1080/21645515.2023.2242748</v>
      </c>
      <c r="BG690" t="s">
        <v>74</v>
      </c>
      <c r="BH690" t="s">
        <v>74</v>
      </c>
      <c r="BI690">
        <v>12</v>
      </c>
      <c r="BJ690" t="s">
        <v>12345</v>
      </c>
      <c r="BK690" t="s">
        <v>102</v>
      </c>
      <c r="BL690" t="s">
        <v>12345</v>
      </c>
      <c r="BM690" t="s">
        <v>12423</v>
      </c>
      <c r="BN690">
        <v>37581343</v>
      </c>
      <c r="BO690" t="s">
        <v>1927</v>
      </c>
      <c r="BP690" t="s">
        <v>74</v>
      </c>
      <c r="BQ690" t="s">
        <v>74</v>
      </c>
      <c r="BR690" t="s">
        <v>105</v>
      </c>
      <c r="BS690" t="s">
        <v>12424</v>
      </c>
      <c r="BT690" t="str">
        <f>HYPERLINK("https%3A%2F%2Fwww.webofscience.com%2Fwos%2Fwoscc%2Ffull-record%2FWOS:001048178500001","View Full Record in Web of Science")</f>
        <v>View Full Record in Web of Science</v>
      </c>
    </row>
    <row r="691" spans="1:72" x14ac:dyDescent="0.15">
      <c r="A691" t="s">
        <v>72</v>
      </c>
      <c r="B691" t="s">
        <v>12425</v>
      </c>
      <c r="C691" t="s">
        <v>74</v>
      </c>
      <c r="D691" t="s">
        <v>74</v>
      </c>
      <c r="E691" t="s">
        <v>74</v>
      </c>
      <c r="F691" t="s">
        <v>12426</v>
      </c>
      <c r="G691" t="s">
        <v>74</v>
      </c>
      <c r="H691" t="s">
        <v>74</v>
      </c>
      <c r="I691" t="s">
        <v>12427</v>
      </c>
      <c r="J691" t="s">
        <v>12329</v>
      </c>
      <c r="K691" t="s">
        <v>74</v>
      </c>
      <c r="L691" t="s">
        <v>74</v>
      </c>
      <c r="M691" t="s">
        <v>78</v>
      </c>
      <c r="N691" t="s">
        <v>79</v>
      </c>
      <c r="O691" t="s">
        <v>74</v>
      </c>
      <c r="P691" t="s">
        <v>74</v>
      </c>
      <c r="Q691" t="s">
        <v>74</v>
      </c>
      <c r="R691" t="s">
        <v>74</v>
      </c>
      <c r="S691" t="s">
        <v>74</v>
      </c>
      <c r="T691" t="s">
        <v>12428</v>
      </c>
      <c r="U691" t="s">
        <v>12429</v>
      </c>
      <c r="V691" t="s">
        <v>12430</v>
      </c>
      <c r="W691" t="s">
        <v>12431</v>
      </c>
      <c r="X691" t="s">
        <v>12432</v>
      </c>
      <c r="Y691" t="s">
        <v>12433</v>
      </c>
      <c r="Z691" t="s">
        <v>12434</v>
      </c>
      <c r="AA691" t="s">
        <v>74</v>
      </c>
      <c r="AB691" t="s">
        <v>74</v>
      </c>
      <c r="AC691" t="s">
        <v>12435</v>
      </c>
      <c r="AD691" t="s">
        <v>12435</v>
      </c>
      <c r="AE691" t="s">
        <v>12436</v>
      </c>
      <c r="AF691" t="s">
        <v>74</v>
      </c>
      <c r="AG691">
        <v>48</v>
      </c>
      <c r="AH691">
        <v>0</v>
      </c>
      <c r="AI691">
        <v>0</v>
      </c>
      <c r="AJ691">
        <v>3</v>
      </c>
      <c r="AK691">
        <v>3</v>
      </c>
      <c r="AL691" t="s">
        <v>184</v>
      </c>
      <c r="AM691" t="s">
        <v>185</v>
      </c>
      <c r="AN691" t="s">
        <v>186</v>
      </c>
      <c r="AO691" t="s">
        <v>12340</v>
      </c>
      <c r="AP691" t="s">
        <v>12341</v>
      </c>
      <c r="AQ691" t="s">
        <v>74</v>
      </c>
      <c r="AR691" t="s">
        <v>12342</v>
      </c>
      <c r="AS691" t="s">
        <v>12343</v>
      </c>
      <c r="AT691" t="s">
        <v>12322</v>
      </c>
      <c r="AU691">
        <v>2023</v>
      </c>
      <c r="AV691">
        <v>19</v>
      </c>
      <c r="AW691">
        <v>2</v>
      </c>
      <c r="AX691" t="s">
        <v>74</v>
      </c>
      <c r="AY691" t="s">
        <v>74</v>
      </c>
      <c r="AZ691" t="s">
        <v>74</v>
      </c>
      <c r="BA691" t="s">
        <v>74</v>
      </c>
      <c r="BB691" t="s">
        <v>74</v>
      </c>
      <c r="BC691" t="s">
        <v>74</v>
      </c>
      <c r="BD691">
        <v>2219185</v>
      </c>
      <c r="BE691" t="s">
        <v>12437</v>
      </c>
      <c r="BF691" t="str">
        <f>HYPERLINK("http://dx.doi.org/10.1080/21645515.2023.2219185","http://dx.doi.org/10.1080/21645515.2023.2219185")</f>
        <v>http://dx.doi.org/10.1080/21645515.2023.2219185</v>
      </c>
      <c r="BG691" t="s">
        <v>74</v>
      </c>
      <c r="BH691" t="s">
        <v>74</v>
      </c>
      <c r="BI691">
        <v>11</v>
      </c>
      <c r="BJ691" t="s">
        <v>12345</v>
      </c>
      <c r="BK691" t="s">
        <v>102</v>
      </c>
      <c r="BL691" t="s">
        <v>12345</v>
      </c>
      <c r="BM691" t="s">
        <v>12438</v>
      </c>
      <c r="BN691">
        <v>37340826</v>
      </c>
      <c r="BO691" t="s">
        <v>104</v>
      </c>
      <c r="BP691" t="s">
        <v>74</v>
      </c>
      <c r="BQ691" t="s">
        <v>74</v>
      </c>
      <c r="BR691" t="s">
        <v>105</v>
      </c>
      <c r="BS691" t="s">
        <v>12439</v>
      </c>
      <c r="BT691" t="str">
        <f>HYPERLINK("https%3A%2F%2Fwww.webofscience.com%2Fwos%2Fwoscc%2Ffull-record%2FWOS:001012329000001","View Full Record in Web of Science")</f>
        <v>View Full Record in Web of Science</v>
      </c>
    </row>
    <row r="692" spans="1:72" x14ac:dyDescent="0.15">
      <c r="A692" t="s">
        <v>72</v>
      </c>
      <c r="B692" t="s">
        <v>12440</v>
      </c>
      <c r="C692" t="s">
        <v>74</v>
      </c>
      <c r="D692" t="s">
        <v>74</v>
      </c>
      <c r="E692" t="s">
        <v>74</v>
      </c>
      <c r="F692" t="s">
        <v>12441</v>
      </c>
      <c r="G692" t="s">
        <v>74</v>
      </c>
      <c r="H692" t="s">
        <v>74</v>
      </c>
      <c r="I692" t="s">
        <v>12442</v>
      </c>
      <c r="J692" t="s">
        <v>10066</v>
      </c>
      <c r="K692" t="s">
        <v>74</v>
      </c>
      <c r="L692" t="s">
        <v>74</v>
      </c>
      <c r="M692" t="s">
        <v>78</v>
      </c>
      <c r="N692" t="s">
        <v>5492</v>
      </c>
      <c r="O692" t="s">
        <v>74</v>
      </c>
      <c r="P692" t="s">
        <v>74</v>
      </c>
      <c r="Q692" t="s">
        <v>74</v>
      </c>
      <c r="R692" t="s">
        <v>74</v>
      </c>
      <c r="S692" t="s">
        <v>74</v>
      </c>
      <c r="T692" t="s">
        <v>74</v>
      </c>
      <c r="U692" t="s">
        <v>12443</v>
      </c>
      <c r="V692" t="s">
        <v>12444</v>
      </c>
      <c r="W692" t="s">
        <v>12445</v>
      </c>
      <c r="X692" t="s">
        <v>12446</v>
      </c>
      <c r="Y692" t="s">
        <v>12447</v>
      </c>
      <c r="Z692" t="s">
        <v>12448</v>
      </c>
      <c r="AA692" t="s">
        <v>12449</v>
      </c>
      <c r="AB692" t="s">
        <v>12450</v>
      </c>
      <c r="AC692" t="s">
        <v>12451</v>
      </c>
      <c r="AD692" t="s">
        <v>12451</v>
      </c>
      <c r="AE692" t="s">
        <v>12452</v>
      </c>
      <c r="AF692" t="s">
        <v>74</v>
      </c>
      <c r="AG692">
        <v>29</v>
      </c>
      <c r="AH692">
        <v>0</v>
      </c>
      <c r="AI692">
        <v>0</v>
      </c>
      <c r="AJ692">
        <v>0</v>
      </c>
      <c r="AK692">
        <v>0</v>
      </c>
      <c r="AL692" t="s">
        <v>184</v>
      </c>
      <c r="AM692" t="s">
        <v>185</v>
      </c>
      <c r="AN692" t="s">
        <v>186</v>
      </c>
      <c r="AO692" t="s">
        <v>10075</v>
      </c>
      <c r="AP692" t="s">
        <v>10076</v>
      </c>
      <c r="AQ692" t="s">
        <v>74</v>
      </c>
      <c r="AR692" t="s">
        <v>10077</v>
      </c>
      <c r="AS692" t="s">
        <v>10078</v>
      </c>
      <c r="AT692" t="s">
        <v>12393</v>
      </c>
      <c r="AU692">
        <v>2023</v>
      </c>
      <c r="AV692" t="s">
        <v>74</v>
      </c>
      <c r="AW692" t="s">
        <v>74</v>
      </c>
      <c r="AX692" t="s">
        <v>74</v>
      </c>
      <c r="AY692" t="s">
        <v>74</v>
      </c>
      <c r="AZ692" t="s">
        <v>74</v>
      </c>
      <c r="BA692" t="s">
        <v>74</v>
      </c>
      <c r="BB692" t="s">
        <v>74</v>
      </c>
      <c r="BC692" t="s">
        <v>74</v>
      </c>
      <c r="BD692" t="s">
        <v>74</v>
      </c>
      <c r="BE692" t="s">
        <v>12453</v>
      </c>
      <c r="BF692" t="str">
        <f>HYPERLINK("http://dx.doi.org/10.1080/01457632.2023.2241176","http://dx.doi.org/10.1080/01457632.2023.2241176")</f>
        <v>http://dx.doi.org/10.1080/01457632.2023.2241176</v>
      </c>
      <c r="BG692" t="s">
        <v>74</v>
      </c>
      <c r="BH692" t="s">
        <v>8608</v>
      </c>
      <c r="BI692">
        <v>17</v>
      </c>
      <c r="BJ692" t="s">
        <v>10080</v>
      </c>
      <c r="BK692" t="s">
        <v>102</v>
      </c>
      <c r="BL692" t="s">
        <v>10081</v>
      </c>
      <c r="BM692" t="s">
        <v>12454</v>
      </c>
      <c r="BN692" t="s">
        <v>74</v>
      </c>
      <c r="BO692" t="s">
        <v>74</v>
      </c>
      <c r="BP692" t="s">
        <v>74</v>
      </c>
      <c r="BQ692" t="s">
        <v>74</v>
      </c>
      <c r="BR692" t="s">
        <v>105</v>
      </c>
      <c r="BS692" t="s">
        <v>12455</v>
      </c>
      <c r="BT692" t="str">
        <f>HYPERLINK("https%3A%2F%2Fwww.webofscience.com%2Fwos%2Fwoscc%2Ffull-record%2FWOS:001060554200001","View Full Record in Web of Science")</f>
        <v>View Full Record in Web of Science</v>
      </c>
    </row>
    <row r="693" spans="1:72" x14ac:dyDescent="0.15">
      <c r="A693" t="s">
        <v>72</v>
      </c>
      <c r="B693" t="s">
        <v>12456</v>
      </c>
      <c r="C693" t="s">
        <v>74</v>
      </c>
      <c r="D693" t="s">
        <v>74</v>
      </c>
      <c r="E693" t="s">
        <v>74</v>
      </c>
      <c r="F693" t="s">
        <v>12457</v>
      </c>
      <c r="G693" t="s">
        <v>74</v>
      </c>
      <c r="H693" t="s">
        <v>74</v>
      </c>
      <c r="I693" t="s">
        <v>12458</v>
      </c>
      <c r="J693" t="s">
        <v>12329</v>
      </c>
      <c r="K693" t="s">
        <v>74</v>
      </c>
      <c r="L693" t="s">
        <v>74</v>
      </c>
      <c r="M693" t="s">
        <v>78</v>
      </c>
      <c r="N693" t="s">
        <v>79</v>
      </c>
      <c r="O693" t="s">
        <v>74</v>
      </c>
      <c r="P693" t="s">
        <v>74</v>
      </c>
      <c r="Q693" t="s">
        <v>74</v>
      </c>
      <c r="R693" t="s">
        <v>74</v>
      </c>
      <c r="S693" t="s">
        <v>74</v>
      </c>
      <c r="T693" t="s">
        <v>12459</v>
      </c>
      <c r="U693" t="s">
        <v>12460</v>
      </c>
      <c r="V693" t="s">
        <v>12461</v>
      </c>
      <c r="W693" t="s">
        <v>12462</v>
      </c>
      <c r="X693" t="s">
        <v>12463</v>
      </c>
      <c r="Y693" t="s">
        <v>12464</v>
      </c>
      <c r="Z693" t="s">
        <v>12465</v>
      </c>
      <c r="AA693" t="s">
        <v>74</v>
      </c>
      <c r="AB693" t="s">
        <v>74</v>
      </c>
      <c r="AC693" t="s">
        <v>74</v>
      </c>
      <c r="AD693" t="s">
        <v>74</v>
      </c>
      <c r="AE693" t="s">
        <v>74</v>
      </c>
      <c r="AF693" t="s">
        <v>74</v>
      </c>
      <c r="AG693">
        <v>29</v>
      </c>
      <c r="AH693">
        <v>0</v>
      </c>
      <c r="AI693">
        <v>0</v>
      </c>
      <c r="AJ693">
        <v>0</v>
      </c>
      <c r="AK693">
        <v>0</v>
      </c>
      <c r="AL693" t="s">
        <v>184</v>
      </c>
      <c r="AM693" t="s">
        <v>185</v>
      </c>
      <c r="AN693" t="s">
        <v>186</v>
      </c>
      <c r="AO693" t="s">
        <v>12340</v>
      </c>
      <c r="AP693" t="s">
        <v>12341</v>
      </c>
      <c r="AQ693" t="s">
        <v>74</v>
      </c>
      <c r="AR693" t="s">
        <v>12342</v>
      </c>
      <c r="AS693" t="s">
        <v>12343</v>
      </c>
      <c r="AT693" t="s">
        <v>12322</v>
      </c>
      <c r="AU693">
        <v>2023</v>
      </c>
      <c r="AV693">
        <v>19</v>
      </c>
      <c r="AW693">
        <v>2</v>
      </c>
      <c r="AX693" t="s">
        <v>74</v>
      </c>
      <c r="AY693" t="s">
        <v>74</v>
      </c>
      <c r="AZ693" t="s">
        <v>74</v>
      </c>
      <c r="BA693" t="s">
        <v>74</v>
      </c>
      <c r="BB693" t="s">
        <v>74</v>
      </c>
      <c r="BC693" t="s">
        <v>74</v>
      </c>
      <c r="BD693">
        <v>2226575</v>
      </c>
      <c r="BE693" t="s">
        <v>12466</v>
      </c>
      <c r="BF693" t="str">
        <f>HYPERLINK("http://dx.doi.org/10.1080/21645515.2023.2226575","http://dx.doi.org/10.1080/21645515.2023.2226575")</f>
        <v>http://dx.doi.org/10.1080/21645515.2023.2226575</v>
      </c>
      <c r="BG693" t="s">
        <v>74</v>
      </c>
      <c r="BH693" t="s">
        <v>74</v>
      </c>
      <c r="BI693">
        <v>8</v>
      </c>
      <c r="BJ693" t="s">
        <v>12345</v>
      </c>
      <c r="BK693" t="s">
        <v>102</v>
      </c>
      <c r="BL693" t="s">
        <v>12345</v>
      </c>
      <c r="BM693" t="s">
        <v>12467</v>
      </c>
      <c r="BN693">
        <v>37357433</v>
      </c>
      <c r="BO693" t="s">
        <v>104</v>
      </c>
      <c r="BP693" t="s">
        <v>74</v>
      </c>
      <c r="BQ693" t="s">
        <v>74</v>
      </c>
      <c r="BR693" t="s">
        <v>105</v>
      </c>
      <c r="BS693" t="s">
        <v>12468</v>
      </c>
      <c r="BT693" t="str">
        <f>HYPERLINK("https%3A%2F%2Fwww.webofscience.com%2Fwos%2Fwoscc%2Ffull-record%2FWOS:001013315000001","View Full Record in Web of Science")</f>
        <v>View Full Record in Web of Science</v>
      </c>
    </row>
    <row r="694" spans="1:72" x14ac:dyDescent="0.15">
      <c r="A694" t="s">
        <v>72</v>
      </c>
      <c r="B694" t="s">
        <v>12469</v>
      </c>
      <c r="C694" t="s">
        <v>74</v>
      </c>
      <c r="D694" t="s">
        <v>74</v>
      </c>
      <c r="E694" t="s">
        <v>74</v>
      </c>
      <c r="F694" t="s">
        <v>12470</v>
      </c>
      <c r="G694" t="s">
        <v>74</v>
      </c>
      <c r="H694" t="s">
        <v>74</v>
      </c>
      <c r="I694" t="s">
        <v>12471</v>
      </c>
      <c r="J694" t="s">
        <v>12472</v>
      </c>
      <c r="K694" t="s">
        <v>74</v>
      </c>
      <c r="L694" t="s">
        <v>74</v>
      </c>
      <c r="M694" t="s">
        <v>78</v>
      </c>
      <c r="N694" t="s">
        <v>5492</v>
      </c>
      <c r="O694" t="s">
        <v>74</v>
      </c>
      <c r="P694" t="s">
        <v>74</v>
      </c>
      <c r="Q694" t="s">
        <v>74</v>
      </c>
      <c r="R694" t="s">
        <v>74</v>
      </c>
      <c r="S694" t="s">
        <v>74</v>
      </c>
      <c r="T694" t="s">
        <v>12473</v>
      </c>
      <c r="U694" t="s">
        <v>12474</v>
      </c>
      <c r="V694" t="s">
        <v>12475</v>
      </c>
      <c r="W694" t="s">
        <v>12476</v>
      </c>
      <c r="X694" t="s">
        <v>12477</v>
      </c>
      <c r="Y694" t="s">
        <v>12478</v>
      </c>
      <c r="Z694" t="s">
        <v>12479</v>
      </c>
      <c r="AA694" t="s">
        <v>12480</v>
      </c>
      <c r="AB694" t="s">
        <v>12481</v>
      </c>
      <c r="AC694" t="s">
        <v>74</v>
      </c>
      <c r="AD694" t="s">
        <v>74</v>
      </c>
      <c r="AE694" t="s">
        <v>74</v>
      </c>
      <c r="AF694" t="s">
        <v>74</v>
      </c>
      <c r="AG694">
        <v>78</v>
      </c>
      <c r="AH694">
        <v>0</v>
      </c>
      <c r="AI694">
        <v>0</v>
      </c>
      <c r="AJ694">
        <v>2</v>
      </c>
      <c r="AK694">
        <v>2</v>
      </c>
      <c r="AL694" t="s">
        <v>92</v>
      </c>
      <c r="AM694" t="s">
        <v>93</v>
      </c>
      <c r="AN694" t="s">
        <v>94</v>
      </c>
      <c r="AO694" t="s">
        <v>12482</v>
      </c>
      <c r="AP694" t="s">
        <v>12483</v>
      </c>
      <c r="AQ694" t="s">
        <v>74</v>
      </c>
      <c r="AR694" t="s">
        <v>12484</v>
      </c>
      <c r="AS694" t="s">
        <v>12485</v>
      </c>
      <c r="AT694" t="s">
        <v>12393</v>
      </c>
      <c r="AU694">
        <v>2023</v>
      </c>
      <c r="AV694" t="s">
        <v>74</v>
      </c>
      <c r="AW694" t="s">
        <v>74</v>
      </c>
      <c r="AX694" t="s">
        <v>74</v>
      </c>
      <c r="AY694" t="s">
        <v>74</v>
      </c>
      <c r="AZ694" t="s">
        <v>74</v>
      </c>
      <c r="BA694" t="s">
        <v>74</v>
      </c>
      <c r="BB694" t="s">
        <v>74</v>
      </c>
      <c r="BC694" t="s">
        <v>74</v>
      </c>
      <c r="BD694" t="s">
        <v>74</v>
      </c>
      <c r="BE694" t="s">
        <v>12486</v>
      </c>
      <c r="BF694" t="str">
        <f>HYPERLINK("http://dx.doi.org/10.1080/07055900.2023.2239194","http://dx.doi.org/10.1080/07055900.2023.2239194")</f>
        <v>http://dx.doi.org/10.1080/07055900.2023.2239194</v>
      </c>
      <c r="BG694" t="s">
        <v>74</v>
      </c>
      <c r="BH694" t="s">
        <v>8608</v>
      </c>
      <c r="BI694">
        <v>17</v>
      </c>
      <c r="BJ694" t="s">
        <v>12487</v>
      </c>
      <c r="BK694" t="s">
        <v>102</v>
      </c>
      <c r="BL694" t="s">
        <v>12487</v>
      </c>
      <c r="BM694" t="s">
        <v>12488</v>
      </c>
      <c r="BN694" t="s">
        <v>74</v>
      </c>
      <c r="BO694" t="s">
        <v>887</v>
      </c>
      <c r="BP694" t="s">
        <v>74</v>
      </c>
      <c r="BQ694" t="s">
        <v>74</v>
      </c>
      <c r="BR694" t="s">
        <v>105</v>
      </c>
      <c r="BS694" t="s">
        <v>12489</v>
      </c>
      <c r="BT694" t="str">
        <f>HYPERLINK("https%3A%2F%2Fwww.webofscience.com%2Fwos%2Fwoscc%2Ffull-record%2FWOS:001040688900001","View Full Record in Web of Science")</f>
        <v>View Full Record in Web of Science</v>
      </c>
    </row>
    <row r="695" spans="1:72" x14ac:dyDescent="0.15">
      <c r="A695" t="s">
        <v>72</v>
      </c>
      <c r="B695" t="s">
        <v>12490</v>
      </c>
      <c r="C695" t="s">
        <v>74</v>
      </c>
      <c r="D695" t="s">
        <v>74</v>
      </c>
      <c r="E695" t="s">
        <v>74</v>
      </c>
      <c r="F695" t="s">
        <v>12491</v>
      </c>
      <c r="G695" t="s">
        <v>74</v>
      </c>
      <c r="H695" t="s">
        <v>74</v>
      </c>
      <c r="I695" t="s">
        <v>12492</v>
      </c>
      <c r="J695" t="s">
        <v>12493</v>
      </c>
      <c r="K695" t="s">
        <v>74</v>
      </c>
      <c r="L695" t="s">
        <v>74</v>
      </c>
      <c r="M695" t="s">
        <v>78</v>
      </c>
      <c r="N695" t="s">
        <v>6253</v>
      </c>
      <c r="O695" t="s">
        <v>74</v>
      </c>
      <c r="P695" t="s">
        <v>74</v>
      </c>
      <c r="Q695" t="s">
        <v>74</v>
      </c>
      <c r="R695" t="s">
        <v>74</v>
      </c>
      <c r="S695" t="s">
        <v>74</v>
      </c>
      <c r="T695" t="s">
        <v>74</v>
      </c>
      <c r="U695" t="s">
        <v>74</v>
      </c>
      <c r="V695" t="s">
        <v>74</v>
      </c>
      <c r="W695" t="s">
        <v>12494</v>
      </c>
      <c r="X695" t="s">
        <v>12495</v>
      </c>
      <c r="Y695" t="s">
        <v>12496</v>
      </c>
      <c r="Z695" t="s">
        <v>12497</v>
      </c>
      <c r="AA695" t="s">
        <v>74</v>
      </c>
      <c r="AB695" t="s">
        <v>74</v>
      </c>
      <c r="AC695" t="s">
        <v>74</v>
      </c>
      <c r="AD695" t="s">
        <v>74</v>
      </c>
      <c r="AE695" t="s">
        <v>74</v>
      </c>
      <c r="AF695" t="s">
        <v>74</v>
      </c>
      <c r="AG695">
        <v>1</v>
      </c>
      <c r="AH695">
        <v>0</v>
      </c>
      <c r="AI695">
        <v>0</v>
      </c>
      <c r="AJ695">
        <v>0</v>
      </c>
      <c r="AK695">
        <v>0</v>
      </c>
      <c r="AL695" t="s">
        <v>1188</v>
      </c>
      <c r="AM695" t="s">
        <v>93</v>
      </c>
      <c r="AN695" t="s">
        <v>1189</v>
      </c>
      <c r="AO695" t="s">
        <v>12498</v>
      </c>
      <c r="AP695" t="s">
        <v>12499</v>
      </c>
      <c r="AQ695" t="s">
        <v>74</v>
      </c>
      <c r="AR695" t="s">
        <v>12500</v>
      </c>
      <c r="AS695" t="s">
        <v>12501</v>
      </c>
      <c r="AT695" t="s">
        <v>12393</v>
      </c>
      <c r="AU695">
        <v>2023</v>
      </c>
      <c r="AV695" t="s">
        <v>74</v>
      </c>
      <c r="AW695" t="s">
        <v>74</v>
      </c>
      <c r="AX695" t="s">
        <v>74</v>
      </c>
      <c r="AY695" t="s">
        <v>74</v>
      </c>
      <c r="AZ695" t="s">
        <v>74</v>
      </c>
      <c r="BA695" t="s">
        <v>74</v>
      </c>
      <c r="BB695" t="s">
        <v>74</v>
      </c>
      <c r="BC695" t="s">
        <v>74</v>
      </c>
      <c r="BD695" t="s">
        <v>74</v>
      </c>
      <c r="BE695" t="s">
        <v>12502</v>
      </c>
      <c r="BF695" t="str">
        <f>HYPERLINK("http://dx.doi.org/10.1080/10131752.2023.2230740","http://dx.doi.org/10.1080/10131752.2023.2230740")</f>
        <v>http://dx.doi.org/10.1080/10131752.2023.2230740</v>
      </c>
      <c r="BG695" t="s">
        <v>74</v>
      </c>
      <c r="BH695" t="s">
        <v>8608</v>
      </c>
      <c r="BI695">
        <v>5</v>
      </c>
      <c r="BJ695" t="s">
        <v>12503</v>
      </c>
      <c r="BK695" t="s">
        <v>211</v>
      </c>
      <c r="BL695" t="s">
        <v>8184</v>
      </c>
      <c r="BM695" t="s">
        <v>12504</v>
      </c>
      <c r="BN695" t="s">
        <v>74</v>
      </c>
      <c r="BO695" t="s">
        <v>74</v>
      </c>
      <c r="BP695" t="s">
        <v>74</v>
      </c>
      <c r="BQ695" t="s">
        <v>74</v>
      </c>
      <c r="BR695" t="s">
        <v>105</v>
      </c>
      <c r="BS695" t="s">
        <v>12505</v>
      </c>
      <c r="BT695" t="str">
        <f>HYPERLINK("https%3A%2F%2Fwww.webofscience.com%2Fwos%2Fwoscc%2Ffull-record%2FWOS:001041205900001","View Full Record in Web of Science")</f>
        <v>View Full Record in Web of Science</v>
      </c>
    </row>
    <row r="696" spans="1:72" x14ac:dyDescent="0.15">
      <c r="A696" t="s">
        <v>72</v>
      </c>
      <c r="B696" t="s">
        <v>12506</v>
      </c>
      <c r="C696" t="s">
        <v>74</v>
      </c>
      <c r="D696" t="s">
        <v>74</v>
      </c>
      <c r="E696" t="s">
        <v>74</v>
      </c>
      <c r="F696" t="s">
        <v>12507</v>
      </c>
      <c r="G696" t="s">
        <v>74</v>
      </c>
      <c r="H696" t="s">
        <v>74</v>
      </c>
      <c r="I696" t="s">
        <v>12508</v>
      </c>
      <c r="J696" t="s">
        <v>12509</v>
      </c>
      <c r="K696" t="s">
        <v>74</v>
      </c>
      <c r="L696" t="s">
        <v>74</v>
      </c>
      <c r="M696" t="s">
        <v>78</v>
      </c>
      <c r="N696" t="s">
        <v>5492</v>
      </c>
      <c r="O696" t="s">
        <v>74</v>
      </c>
      <c r="P696" t="s">
        <v>74</v>
      </c>
      <c r="Q696" t="s">
        <v>74</v>
      </c>
      <c r="R696" t="s">
        <v>74</v>
      </c>
      <c r="S696" t="s">
        <v>74</v>
      </c>
      <c r="T696" t="s">
        <v>12510</v>
      </c>
      <c r="U696" t="s">
        <v>12511</v>
      </c>
      <c r="V696" t="s">
        <v>12512</v>
      </c>
      <c r="W696" t="s">
        <v>12513</v>
      </c>
      <c r="X696" t="s">
        <v>12514</v>
      </c>
      <c r="Y696" t="s">
        <v>12515</v>
      </c>
      <c r="Z696" t="s">
        <v>12516</v>
      </c>
      <c r="AA696" t="s">
        <v>74</v>
      </c>
      <c r="AB696" t="s">
        <v>74</v>
      </c>
      <c r="AC696" t="s">
        <v>74</v>
      </c>
      <c r="AD696" t="s">
        <v>74</v>
      </c>
      <c r="AE696" t="s">
        <v>74</v>
      </c>
      <c r="AF696" t="s">
        <v>74</v>
      </c>
      <c r="AG696">
        <v>53</v>
      </c>
      <c r="AH696">
        <v>0</v>
      </c>
      <c r="AI696">
        <v>0</v>
      </c>
      <c r="AJ696">
        <v>0</v>
      </c>
      <c r="AK696">
        <v>0</v>
      </c>
      <c r="AL696" t="s">
        <v>1188</v>
      </c>
      <c r="AM696" t="s">
        <v>93</v>
      </c>
      <c r="AN696" t="s">
        <v>1189</v>
      </c>
      <c r="AO696" t="s">
        <v>12517</v>
      </c>
      <c r="AP696" t="s">
        <v>12518</v>
      </c>
      <c r="AQ696" t="s">
        <v>74</v>
      </c>
      <c r="AR696" t="s">
        <v>12519</v>
      </c>
      <c r="AS696" t="s">
        <v>12520</v>
      </c>
      <c r="AT696" t="s">
        <v>12393</v>
      </c>
      <c r="AU696">
        <v>2023</v>
      </c>
      <c r="AV696" t="s">
        <v>74</v>
      </c>
      <c r="AW696" t="s">
        <v>74</v>
      </c>
      <c r="AX696" t="s">
        <v>74</v>
      </c>
      <c r="AY696" t="s">
        <v>74</v>
      </c>
      <c r="AZ696" t="s">
        <v>74</v>
      </c>
      <c r="BA696" t="s">
        <v>74</v>
      </c>
      <c r="BB696" t="s">
        <v>74</v>
      </c>
      <c r="BC696" t="s">
        <v>74</v>
      </c>
      <c r="BD696" t="s">
        <v>74</v>
      </c>
      <c r="BE696" t="s">
        <v>12521</v>
      </c>
      <c r="BF696" t="str">
        <f>HYPERLINK("http://dx.doi.org/10.1080/08961530.2023.2243643","http://dx.doi.org/10.1080/08961530.2023.2243643")</f>
        <v>http://dx.doi.org/10.1080/08961530.2023.2243643</v>
      </c>
      <c r="BG696" t="s">
        <v>74</v>
      </c>
      <c r="BH696" t="s">
        <v>8608</v>
      </c>
      <c r="BI696">
        <v>11</v>
      </c>
      <c r="BJ696" t="s">
        <v>294</v>
      </c>
      <c r="BK696" t="s">
        <v>211</v>
      </c>
      <c r="BL696" t="s">
        <v>295</v>
      </c>
      <c r="BM696" t="s">
        <v>12522</v>
      </c>
      <c r="BN696" t="s">
        <v>74</v>
      </c>
      <c r="BO696" t="s">
        <v>74</v>
      </c>
      <c r="BP696" t="s">
        <v>74</v>
      </c>
      <c r="BQ696" t="s">
        <v>74</v>
      </c>
      <c r="BR696" t="s">
        <v>105</v>
      </c>
      <c r="BS696" t="s">
        <v>12523</v>
      </c>
      <c r="BT696" t="str">
        <f>HYPERLINK("https%3A%2F%2Fwww.webofscience.com%2Fwos%2Fwoscc%2Ffull-record%2FWOS:001047944700001","View Full Record in Web of Science")</f>
        <v>View Full Record in Web of Science</v>
      </c>
    </row>
    <row r="697" spans="1:72" x14ac:dyDescent="0.15">
      <c r="A697" t="s">
        <v>72</v>
      </c>
      <c r="B697" t="s">
        <v>12524</v>
      </c>
      <c r="C697" t="s">
        <v>74</v>
      </c>
      <c r="D697" t="s">
        <v>74</v>
      </c>
      <c r="E697" t="s">
        <v>74</v>
      </c>
      <c r="F697" t="s">
        <v>12525</v>
      </c>
      <c r="G697" t="s">
        <v>74</v>
      </c>
      <c r="H697" t="s">
        <v>74</v>
      </c>
      <c r="I697" t="s">
        <v>12526</v>
      </c>
      <c r="J697" t="s">
        <v>12329</v>
      </c>
      <c r="K697" t="s">
        <v>74</v>
      </c>
      <c r="L697" t="s">
        <v>74</v>
      </c>
      <c r="M697" t="s">
        <v>78</v>
      </c>
      <c r="N697" t="s">
        <v>79</v>
      </c>
      <c r="O697" t="s">
        <v>74</v>
      </c>
      <c r="P697" t="s">
        <v>74</v>
      </c>
      <c r="Q697" t="s">
        <v>74</v>
      </c>
      <c r="R697" t="s">
        <v>74</v>
      </c>
      <c r="S697" t="s">
        <v>74</v>
      </c>
      <c r="T697" t="s">
        <v>12527</v>
      </c>
      <c r="U697" t="s">
        <v>74</v>
      </c>
      <c r="V697" t="s">
        <v>12528</v>
      </c>
      <c r="W697" t="s">
        <v>12529</v>
      </c>
      <c r="X697" t="s">
        <v>12530</v>
      </c>
      <c r="Y697" t="s">
        <v>12531</v>
      </c>
      <c r="Z697" t="s">
        <v>12532</v>
      </c>
      <c r="AA697" t="s">
        <v>74</v>
      </c>
      <c r="AB697" t="s">
        <v>74</v>
      </c>
      <c r="AC697" t="s">
        <v>12533</v>
      </c>
      <c r="AD697" t="s">
        <v>12534</v>
      </c>
      <c r="AE697" t="s">
        <v>12535</v>
      </c>
      <c r="AF697" t="s">
        <v>74</v>
      </c>
      <c r="AG697">
        <v>24</v>
      </c>
      <c r="AH697">
        <v>0</v>
      </c>
      <c r="AI697">
        <v>0</v>
      </c>
      <c r="AJ697">
        <v>0</v>
      </c>
      <c r="AK697">
        <v>0</v>
      </c>
      <c r="AL697" t="s">
        <v>184</v>
      </c>
      <c r="AM697" t="s">
        <v>185</v>
      </c>
      <c r="AN697" t="s">
        <v>186</v>
      </c>
      <c r="AO697" t="s">
        <v>12340</v>
      </c>
      <c r="AP697" t="s">
        <v>12341</v>
      </c>
      <c r="AQ697" t="s">
        <v>74</v>
      </c>
      <c r="AR697" t="s">
        <v>12342</v>
      </c>
      <c r="AS697" t="s">
        <v>12343</v>
      </c>
      <c r="AT697" t="s">
        <v>12322</v>
      </c>
      <c r="AU697">
        <v>2023</v>
      </c>
      <c r="AV697">
        <v>19</v>
      </c>
      <c r="AW697">
        <v>2</v>
      </c>
      <c r="AX697" t="s">
        <v>74</v>
      </c>
      <c r="AY697" t="s">
        <v>74</v>
      </c>
      <c r="AZ697" t="s">
        <v>74</v>
      </c>
      <c r="BA697" t="s">
        <v>74</v>
      </c>
      <c r="BB697" t="s">
        <v>74</v>
      </c>
      <c r="BC697" t="s">
        <v>74</v>
      </c>
      <c r="BD697">
        <v>2226995</v>
      </c>
      <c r="BE697" t="s">
        <v>12536</v>
      </c>
      <c r="BF697" t="str">
        <f>HYPERLINK("http://dx.doi.org/10.1080/21645515.2023.2226995","http://dx.doi.org/10.1080/21645515.2023.2226995")</f>
        <v>http://dx.doi.org/10.1080/21645515.2023.2226995</v>
      </c>
      <c r="BG697" t="s">
        <v>74</v>
      </c>
      <c r="BH697" t="s">
        <v>74</v>
      </c>
      <c r="BI697">
        <v>6</v>
      </c>
      <c r="BJ697" t="s">
        <v>12345</v>
      </c>
      <c r="BK697" t="s">
        <v>102</v>
      </c>
      <c r="BL697" t="s">
        <v>12345</v>
      </c>
      <c r="BM697" t="s">
        <v>12537</v>
      </c>
      <c r="BN697">
        <v>37462023</v>
      </c>
      <c r="BO697" t="s">
        <v>104</v>
      </c>
      <c r="BP697" t="s">
        <v>74</v>
      </c>
      <c r="BQ697" t="s">
        <v>74</v>
      </c>
      <c r="BR697" t="s">
        <v>105</v>
      </c>
      <c r="BS697" t="s">
        <v>12538</v>
      </c>
      <c r="BT697" t="str">
        <f>HYPERLINK("https%3A%2F%2Fwww.webofscience.com%2Fwos%2Fwoscc%2Ffull-record%2FWOS:001030738800001","View Full Record in Web of Science")</f>
        <v>View Full Record in Web of Science</v>
      </c>
    </row>
    <row r="698" spans="1:72" x14ac:dyDescent="0.15">
      <c r="A698" t="s">
        <v>72</v>
      </c>
      <c r="B698" t="s">
        <v>12539</v>
      </c>
      <c r="C698" t="s">
        <v>74</v>
      </c>
      <c r="D698" t="s">
        <v>74</v>
      </c>
      <c r="E698" t="s">
        <v>74</v>
      </c>
      <c r="F698" t="s">
        <v>12540</v>
      </c>
      <c r="G698" t="s">
        <v>74</v>
      </c>
      <c r="H698" t="s">
        <v>74</v>
      </c>
      <c r="I698" t="s">
        <v>12541</v>
      </c>
      <c r="J698" t="s">
        <v>5453</v>
      </c>
      <c r="K698" t="s">
        <v>74</v>
      </c>
      <c r="L698" t="s">
        <v>74</v>
      </c>
      <c r="M698" t="s">
        <v>78</v>
      </c>
      <c r="N698" t="s">
        <v>79</v>
      </c>
      <c r="O698" t="s">
        <v>74</v>
      </c>
      <c r="P698" t="s">
        <v>74</v>
      </c>
      <c r="Q698" t="s">
        <v>74</v>
      </c>
      <c r="R698" t="s">
        <v>74</v>
      </c>
      <c r="S698" t="s">
        <v>74</v>
      </c>
      <c r="T698" t="s">
        <v>12542</v>
      </c>
      <c r="U698" t="s">
        <v>12543</v>
      </c>
      <c r="V698" t="s">
        <v>12544</v>
      </c>
      <c r="W698" t="s">
        <v>12545</v>
      </c>
      <c r="X698" t="s">
        <v>12546</v>
      </c>
      <c r="Y698" t="s">
        <v>12547</v>
      </c>
      <c r="Z698" t="s">
        <v>12548</v>
      </c>
      <c r="AA698" t="s">
        <v>74</v>
      </c>
      <c r="AB698" t="s">
        <v>74</v>
      </c>
      <c r="AC698" t="s">
        <v>12549</v>
      </c>
      <c r="AD698" t="s">
        <v>12550</v>
      </c>
      <c r="AE698" t="s">
        <v>12551</v>
      </c>
      <c r="AF698" t="s">
        <v>74</v>
      </c>
      <c r="AG698">
        <v>24</v>
      </c>
      <c r="AH698">
        <v>0</v>
      </c>
      <c r="AI698">
        <v>0</v>
      </c>
      <c r="AJ698">
        <v>2</v>
      </c>
      <c r="AK698">
        <v>2</v>
      </c>
      <c r="AL698" t="s">
        <v>184</v>
      </c>
      <c r="AM698" t="s">
        <v>185</v>
      </c>
      <c r="AN698" t="s">
        <v>186</v>
      </c>
      <c r="AO698" t="s">
        <v>5463</v>
      </c>
      <c r="AP698" t="s">
        <v>5464</v>
      </c>
      <c r="AQ698" t="s">
        <v>74</v>
      </c>
      <c r="AR698" t="s">
        <v>5465</v>
      </c>
      <c r="AS698" t="s">
        <v>5466</v>
      </c>
      <c r="AT698" t="s">
        <v>12322</v>
      </c>
      <c r="AU698">
        <v>2023</v>
      </c>
      <c r="AV698">
        <v>45</v>
      </c>
      <c r="AW698">
        <v>3</v>
      </c>
      <c r="AX698" t="s">
        <v>74</v>
      </c>
      <c r="AY698" t="s">
        <v>74</v>
      </c>
      <c r="AZ698" t="s">
        <v>74</v>
      </c>
      <c r="BA698" t="s">
        <v>74</v>
      </c>
      <c r="BB698">
        <v>8092</v>
      </c>
      <c r="BC698">
        <v>8103</v>
      </c>
      <c r="BD698" t="s">
        <v>74</v>
      </c>
      <c r="BE698" t="s">
        <v>12552</v>
      </c>
      <c r="BF698" t="str">
        <f>HYPERLINK("http://dx.doi.org/10.1080/15567036.2023.2224746","http://dx.doi.org/10.1080/15567036.2023.2224746")</f>
        <v>http://dx.doi.org/10.1080/15567036.2023.2224746</v>
      </c>
      <c r="BG698" t="s">
        <v>74</v>
      </c>
      <c r="BH698" t="s">
        <v>74</v>
      </c>
      <c r="BI698">
        <v>12</v>
      </c>
      <c r="BJ698" t="s">
        <v>5469</v>
      </c>
      <c r="BK698" t="s">
        <v>102</v>
      </c>
      <c r="BL698" t="s">
        <v>5470</v>
      </c>
      <c r="BM698" t="s">
        <v>12553</v>
      </c>
      <c r="BN698" t="s">
        <v>74</v>
      </c>
      <c r="BO698" t="s">
        <v>74</v>
      </c>
      <c r="BP698" t="s">
        <v>74</v>
      </c>
      <c r="BQ698" t="s">
        <v>74</v>
      </c>
      <c r="BR698" t="s">
        <v>105</v>
      </c>
      <c r="BS698" t="s">
        <v>12554</v>
      </c>
      <c r="BT698" t="str">
        <f>HYPERLINK("https%3A%2F%2Fwww.webofscience.com%2Fwos%2Fwoscc%2Ffull-record%2FWOS:001008654600001","View Full Record in Web of Science")</f>
        <v>View Full Record in Web of Science</v>
      </c>
    </row>
    <row r="699" spans="1:72" x14ac:dyDescent="0.15">
      <c r="A699" t="s">
        <v>72</v>
      </c>
      <c r="B699" t="s">
        <v>12555</v>
      </c>
      <c r="C699" t="s">
        <v>74</v>
      </c>
      <c r="D699" t="s">
        <v>74</v>
      </c>
      <c r="E699" t="s">
        <v>74</v>
      </c>
      <c r="F699" t="s">
        <v>12556</v>
      </c>
      <c r="G699" t="s">
        <v>74</v>
      </c>
      <c r="H699" t="s">
        <v>74</v>
      </c>
      <c r="I699" t="s">
        <v>12557</v>
      </c>
      <c r="J699" t="s">
        <v>5453</v>
      </c>
      <c r="K699" t="s">
        <v>74</v>
      </c>
      <c r="L699" t="s">
        <v>74</v>
      </c>
      <c r="M699" t="s">
        <v>78</v>
      </c>
      <c r="N699" t="s">
        <v>171</v>
      </c>
      <c r="O699" t="s">
        <v>74</v>
      </c>
      <c r="P699" t="s">
        <v>74</v>
      </c>
      <c r="Q699" t="s">
        <v>74</v>
      </c>
      <c r="R699" t="s">
        <v>74</v>
      </c>
      <c r="S699" t="s">
        <v>74</v>
      </c>
      <c r="T699" t="s">
        <v>12558</v>
      </c>
      <c r="U699" t="s">
        <v>12559</v>
      </c>
      <c r="V699" t="s">
        <v>12560</v>
      </c>
      <c r="W699" t="s">
        <v>12561</v>
      </c>
      <c r="X699" t="s">
        <v>12562</v>
      </c>
      <c r="Y699" t="s">
        <v>12563</v>
      </c>
      <c r="Z699" t="s">
        <v>12564</v>
      </c>
      <c r="AA699" t="s">
        <v>74</v>
      </c>
      <c r="AB699" t="s">
        <v>74</v>
      </c>
      <c r="AC699" t="s">
        <v>74</v>
      </c>
      <c r="AD699" t="s">
        <v>74</v>
      </c>
      <c r="AE699" t="s">
        <v>74</v>
      </c>
      <c r="AF699" t="s">
        <v>74</v>
      </c>
      <c r="AG699">
        <v>155</v>
      </c>
      <c r="AH699">
        <v>0</v>
      </c>
      <c r="AI699">
        <v>0</v>
      </c>
      <c r="AJ699">
        <v>9</v>
      </c>
      <c r="AK699">
        <v>9</v>
      </c>
      <c r="AL699" t="s">
        <v>184</v>
      </c>
      <c r="AM699" t="s">
        <v>185</v>
      </c>
      <c r="AN699" t="s">
        <v>186</v>
      </c>
      <c r="AO699" t="s">
        <v>5463</v>
      </c>
      <c r="AP699" t="s">
        <v>5464</v>
      </c>
      <c r="AQ699" t="s">
        <v>74</v>
      </c>
      <c r="AR699" t="s">
        <v>5465</v>
      </c>
      <c r="AS699" t="s">
        <v>5466</v>
      </c>
      <c r="AT699" t="s">
        <v>12322</v>
      </c>
      <c r="AU699">
        <v>2023</v>
      </c>
      <c r="AV699">
        <v>45</v>
      </c>
      <c r="AW699">
        <v>3</v>
      </c>
      <c r="AX699" t="s">
        <v>74</v>
      </c>
      <c r="AY699" t="s">
        <v>74</v>
      </c>
      <c r="AZ699" t="s">
        <v>74</v>
      </c>
      <c r="BA699" t="s">
        <v>74</v>
      </c>
      <c r="BB699">
        <v>9178</v>
      </c>
      <c r="BC699">
        <v>9201</v>
      </c>
      <c r="BD699" t="s">
        <v>74</v>
      </c>
      <c r="BE699" t="s">
        <v>12565</v>
      </c>
      <c r="BF699" t="str">
        <f>HYPERLINK("http://dx.doi.org/10.1080/15567036.2023.2232322","http://dx.doi.org/10.1080/15567036.2023.2232322")</f>
        <v>http://dx.doi.org/10.1080/15567036.2023.2232322</v>
      </c>
      <c r="BG699" t="s">
        <v>74</v>
      </c>
      <c r="BH699" t="s">
        <v>74</v>
      </c>
      <c r="BI699">
        <v>24</v>
      </c>
      <c r="BJ699" t="s">
        <v>5469</v>
      </c>
      <c r="BK699" t="s">
        <v>102</v>
      </c>
      <c r="BL699" t="s">
        <v>5470</v>
      </c>
      <c r="BM699" t="s">
        <v>12566</v>
      </c>
      <c r="BN699" t="s">
        <v>74</v>
      </c>
      <c r="BO699" t="s">
        <v>74</v>
      </c>
      <c r="BP699" t="s">
        <v>74</v>
      </c>
      <c r="BQ699" t="s">
        <v>74</v>
      </c>
      <c r="BR699" t="s">
        <v>105</v>
      </c>
      <c r="BS699" t="s">
        <v>12567</v>
      </c>
      <c r="BT699" t="str">
        <f>HYPERLINK("https%3A%2F%2Fwww.webofscience.com%2Fwos%2Fwoscc%2Ffull-record%2FWOS:001025397400001","View Full Record in Web of Science")</f>
        <v>View Full Record in Web of Science</v>
      </c>
    </row>
    <row r="700" spans="1:72" x14ac:dyDescent="0.15">
      <c r="A700" t="s">
        <v>72</v>
      </c>
      <c r="B700" t="s">
        <v>12568</v>
      </c>
      <c r="C700" t="s">
        <v>74</v>
      </c>
      <c r="D700" t="s">
        <v>74</v>
      </c>
      <c r="E700" t="s">
        <v>74</v>
      </c>
      <c r="F700" t="s">
        <v>12569</v>
      </c>
      <c r="G700" t="s">
        <v>74</v>
      </c>
      <c r="H700" t="s">
        <v>74</v>
      </c>
      <c r="I700" t="s">
        <v>12570</v>
      </c>
      <c r="J700" t="s">
        <v>12571</v>
      </c>
      <c r="K700" t="s">
        <v>74</v>
      </c>
      <c r="L700" t="s">
        <v>74</v>
      </c>
      <c r="M700" t="s">
        <v>78</v>
      </c>
      <c r="N700" t="s">
        <v>5492</v>
      </c>
      <c r="O700" t="s">
        <v>74</v>
      </c>
      <c r="P700" t="s">
        <v>74</v>
      </c>
      <c r="Q700" t="s">
        <v>74</v>
      </c>
      <c r="R700" t="s">
        <v>74</v>
      </c>
      <c r="S700" t="s">
        <v>74</v>
      </c>
      <c r="T700" t="s">
        <v>12572</v>
      </c>
      <c r="U700" t="s">
        <v>74</v>
      </c>
      <c r="V700" t="s">
        <v>12573</v>
      </c>
      <c r="W700" t="s">
        <v>12574</v>
      </c>
      <c r="X700" t="s">
        <v>12575</v>
      </c>
      <c r="Y700" t="s">
        <v>12576</v>
      </c>
      <c r="Z700" t="s">
        <v>12577</v>
      </c>
      <c r="AA700" t="s">
        <v>74</v>
      </c>
      <c r="AB700" t="s">
        <v>12578</v>
      </c>
      <c r="AC700" t="s">
        <v>74</v>
      </c>
      <c r="AD700" t="s">
        <v>74</v>
      </c>
      <c r="AE700" t="s">
        <v>74</v>
      </c>
      <c r="AF700" t="s">
        <v>74</v>
      </c>
      <c r="AG700">
        <v>33</v>
      </c>
      <c r="AH700">
        <v>0</v>
      </c>
      <c r="AI700">
        <v>0</v>
      </c>
      <c r="AJ700">
        <v>0</v>
      </c>
      <c r="AK700">
        <v>0</v>
      </c>
      <c r="AL700" t="s">
        <v>1188</v>
      </c>
      <c r="AM700" t="s">
        <v>93</v>
      </c>
      <c r="AN700" t="s">
        <v>1189</v>
      </c>
      <c r="AO700" t="s">
        <v>12579</v>
      </c>
      <c r="AP700" t="s">
        <v>12580</v>
      </c>
      <c r="AQ700" t="s">
        <v>74</v>
      </c>
      <c r="AR700" t="s">
        <v>12581</v>
      </c>
      <c r="AS700" t="s">
        <v>12582</v>
      </c>
      <c r="AT700" t="s">
        <v>12393</v>
      </c>
      <c r="AU700">
        <v>2023</v>
      </c>
      <c r="AV700" t="s">
        <v>74</v>
      </c>
      <c r="AW700" t="s">
        <v>74</v>
      </c>
      <c r="AX700" t="s">
        <v>74</v>
      </c>
      <c r="AY700" t="s">
        <v>74</v>
      </c>
      <c r="AZ700" t="s">
        <v>74</v>
      </c>
      <c r="BA700" t="s">
        <v>74</v>
      </c>
      <c r="BB700" t="s">
        <v>74</v>
      </c>
      <c r="BC700" t="s">
        <v>74</v>
      </c>
      <c r="BD700" t="s">
        <v>74</v>
      </c>
      <c r="BE700" t="s">
        <v>12583</v>
      </c>
      <c r="BF700" t="str">
        <f>HYPERLINK("http://dx.doi.org/10.1080/0013838X.2023.2236918","http://dx.doi.org/10.1080/0013838X.2023.2236918")</f>
        <v>http://dx.doi.org/10.1080/0013838X.2023.2236918</v>
      </c>
      <c r="BG700" t="s">
        <v>74</v>
      </c>
      <c r="BH700" t="s">
        <v>8608</v>
      </c>
      <c r="BI700">
        <v>25</v>
      </c>
      <c r="BJ700" t="s">
        <v>6283</v>
      </c>
      <c r="BK700" t="s">
        <v>6264</v>
      </c>
      <c r="BL700" t="s">
        <v>6283</v>
      </c>
      <c r="BM700" t="s">
        <v>12584</v>
      </c>
      <c r="BN700" t="s">
        <v>74</v>
      </c>
      <c r="BO700" t="s">
        <v>74</v>
      </c>
      <c r="BP700" t="s">
        <v>74</v>
      </c>
      <c r="BQ700" t="s">
        <v>74</v>
      </c>
      <c r="BR700" t="s">
        <v>105</v>
      </c>
      <c r="BS700" t="s">
        <v>12585</v>
      </c>
      <c r="BT700" t="str">
        <f>HYPERLINK("https%3A%2F%2Fwww.webofscience.com%2Fwos%2Fwoscc%2Ffull-record%2FWOS:001038688900001","View Full Record in Web of Science")</f>
        <v>View Full Record in Web of Science</v>
      </c>
    </row>
    <row r="701" spans="1:72" x14ac:dyDescent="0.15">
      <c r="A701" t="s">
        <v>72</v>
      </c>
      <c r="B701" t="s">
        <v>12586</v>
      </c>
      <c r="C701" t="s">
        <v>74</v>
      </c>
      <c r="D701" t="s">
        <v>74</v>
      </c>
      <c r="E701" t="s">
        <v>74</v>
      </c>
      <c r="F701" t="s">
        <v>12587</v>
      </c>
      <c r="G701" t="s">
        <v>74</v>
      </c>
      <c r="H701" t="s">
        <v>74</v>
      </c>
      <c r="I701" t="s">
        <v>12588</v>
      </c>
      <c r="J701" t="s">
        <v>12329</v>
      </c>
      <c r="K701" t="s">
        <v>74</v>
      </c>
      <c r="L701" t="s">
        <v>74</v>
      </c>
      <c r="M701" t="s">
        <v>78</v>
      </c>
      <c r="N701" t="s">
        <v>79</v>
      </c>
      <c r="O701" t="s">
        <v>74</v>
      </c>
      <c r="P701" t="s">
        <v>74</v>
      </c>
      <c r="Q701" t="s">
        <v>74</v>
      </c>
      <c r="R701" t="s">
        <v>74</v>
      </c>
      <c r="S701" t="s">
        <v>74</v>
      </c>
      <c r="T701" t="s">
        <v>12589</v>
      </c>
      <c r="U701" t="s">
        <v>12590</v>
      </c>
      <c r="V701" t="s">
        <v>12591</v>
      </c>
      <c r="W701" t="s">
        <v>12592</v>
      </c>
      <c r="X701" t="s">
        <v>12593</v>
      </c>
      <c r="Y701" t="s">
        <v>12594</v>
      </c>
      <c r="Z701" t="s">
        <v>12595</v>
      </c>
      <c r="AA701" t="s">
        <v>12596</v>
      </c>
      <c r="AB701" t="s">
        <v>12597</v>
      </c>
      <c r="AC701" t="s">
        <v>74</v>
      </c>
      <c r="AD701" t="s">
        <v>74</v>
      </c>
      <c r="AE701" t="s">
        <v>74</v>
      </c>
      <c r="AF701" t="s">
        <v>74</v>
      </c>
      <c r="AG701">
        <v>46</v>
      </c>
      <c r="AH701">
        <v>0</v>
      </c>
      <c r="AI701">
        <v>0</v>
      </c>
      <c r="AJ701">
        <v>0</v>
      </c>
      <c r="AK701">
        <v>0</v>
      </c>
      <c r="AL701" t="s">
        <v>184</v>
      </c>
      <c r="AM701" t="s">
        <v>185</v>
      </c>
      <c r="AN701" t="s">
        <v>186</v>
      </c>
      <c r="AO701" t="s">
        <v>12340</v>
      </c>
      <c r="AP701" t="s">
        <v>12341</v>
      </c>
      <c r="AQ701" t="s">
        <v>74</v>
      </c>
      <c r="AR701" t="s">
        <v>12342</v>
      </c>
      <c r="AS701" t="s">
        <v>12343</v>
      </c>
      <c r="AT701" t="s">
        <v>12322</v>
      </c>
      <c r="AU701">
        <v>2023</v>
      </c>
      <c r="AV701">
        <v>19</v>
      </c>
      <c r="AW701">
        <v>2</v>
      </c>
      <c r="AX701" t="s">
        <v>74</v>
      </c>
      <c r="AY701" t="s">
        <v>74</v>
      </c>
      <c r="AZ701" t="s">
        <v>74</v>
      </c>
      <c r="BA701" t="s">
        <v>74</v>
      </c>
      <c r="BB701" t="s">
        <v>74</v>
      </c>
      <c r="BC701" t="s">
        <v>74</v>
      </c>
      <c r="BD701">
        <v>2239088</v>
      </c>
      <c r="BE701" t="s">
        <v>12598</v>
      </c>
      <c r="BF701" t="str">
        <f>HYPERLINK("http://dx.doi.org/10.1080/21645515.2023.2239088","http://dx.doi.org/10.1080/21645515.2023.2239088")</f>
        <v>http://dx.doi.org/10.1080/21645515.2023.2239088</v>
      </c>
      <c r="BG701" t="s">
        <v>74</v>
      </c>
      <c r="BH701" t="s">
        <v>74</v>
      </c>
      <c r="BI701">
        <v>11</v>
      </c>
      <c r="BJ701" t="s">
        <v>12345</v>
      </c>
      <c r="BK701" t="s">
        <v>102</v>
      </c>
      <c r="BL701" t="s">
        <v>12345</v>
      </c>
      <c r="BM701" t="s">
        <v>12599</v>
      </c>
      <c r="BN701">
        <v>37551885</v>
      </c>
      <c r="BO701" t="s">
        <v>4533</v>
      </c>
      <c r="BP701" t="s">
        <v>74</v>
      </c>
      <c r="BQ701" t="s">
        <v>74</v>
      </c>
      <c r="BR701" t="s">
        <v>105</v>
      </c>
      <c r="BS701" t="s">
        <v>12600</v>
      </c>
      <c r="BT701" t="str">
        <f>HYPERLINK("https%3A%2F%2Fwww.webofscience.com%2Fwos%2Fwoscc%2Ffull-record%2FWOS:001043153100001","View Full Record in Web of Science")</f>
        <v>View Full Record in Web of Science</v>
      </c>
    </row>
    <row r="702" spans="1:72" x14ac:dyDescent="0.15">
      <c r="A702" t="s">
        <v>72</v>
      </c>
      <c r="B702" t="s">
        <v>12601</v>
      </c>
      <c r="C702" t="s">
        <v>74</v>
      </c>
      <c r="D702" t="s">
        <v>74</v>
      </c>
      <c r="E702" t="s">
        <v>74</v>
      </c>
      <c r="F702" t="s">
        <v>12602</v>
      </c>
      <c r="G702" t="s">
        <v>74</v>
      </c>
      <c r="H702" t="s">
        <v>74</v>
      </c>
      <c r="I702" t="s">
        <v>12603</v>
      </c>
      <c r="J702" t="s">
        <v>12329</v>
      </c>
      <c r="K702" t="s">
        <v>74</v>
      </c>
      <c r="L702" t="s">
        <v>74</v>
      </c>
      <c r="M702" t="s">
        <v>78</v>
      </c>
      <c r="N702" t="s">
        <v>79</v>
      </c>
      <c r="O702" t="s">
        <v>74</v>
      </c>
      <c r="P702" t="s">
        <v>74</v>
      </c>
      <c r="Q702" t="s">
        <v>74</v>
      </c>
      <c r="R702" t="s">
        <v>74</v>
      </c>
      <c r="S702" t="s">
        <v>74</v>
      </c>
      <c r="T702" t="s">
        <v>12604</v>
      </c>
      <c r="U702" t="s">
        <v>74</v>
      </c>
      <c r="V702" t="s">
        <v>12605</v>
      </c>
      <c r="W702" t="s">
        <v>12606</v>
      </c>
      <c r="X702" t="s">
        <v>12607</v>
      </c>
      <c r="Y702" t="s">
        <v>12608</v>
      </c>
      <c r="Z702" t="s">
        <v>12609</v>
      </c>
      <c r="AA702" t="s">
        <v>74</v>
      </c>
      <c r="AB702" t="s">
        <v>74</v>
      </c>
      <c r="AC702" t="s">
        <v>12610</v>
      </c>
      <c r="AD702" t="s">
        <v>12610</v>
      </c>
      <c r="AE702" t="s">
        <v>12611</v>
      </c>
      <c r="AF702" t="s">
        <v>74</v>
      </c>
      <c r="AG702">
        <v>11</v>
      </c>
      <c r="AH702">
        <v>1</v>
      </c>
      <c r="AI702">
        <v>1</v>
      </c>
      <c r="AJ702">
        <v>0</v>
      </c>
      <c r="AK702">
        <v>0</v>
      </c>
      <c r="AL702" t="s">
        <v>184</v>
      </c>
      <c r="AM702" t="s">
        <v>185</v>
      </c>
      <c r="AN702" t="s">
        <v>186</v>
      </c>
      <c r="AO702" t="s">
        <v>12340</v>
      </c>
      <c r="AP702" t="s">
        <v>12341</v>
      </c>
      <c r="AQ702" t="s">
        <v>74</v>
      </c>
      <c r="AR702" t="s">
        <v>12342</v>
      </c>
      <c r="AS702" t="s">
        <v>12343</v>
      </c>
      <c r="AT702" t="s">
        <v>12322</v>
      </c>
      <c r="AU702">
        <v>2023</v>
      </c>
      <c r="AV702">
        <v>19</v>
      </c>
      <c r="AW702">
        <v>2</v>
      </c>
      <c r="AX702" t="s">
        <v>74</v>
      </c>
      <c r="AY702" t="s">
        <v>74</v>
      </c>
      <c r="AZ702" t="s">
        <v>74</v>
      </c>
      <c r="BA702" t="s">
        <v>74</v>
      </c>
      <c r="BB702" t="s">
        <v>74</v>
      </c>
      <c r="BC702" t="s">
        <v>74</v>
      </c>
      <c r="BD702">
        <v>2252263</v>
      </c>
      <c r="BE702" t="s">
        <v>12612</v>
      </c>
      <c r="BF702" t="str">
        <f>HYPERLINK("http://dx.doi.org/10.1080/21645515.2023.2252263","http://dx.doi.org/10.1080/21645515.2023.2252263")</f>
        <v>http://dx.doi.org/10.1080/21645515.2023.2252263</v>
      </c>
      <c r="BG702" t="s">
        <v>74</v>
      </c>
      <c r="BH702" t="s">
        <v>74</v>
      </c>
      <c r="BI702">
        <v>3</v>
      </c>
      <c r="BJ702" t="s">
        <v>12345</v>
      </c>
      <c r="BK702" t="s">
        <v>102</v>
      </c>
      <c r="BL702" t="s">
        <v>12345</v>
      </c>
      <c r="BM702" t="s">
        <v>12613</v>
      </c>
      <c r="BN702">
        <v>37649367</v>
      </c>
      <c r="BO702" t="s">
        <v>126</v>
      </c>
      <c r="BP702" t="s">
        <v>74</v>
      </c>
      <c r="BQ702" t="s">
        <v>74</v>
      </c>
      <c r="BR702" t="s">
        <v>105</v>
      </c>
      <c r="BS702" t="s">
        <v>12614</v>
      </c>
      <c r="BT702" t="str">
        <f>HYPERLINK("https%3A%2F%2Fwww.webofscience.com%2Fwos%2Fwoscc%2Ffull-record%2FWOS:001059337400001","View Full Record in Web of Science")</f>
        <v>View Full Record in Web of Science</v>
      </c>
    </row>
    <row r="703" spans="1:72" x14ac:dyDescent="0.15">
      <c r="A703" t="s">
        <v>72</v>
      </c>
      <c r="B703" t="s">
        <v>12615</v>
      </c>
      <c r="C703" t="s">
        <v>74</v>
      </c>
      <c r="D703" t="s">
        <v>74</v>
      </c>
      <c r="E703" t="s">
        <v>74</v>
      </c>
      <c r="F703" t="s">
        <v>12616</v>
      </c>
      <c r="G703" t="s">
        <v>74</v>
      </c>
      <c r="H703" t="s">
        <v>74</v>
      </c>
      <c r="I703" t="s">
        <v>12617</v>
      </c>
      <c r="J703" t="s">
        <v>8267</v>
      </c>
      <c r="K703" t="s">
        <v>74</v>
      </c>
      <c r="L703" t="s">
        <v>74</v>
      </c>
      <c r="M703" t="s">
        <v>78</v>
      </c>
      <c r="N703" t="s">
        <v>5492</v>
      </c>
      <c r="O703" t="s">
        <v>74</v>
      </c>
      <c r="P703" t="s">
        <v>74</v>
      </c>
      <c r="Q703" t="s">
        <v>74</v>
      </c>
      <c r="R703" t="s">
        <v>74</v>
      </c>
      <c r="S703" t="s">
        <v>74</v>
      </c>
      <c r="T703" t="s">
        <v>12618</v>
      </c>
      <c r="U703" t="s">
        <v>12619</v>
      </c>
      <c r="V703" t="s">
        <v>12620</v>
      </c>
      <c r="W703" t="s">
        <v>12621</v>
      </c>
      <c r="X703" t="s">
        <v>12622</v>
      </c>
      <c r="Y703" t="s">
        <v>12623</v>
      </c>
      <c r="Z703" t="s">
        <v>12624</v>
      </c>
      <c r="AA703" t="s">
        <v>74</v>
      </c>
      <c r="AB703" t="s">
        <v>74</v>
      </c>
      <c r="AC703" t="s">
        <v>12625</v>
      </c>
      <c r="AD703" t="s">
        <v>12626</v>
      </c>
      <c r="AE703" t="s">
        <v>12627</v>
      </c>
      <c r="AF703" t="s">
        <v>74</v>
      </c>
      <c r="AG703">
        <v>53</v>
      </c>
      <c r="AH703">
        <v>0</v>
      </c>
      <c r="AI703">
        <v>0</v>
      </c>
      <c r="AJ703">
        <v>5</v>
      </c>
      <c r="AK703">
        <v>5</v>
      </c>
      <c r="AL703" t="s">
        <v>184</v>
      </c>
      <c r="AM703" t="s">
        <v>185</v>
      </c>
      <c r="AN703" t="s">
        <v>186</v>
      </c>
      <c r="AO703" t="s">
        <v>8276</v>
      </c>
      <c r="AP703" t="s">
        <v>8277</v>
      </c>
      <c r="AQ703" t="s">
        <v>74</v>
      </c>
      <c r="AR703" t="s">
        <v>8278</v>
      </c>
      <c r="AS703" t="s">
        <v>8279</v>
      </c>
      <c r="AT703" t="s">
        <v>12393</v>
      </c>
      <c r="AU703">
        <v>2023</v>
      </c>
      <c r="AV703" t="s">
        <v>74</v>
      </c>
      <c r="AW703" t="s">
        <v>74</v>
      </c>
      <c r="AX703" t="s">
        <v>74</v>
      </c>
      <c r="AY703" t="s">
        <v>74</v>
      </c>
      <c r="AZ703" t="s">
        <v>74</v>
      </c>
      <c r="BA703" t="s">
        <v>74</v>
      </c>
      <c r="BB703" t="s">
        <v>74</v>
      </c>
      <c r="BC703" t="s">
        <v>74</v>
      </c>
      <c r="BD703" t="s">
        <v>74</v>
      </c>
      <c r="BE703" t="s">
        <v>12628</v>
      </c>
      <c r="BF703" t="str">
        <f>HYPERLINK("http://dx.doi.org/10.1080/15397734.2023.2242919","http://dx.doi.org/10.1080/15397734.2023.2242919")</f>
        <v>http://dx.doi.org/10.1080/15397734.2023.2242919</v>
      </c>
      <c r="BG703" t="s">
        <v>74</v>
      </c>
      <c r="BH703" t="s">
        <v>8608</v>
      </c>
      <c r="BI703">
        <v>28</v>
      </c>
      <c r="BJ703" t="s">
        <v>8281</v>
      </c>
      <c r="BK703" t="s">
        <v>102</v>
      </c>
      <c r="BL703" t="s">
        <v>8281</v>
      </c>
      <c r="BM703" t="s">
        <v>12629</v>
      </c>
      <c r="BN703" t="s">
        <v>74</v>
      </c>
      <c r="BO703" t="s">
        <v>74</v>
      </c>
      <c r="BP703" t="s">
        <v>74</v>
      </c>
      <c r="BQ703" t="s">
        <v>74</v>
      </c>
      <c r="BR703" t="s">
        <v>105</v>
      </c>
      <c r="BS703" t="s">
        <v>12630</v>
      </c>
      <c r="BT703" t="str">
        <f>HYPERLINK("https%3A%2F%2Fwww.webofscience.com%2Fwos%2Fwoscc%2Ffull-record%2FWOS:001044777100001","View Full Record in Web of Science")</f>
        <v>View Full Record in Web of Science</v>
      </c>
    </row>
    <row r="704" spans="1:72" x14ac:dyDescent="0.15">
      <c r="A704" t="s">
        <v>72</v>
      </c>
      <c r="B704" t="s">
        <v>12631</v>
      </c>
      <c r="C704" t="s">
        <v>74</v>
      </c>
      <c r="D704" t="s">
        <v>74</v>
      </c>
      <c r="E704" t="s">
        <v>74</v>
      </c>
      <c r="F704" t="s">
        <v>12632</v>
      </c>
      <c r="G704" t="s">
        <v>74</v>
      </c>
      <c r="H704" t="s">
        <v>74</v>
      </c>
      <c r="I704" t="s">
        <v>12633</v>
      </c>
      <c r="J704" t="s">
        <v>12329</v>
      </c>
      <c r="K704" t="s">
        <v>74</v>
      </c>
      <c r="L704" t="s">
        <v>74</v>
      </c>
      <c r="M704" t="s">
        <v>78</v>
      </c>
      <c r="N704" t="s">
        <v>171</v>
      </c>
      <c r="O704" t="s">
        <v>74</v>
      </c>
      <c r="P704" t="s">
        <v>74</v>
      </c>
      <c r="Q704" t="s">
        <v>74</v>
      </c>
      <c r="R704" t="s">
        <v>74</v>
      </c>
      <c r="S704" t="s">
        <v>74</v>
      </c>
      <c r="T704" t="s">
        <v>12634</v>
      </c>
      <c r="U704" t="s">
        <v>12635</v>
      </c>
      <c r="V704" t="s">
        <v>12636</v>
      </c>
      <c r="W704" t="s">
        <v>12637</v>
      </c>
      <c r="X704" t="s">
        <v>12638</v>
      </c>
      <c r="Y704" t="s">
        <v>12639</v>
      </c>
      <c r="Z704" t="s">
        <v>12640</v>
      </c>
      <c r="AA704" t="s">
        <v>12641</v>
      </c>
      <c r="AB704" t="s">
        <v>74</v>
      </c>
      <c r="AC704" t="s">
        <v>74</v>
      </c>
      <c r="AD704" t="s">
        <v>74</v>
      </c>
      <c r="AE704" t="s">
        <v>74</v>
      </c>
      <c r="AF704" t="s">
        <v>74</v>
      </c>
      <c r="AG704">
        <v>64</v>
      </c>
      <c r="AH704">
        <v>1</v>
      </c>
      <c r="AI704">
        <v>1</v>
      </c>
      <c r="AJ704">
        <v>12</v>
      </c>
      <c r="AK704">
        <v>12</v>
      </c>
      <c r="AL704" t="s">
        <v>184</v>
      </c>
      <c r="AM704" t="s">
        <v>185</v>
      </c>
      <c r="AN704" t="s">
        <v>186</v>
      </c>
      <c r="AO704" t="s">
        <v>12340</v>
      </c>
      <c r="AP704" t="s">
        <v>12341</v>
      </c>
      <c r="AQ704" t="s">
        <v>74</v>
      </c>
      <c r="AR704" t="s">
        <v>12342</v>
      </c>
      <c r="AS704" t="s">
        <v>12343</v>
      </c>
      <c r="AT704" t="s">
        <v>12322</v>
      </c>
      <c r="AU704">
        <v>2023</v>
      </c>
      <c r="AV704">
        <v>19</v>
      </c>
      <c r="AW704">
        <v>2</v>
      </c>
      <c r="AX704" t="s">
        <v>74</v>
      </c>
      <c r="AY704" t="s">
        <v>74</v>
      </c>
      <c r="AZ704" t="s">
        <v>74</v>
      </c>
      <c r="BA704" t="s">
        <v>74</v>
      </c>
      <c r="BB704" t="s">
        <v>74</v>
      </c>
      <c r="BC704" t="s">
        <v>74</v>
      </c>
      <c r="BD704">
        <v>2221146</v>
      </c>
      <c r="BE704" t="s">
        <v>12642</v>
      </c>
      <c r="BF704" t="str">
        <f>HYPERLINK("http://dx.doi.org/10.1080/21645515.2023.2221146","http://dx.doi.org/10.1080/21645515.2023.2221146")</f>
        <v>http://dx.doi.org/10.1080/21645515.2023.2221146</v>
      </c>
      <c r="BG704" t="s">
        <v>74</v>
      </c>
      <c r="BH704" t="s">
        <v>74</v>
      </c>
      <c r="BI704">
        <v>10</v>
      </c>
      <c r="BJ704" t="s">
        <v>12345</v>
      </c>
      <c r="BK704" t="s">
        <v>102</v>
      </c>
      <c r="BL704" t="s">
        <v>12345</v>
      </c>
      <c r="BM704" t="s">
        <v>12643</v>
      </c>
      <c r="BN704">
        <v>37344370</v>
      </c>
      <c r="BO704" t="s">
        <v>1927</v>
      </c>
      <c r="BP704" t="s">
        <v>74</v>
      </c>
      <c r="BQ704" t="s">
        <v>74</v>
      </c>
      <c r="BR704" t="s">
        <v>105</v>
      </c>
      <c r="BS704" t="s">
        <v>12644</v>
      </c>
      <c r="BT704" t="str">
        <f>HYPERLINK("https%3A%2F%2Fwww.webofscience.com%2Fwos%2Fwoscc%2Ffull-record%2FWOS:001010421300001","View Full Record in Web of Science")</f>
        <v>View Full Record in Web of Science</v>
      </c>
    </row>
    <row r="705" spans="1:72" x14ac:dyDescent="0.15">
      <c r="A705" t="s">
        <v>72</v>
      </c>
      <c r="B705" t="s">
        <v>12645</v>
      </c>
      <c r="C705" t="s">
        <v>74</v>
      </c>
      <c r="D705" t="s">
        <v>74</v>
      </c>
      <c r="E705" t="s">
        <v>74</v>
      </c>
      <c r="F705" t="s">
        <v>12646</v>
      </c>
      <c r="G705" t="s">
        <v>74</v>
      </c>
      <c r="H705" t="s">
        <v>74</v>
      </c>
      <c r="I705" t="s">
        <v>12647</v>
      </c>
      <c r="J705" t="s">
        <v>12329</v>
      </c>
      <c r="K705" t="s">
        <v>74</v>
      </c>
      <c r="L705" t="s">
        <v>74</v>
      </c>
      <c r="M705" t="s">
        <v>78</v>
      </c>
      <c r="N705" t="s">
        <v>171</v>
      </c>
      <c r="O705" t="s">
        <v>74</v>
      </c>
      <c r="P705" t="s">
        <v>74</v>
      </c>
      <c r="Q705" t="s">
        <v>74</v>
      </c>
      <c r="R705" t="s">
        <v>74</v>
      </c>
      <c r="S705" t="s">
        <v>74</v>
      </c>
      <c r="T705" t="s">
        <v>12648</v>
      </c>
      <c r="U705" t="s">
        <v>12649</v>
      </c>
      <c r="V705" t="s">
        <v>12650</v>
      </c>
      <c r="W705" t="s">
        <v>12651</v>
      </c>
      <c r="X705" t="s">
        <v>12652</v>
      </c>
      <c r="Y705" t="s">
        <v>12653</v>
      </c>
      <c r="Z705" t="s">
        <v>12654</v>
      </c>
      <c r="AA705" t="s">
        <v>74</v>
      </c>
      <c r="AB705" t="s">
        <v>74</v>
      </c>
      <c r="AC705" t="s">
        <v>12655</v>
      </c>
      <c r="AD705" t="s">
        <v>12656</v>
      </c>
      <c r="AE705" t="s">
        <v>12657</v>
      </c>
      <c r="AF705" t="s">
        <v>74</v>
      </c>
      <c r="AG705">
        <v>56</v>
      </c>
      <c r="AH705">
        <v>0</v>
      </c>
      <c r="AI705">
        <v>0</v>
      </c>
      <c r="AJ705">
        <v>1</v>
      </c>
      <c r="AK705">
        <v>1</v>
      </c>
      <c r="AL705" t="s">
        <v>184</v>
      </c>
      <c r="AM705" t="s">
        <v>185</v>
      </c>
      <c r="AN705" t="s">
        <v>186</v>
      </c>
      <c r="AO705" t="s">
        <v>12340</v>
      </c>
      <c r="AP705" t="s">
        <v>12341</v>
      </c>
      <c r="AQ705" t="s">
        <v>74</v>
      </c>
      <c r="AR705" t="s">
        <v>12342</v>
      </c>
      <c r="AS705" t="s">
        <v>12343</v>
      </c>
      <c r="AT705" t="s">
        <v>12322</v>
      </c>
      <c r="AU705">
        <v>2023</v>
      </c>
      <c r="AV705">
        <v>19</v>
      </c>
      <c r="AW705">
        <v>2</v>
      </c>
      <c r="AX705" t="s">
        <v>74</v>
      </c>
      <c r="AY705" t="s">
        <v>74</v>
      </c>
      <c r="AZ705" t="s">
        <v>74</v>
      </c>
      <c r="BA705" t="s">
        <v>74</v>
      </c>
      <c r="BB705" t="s">
        <v>74</v>
      </c>
      <c r="BC705" t="s">
        <v>74</v>
      </c>
      <c r="BD705">
        <v>2254262</v>
      </c>
      <c r="BE705" t="s">
        <v>12658</v>
      </c>
      <c r="BF705" t="str">
        <f>HYPERLINK("http://dx.doi.org/10.1080/21645515.2023.2254262","http://dx.doi.org/10.1080/21645515.2023.2254262")</f>
        <v>http://dx.doi.org/10.1080/21645515.2023.2254262</v>
      </c>
      <c r="BG705" t="s">
        <v>74</v>
      </c>
      <c r="BH705" t="s">
        <v>74</v>
      </c>
      <c r="BI705">
        <v>11</v>
      </c>
      <c r="BJ705" t="s">
        <v>12345</v>
      </c>
      <c r="BK705" t="s">
        <v>102</v>
      </c>
      <c r="BL705" t="s">
        <v>12345</v>
      </c>
      <c r="BM705" t="s">
        <v>12659</v>
      </c>
      <c r="BN705">
        <v>37728107</v>
      </c>
      <c r="BO705" t="s">
        <v>519</v>
      </c>
      <c r="BP705" t="s">
        <v>74</v>
      </c>
      <c r="BQ705" t="s">
        <v>74</v>
      </c>
      <c r="BR705" t="s">
        <v>105</v>
      </c>
      <c r="BS705" t="s">
        <v>12660</v>
      </c>
      <c r="BT705" t="str">
        <f>HYPERLINK("https%3A%2F%2Fwww.webofscience.com%2Fwos%2Fwoscc%2Ffull-record%2FWOS:001068224100001","View Full Record in Web of Science")</f>
        <v>View Full Record in Web of Science</v>
      </c>
    </row>
    <row r="706" spans="1:72" x14ac:dyDescent="0.15">
      <c r="A706" t="s">
        <v>72</v>
      </c>
      <c r="B706" t="s">
        <v>11264</v>
      </c>
      <c r="C706" t="s">
        <v>74</v>
      </c>
      <c r="D706" t="s">
        <v>74</v>
      </c>
      <c r="E706" t="s">
        <v>74</v>
      </c>
      <c r="F706" t="s">
        <v>11264</v>
      </c>
      <c r="G706" t="s">
        <v>74</v>
      </c>
      <c r="H706" t="s">
        <v>74</v>
      </c>
      <c r="I706" t="s">
        <v>12661</v>
      </c>
      <c r="J706" t="s">
        <v>12662</v>
      </c>
      <c r="K706" t="s">
        <v>74</v>
      </c>
      <c r="L706" t="s">
        <v>74</v>
      </c>
      <c r="M706" t="s">
        <v>78</v>
      </c>
      <c r="N706" t="s">
        <v>11267</v>
      </c>
      <c r="O706" t="s">
        <v>74</v>
      </c>
      <c r="P706" t="s">
        <v>74</v>
      </c>
      <c r="Q706" t="s">
        <v>74</v>
      </c>
      <c r="R706" t="s">
        <v>74</v>
      </c>
      <c r="S706" t="s">
        <v>74</v>
      </c>
      <c r="T706" t="s">
        <v>74</v>
      </c>
      <c r="U706" t="s">
        <v>74</v>
      </c>
      <c r="V706" t="s">
        <v>74</v>
      </c>
      <c r="W706" t="s">
        <v>74</v>
      </c>
      <c r="X706" t="s">
        <v>74</v>
      </c>
      <c r="Y706" t="s">
        <v>74</v>
      </c>
      <c r="Z706" t="s">
        <v>74</v>
      </c>
      <c r="AA706" t="s">
        <v>74</v>
      </c>
      <c r="AB706" t="s">
        <v>74</v>
      </c>
      <c r="AC706" t="s">
        <v>74</v>
      </c>
      <c r="AD706" t="s">
        <v>74</v>
      </c>
      <c r="AE706" t="s">
        <v>74</v>
      </c>
      <c r="AF706" t="s">
        <v>74</v>
      </c>
      <c r="AG706">
        <v>1</v>
      </c>
      <c r="AH706">
        <v>0</v>
      </c>
      <c r="AI706">
        <v>0</v>
      </c>
      <c r="AJ706">
        <v>2</v>
      </c>
      <c r="AK706">
        <v>2</v>
      </c>
      <c r="AL706" t="s">
        <v>92</v>
      </c>
      <c r="AM706" t="s">
        <v>93</v>
      </c>
      <c r="AN706" t="s">
        <v>94</v>
      </c>
      <c r="AO706" t="s">
        <v>12663</v>
      </c>
      <c r="AP706" t="s">
        <v>12664</v>
      </c>
      <c r="AQ706" t="s">
        <v>74</v>
      </c>
      <c r="AR706" t="s">
        <v>12665</v>
      </c>
      <c r="AS706" t="s">
        <v>12666</v>
      </c>
      <c r="AT706" t="s">
        <v>12393</v>
      </c>
      <c r="AU706">
        <v>2023</v>
      </c>
      <c r="AV706" t="s">
        <v>74</v>
      </c>
      <c r="AW706" t="s">
        <v>74</v>
      </c>
      <c r="AX706" t="s">
        <v>74</v>
      </c>
      <c r="AY706" t="s">
        <v>74</v>
      </c>
      <c r="AZ706" t="s">
        <v>74</v>
      </c>
      <c r="BA706" t="s">
        <v>74</v>
      </c>
      <c r="BB706" t="s">
        <v>74</v>
      </c>
      <c r="BC706" t="s">
        <v>74</v>
      </c>
      <c r="BD706" t="s">
        <v>74</v>
      </c>
      <c r="BE706" t="s">
        <v>12667</v>
      </c>
      <c r="BF706" t="str">
        <f>HYPERLINK("http://dx.doi.org/10.1080/08927022.2023.2242678","http://dx.doi.org/10.1080/08927022.2023.2242678")</f>
        <v>http://dx.doi.org/10.1080/08927022.2023.2242678</v>
      </c>
      <c r="BG706" t="s">
        <v>74</v>
      </c>
      <c r="BH706" t="s">
        <v>8608</v>
      </c>
      <c r="BI706">
        <v>1</v>
      </c>
      <c r="BJ706" t="s">
        <v>8973</v>
      </c>
      <c r="BK706" t="s">
        <v>102</v>
      </c>
      <c r="BL706" t="s">
        <v>8974</v>
      </c>
      <c r="BM706" t="s">
        <v>12668</v>
      </c>
      <c r="BN706" t="s">
        <v>74</v>
      </c>
      <c r="BO706" t="s">
        <v>5391</v>
      </c>
      <c r="BP706" t="s">
        <v>74</v>
      </c>
      <c r="BQ706" t="s">
        <v>74</v>
      </c>
      <c r="BR706" t="s">
        <v>105</v>
      </c>
      <c r="BS706" t="s">
        <v>12669</v>
      </c>
      <c r="BT706" t="str">
        <f>HYPERLINK("https%3A%2F%2Fwww.webofscience.com%2Fwos%2Fwoscc%2Ffull-record%2FWOS:001049731600001","View Full Record in Web of Science")</f>
        <v>View Full Record in Web of Science</v>
      </c>
    </row>
    <row r="707" spans="1:72" x14ac:dyDescent="0.15">
      <c r="A707" t="s">
        <v>72</v>
      </c>
      <c r="B707" t="s">
        <v>12670</v>
      </c>
      <c r="C707" t="s">
        <v>74</v>
      </c>
      <c r="D707" t="s">
        <v>74</v>
      </c>
      <c r="E707" t="s">
        <v>74</v>
      </c>
      <c r="F707" t="s">
        <v>12671</v>
      </c>
      <c r="G707" t="s">
        <v>74</v>
      </c>
      <c r="H707" t="s">
        <v>74</v>
      </c>
      <c r="I707" t="s">
        <v>12672</v>
      </c>
      <c r="J707" t="s">
        <v>12673</v>
      </c>
      <c r="K707" t="s">
        <v>74</v>
      </c>
      <c r="L707" t="s">
        <v>74</v>
      </c>
      <c r="M707" t="s">
        <v>78</v>
      </c>
      <c r="N707" t="s">
        <v>5492</v>
      </c>
      <c r="O707" t="s">
        <v>74</v>
      </c>
      <c r="P707" t="s">
        <v>74</v>
      </c>
      <c r="Q707" t="s">
        <v>74</v>
      </c>
      <c r="R707" t="s">
        <v>74</v>
      </c>
      <c r="S707" t="s">
        <v>74</v>
      </c>
      <c r="T707" t="s">
        <v>12674</v>
      </c>
      <c r="U707" t="s">
        <v>12675</v>
      </c>
      <c r="V707" t="s">
        <v>12676</v>
      </c>
      <c r="W707" t="s">
        <v>12677</v>
      </c>
      <c r="X707" t="s">
        <v>12678</v>
      </c>
      <c r="Y707" t="s">
        <v>12679</v>
      </c>
      <c r="Z707" t="s">
        <v>12680</v>
      </c>
      <c r="AA707" t="s">
        <v>74</v>
      </c>
      <c r="AB707" t="s">
        <v>74</v>
      </c>
      <c r="AC707" t="s">
        <v>74</v>
      </c>
      <c r="AD707" t="s">
        <v>74</v>
      </c>
      <c r="AE707" t="s">
        <v>74</v>
      </c>
      <c r="AF707" t="s">
        <v>74</v>
      </c>
      <c r="AG707">
        <v>32</v>
      </c>
      <c r="AH707">
        <v>0</v>
      </c>
      <c r="AI707">
        <v>0</v>
      </c>
      <c r="AJ707">
        <v>0</v>
      </c>
      <c r="AK707">
        <v>0</v>
      </c>
      <c r="AL707" t="s">
        <v>1188</v>
      </c>
      <c r="AM707" t="s">
        <v>93</v>
      </c>
      <c r="AN707" t="s">
        <v>1189</v>
      </c>
      <c r="AO707" t="s">
        <v>12681</v>
      </c>
      <c r="AP707" t="s">
        <v>12682</v>
      </c>
      <c r="AQ707" t="s">
        <v>74</v>
      </c>
      <c r="AR707" t="s">
        <v>12683</v>
      </c>
      <c r="AS707" t="s">
        <v>12684</v>
      </c>
      <c r="AT707" t="s">
        <v>12685</v>
      </c>
      <c r="AU707">
        <v>2023</v>
      </c>
      <c r="AV707" t="s">
        <v>74</v>
      </c>
      <c r="AW707" t="s">
        <v>74</v>
      </c>
      <c r="AX707" t="s">
        <v>74</v>
      </c>
      <c r="AY707" t="s">
        <v>74</v>
      </c>
      <c r="AZ707" t="s">
        <v>74</v>
      </c>
      <c r="BA707" t="s">
        <v>74</v>
      </c>
      <c r="BB707" t="s">
        <v>74</v>
      </c>
      <c r="BC707" t="s">
        <v>74</v>
      </c>
      <c r="BD707" t="s">
        <v>74</v>
      </c>
      <c r="BE707" t="s">
        <v>12686</v>
      </c>
      <c r="BF707" t="str">
        <f>HYPERLINK("http://dx.doi.org/10.1080/02615479.2023.2241488","http://dx.doi.org/10.1080/02615479.2023.2241488")</f>
        <v>http://dx.doi.org/10.1080/02615479.2023.2241488</v>
      </c>
      <c r="BG707" t="s">
        <v>74</v>
      </c>
      <c r="BH707" t="s">
        <v>12687</v>
      </c>
      <c r="BI707">
        <v>14</v>
      </c>
      <c r="BJ707" t="s">
        <v>271</v>
      </c>
      <c r="BK707" t="s">
        <v>211</v>
      </c>
      <c r="BL707" t="s">
        <v>271</v>
      </c>
      <c r="BM707" t="s">
        <v>12688</v>
      </c>
      <c r="BN707" t="s">
        <v>74</v>
      </c>
      <c r="BO707" t="s">
        <v>74</v>
      </c>
      <c r="BP707" t="s">
        <v>74</v>
      </c>
      <c r="BQ707" t="s">
        <v>74</v>
      </c>
      <c r="BR707" t="s">
        <v>105</v>
      </c>
      <c r="BS707" t="s">
        <v>12689</v>
      </c>
      <c r="BT707" t="str">
        <f>HYPERLINK("https%3A%2F%2Fwww.webofscience.com%2Fwos%2Fwoscc%2Ffull-record%2FWOS:001040686300001","View Full Record in Web of Science")</f>
        <v>View Full Record in Web of Science</v>
      </c>
    </row>
    <row r="708" spans="1:72" x14ac:dyDescent="0.15">
      <c r="A708" t="s">
        <v>72</v>
      </c>
      <c r="B708" t="s">
        <v>12690</v>
      </c>
      <c r="C708" t="s">
        <v>74</v>
      </c>
      <c r="D708" t="s">
        <v>74</v>
      </c>
      <c r="E708" t="s">
        <v>74</v>
      </c>
      <c r="F708" t="s">
        <v>12691</v>
      </c>
      <c r="G708" t="s">
        <v>74</v>
      </c>
      <c r="H708" t="s">
        <v>74</v>
      </c>
      <c r="I708" t="s">
        <v>12692</v>
      </c>
      <c r="J708" t="s">
        <v>12693</v>
      </c>
      <c r="K708" t="s">
        <v>74</v>
      </c>
      <c r="L708" t="s">
        <v>74</v>
      </c>
      <c r="M708" t="s">
        <v>78</v>
      </c>
      <c r="N708" t="s">
        <v>5492</v>
      </c>
      <c r="O708" t="s">
        <v>74</v>
      </c>
      <c r="P708" t="s">
        <v>74</v>
      </c>
      <c r="Q708" t="s">
        <v>74</v>
      </c>
      <c r="R708" t="s">
        <v>74</v>
      </c>
      <c r="S708" t="s">
        <v>74</v>
      </c>
      <c r="T708" t="s">
        <v>12694</v>
      </c>
      <c r="U708" t="s">
        <v>12695</v>
      </c>
      <c r="V708" t="s">
        <v>12696</v>
      </c>
      <c r="W708" t="s">
        <v>12697</v>
      </c>
      <c r="X708" t="s">
        <v>12698</v>
      </c>
      <c r="Y708" t="s">
        <v>12699</v>
      </c>
      <c r="Z708" t="s">
        <v>12700</v>
      </c>
      <c r="AA708" t="s">
        <v>74</v>
      </c>
      <c r="AB708" t="s">
        <v>74</v>
      </c>
      <c r="AC708" t="s">
        <v>12701</v>
      </c>
      <c r="AD708" t="s">
        <v>12702</v>
      </c>
      <c r="AE708" t="s">
        <v>12703</v>
      </c>
      <c r="AF708" t="s">
        <v>74</v>
      </c>
      <c r="AG708">
        <v>46</v>
      </c>
      <c r="AH708">
        <v>0</v>
      </c>
      <c r="AI708">
        <v>0</v>
      </c>
      <c r="AJ708">
        <v>4</v>
      </c>
      <c r="AK708">
        <v>4</v>
      </c>
      <c r="AL708" t="s">
        <v>92</v>
      </c>
      <c r="AM708" t="s">
        <v>93</v>
      </c>
      <c r="AN708" t="s">
        <v>94</v>
      </c>
      <c r="AO708" t="s">
        <v>12704</v>
      </c>
      <c r="AP708" t="s">
        <v>12705</v>
      </c>
      <c r="AQ708" t="s">
        <v>74</v>
      </c>
      <c r="AR708" t="s">
        <v>12706</v>
      </c>
      <c r="AS708" t="s">
        <v>12707</v>
      </c>
      <c r="AT708" t="s">
        <v>12685</v>
      </c>
      <c r="AU708">
        <v>2023</v>
      </c>
      <c r="AV708" t="s">
        <v>74</v>
      </c>
      <c r="AW708" t="s">
        <v>74</v>
      </c>
      <c r="AX708" t="s">
        <v>74</v>
      </c>
      <c r="AY708" t="s">
        <v>74</v>
      </c>
      <c r="AZ708" t="s">
        <v>74</v>
      </c>
      <c r="BA708" t="s">
        <v>74</v>
      </c>
      <c r="BB708" t="s">
        <v>74</v>
      </c>
      <c r="BC708" t="s">
        <v>74</v>
      </c>
      <c r="BD708" t="s">
        <v>74</v>
      </c>
      <c r="BE708" t="s">
        <v>12708</v>
      </c>
      <c r="BF708" t="str">
        <f>HYPERLINK("http://dx.doi.org/10.1080/13632469.2023.2240452","http://dx.doi.org/10.1080/13632469.2023.2240452")</f>
        <v>http://dx.doi.org/10.1080/13632469.2023.2240452</v>
      </c>
      <c r="BG708" t="s">
        <v>74</v>
      </c>
      <c r="BH708" t="s">
        <v>12687</v>
      </c>
      <c r="BI708">
        <v>21</v>
      </c>
      <c r="BJ708" t="s">
        <v>12709</v>
      </c>
      <c r="BK708" t="s">
        <v>102</v>
      </c>
      <c r="BL708" t="s">
        <v>9499</v>
      </c>
      <c r="BM708" t="s">
        <v>12710</v>
      </c>
      <c r="BN708" t="s">
        <v>74</v>
      </c>
      <c r="BO708" t="s">
        <v>74</v>
      </c>
      <c r="BP708" t="s">
        <v>74</v>
      </c>
      <c r="BQ708" t="s">
        <v>74</v>
      </c>
      <c r="BR708" t="s">
        <v>105</v>
      </c>
      <c r="BS708" t="s">
        <v>12711</v>
      </c>
      <c r="BT708" t="str">
        <f>HYPERLINK("https%3A%2F%2Fwww.webofscience.com%2Fwos%2Fwoscc%2Ffull-record%2FWOS:001040245100001","View Full Record in Web of Science")</f>
        <v>View Full Record in Web of Science</v>
      </c>
    </row>
    <row r="709" spans="1:72" x14ac:dyDescent="0.15">
      <c r="A709" t="s">
        <v>72</v>
      </c>
      <c r="B709" t="s">
        <v>12712</v>
      </c>
      <c r="C709" t="s">
        <v>74</v>
      </c>
      <c r="D709" t="s">
        <v>74</v>
      </c>
      <c r="E709" t="s">
        <v>74</v>
      </c>
      <c r="F709" t="s">
        <v>12713</v>
      </c>
      <c r="G709" t="s">
        <v>74</v>
      </c>
      <c r="H709" t="s">
        <v>74</v>
      </c>
      <c r="I709" t="s">
        <v>12714</v>
      </c>
      <c r="J709" t="s">
        <v>12081</v>
      </c>
      <c r="K709" t="s">
        <v>74</v>
      </c>
      <c r="L709" t="s">
        <v>74</v>
      </c>
      <c r="M709" t="s">
        <v>78</v>
      </c>
      <c r="N709" t="s">
        <v>5492</v>
      </c>
      <c r="O709" t="s">
        <v>74</v>
      </c>
      <c r="P709" t="s">
        <v>74</v>
      </c>
      <c r="Q709" t="s">
        <v>74</v>
      </c>
      <c r="R709" t="s">
        <v>74</v>
      </c>
      <c r="S709" t="s">
        <v>74</v>
      </c>
      <c r="T709" t="s">
        <v>12715</v>
      </c>
      <c r="U709" t="s">
        <v>12716</v>
      </c>
      <c r="V709" t="s">
        <v>12717</v>
      </c>
      <c r="W709" t="s">
        <v>12718</v>
      </c>
      <c r="X709" t="s">
        <v>12719</v>
      </c>
      <c r="Y709" t="s">
        <v>12720</v>
      </c>
      <c r="Z709" t="s">
        <v>12721</v>
      </c>
      <c r="AA709" t="s">
        <v>12722</v>
      </c>
      <c r="AB709" t="s">
        <v>12723</v>
      </c>
      <c r="AC709" t="s">
        <v>74</v>
      </c>
      <c r="AD709" t="s">
        <v>74</v>
      </c>
      <c r="AE709" t="s">
        <v>74</v>
      </c>
      <c r="AF709" t="s">
        <v>74</v>
      </c>
      <c r="AG709">
        <v>45</v>
      </c>
      <c r="AH709">
        <v>0</v>
      </c>
      <c r="AI709">
        <v>0</v>
      </c>
      <c r="AJ709">
        <v>1</v>
      </c>
      <c r="AK709">
        <v>1</v>
      </c>
      <c r="AL709" t="s">
        <v>1188</v>
      </c>
      <c r="AM709" t="s">
        <v>93</v>
      </c>
      <c r="AN709" t="s">
        <v>1189</v>
      </c>
      <c r="AO709" t="s">
        <v>12089</v>
      </c>
      <c r="AP709" t="s">
        <v>12090</v>
      </c>
      <c r="AQ709" t="s">
        <v>74</v>
      </c>
      <c r="AR709" t="s">
        <v>12091</v>
      </c>
      <c r="AS709" t="s">
        <v>12092</v>
      </c>
      <c r="AT709" t="s">
        <v>12724</v>
      </c>
      <c r="AU709">
        <v>2023</v>
      </c>
      <c r="AV709" t="s">
        <v>74</v>
      </c>
      <c r="AW709" t="s">
        <v>74</v>
      </c>
      <c r="AX709" t="s">
        <v>74</v>
      </c>
      <c r="AY709" t="s">
        <v>74</v>
      </c>
      <c r="AZ709" t="s">
        <v>74</v>
      </c>
      <c r="BA709" t="s">
        <v>74</v>
      </c>
      <c r="BB709" t="s">
        <v>74</v>
      </c>
      <c r="BC709" t="s">
        <v>74</v>
      </c>
      <c r="BD709" t="s">
        <v>74</v>
      </c>
      <c r="BE709" t="s">
        <v>12725</v>
      </c>
      <c r="BF709" t="str">
        <f>HYPERLINK("http://dx.doi.org/10.1080/19419899.2023.2241863","http://dx.doi.org/10.1080/19419899.2023.2241863")</f>
        <v>http://dx.doi.org/10.1080/19419899.2023.2241863</v>
      </c>
      <c r="BG709" t="s">
        <v>74</v>
      </c>
      <c r="BH709" t="s">
        <v>12687</v>
      </c>
      <c r="BI709">
        <v>11</v>
      </c>
      <c r="BJ709" t="s">
        <v>1690</v>
      </c>
      <c r="BK709" t="s">
        <v>272</v>
      </c>
      <c r="BL709" t="s">
        <v>1691</v>
      </c>
      <c r="BM709" t="s">
        <v>12726</v>
      </c>
      <c r="BN709" t="s">
        <v>74</v>
      </c>
      <c r="BO709" t="s">
        <v>74</v>
      </c>
      <c r="BP709" t="s">
        <v>74</v>
      </c>
      <c r="BQ709" t="s">
        <v>74</v>
      </c>
      <c r="BR709" t="s">
        <v>105</v>
      </c>
      <c r="BS709" t="s">
        <v>12727</v>
      </c>
      <c r="BT709" t="str">
        <f>HYPERLINK("https%3A%2F%2Fwww.webofscience.com%2Fwos%2Fwoscc%2Ffull-record%2FWOS:001037321100001","View Full Record in Web of Science")</f>
        <v>View Full Record in Web of Science</v>
      </c>
    </row>
    <row r="710" spans="1:72" x14ac:dyDescent="0.15">
      <c r="A710" t="s">
        <v>72</v>
      </c>
      <c r="B710" t="s">
        <v>12728</v>
      </c>
      <c r="C710" t="s">
        <v>74</v>
      </c>
      <c r="D710" t="s">
        <v>74</v>
      </c>
      <c r="E710" t="s">
        <v>74</v>
      </c>
      <c r="F710" t="s">
        <v>12729</v>
      </c>
      <c r="G710" t="s">
        <v>74</v>
      </c>
      <c r="H710" t="s">
        <v>74</v>
      </c>
      <c r="I710" t="s">
        <v>12730</v>
      </c>
      <c r="J710" t="s">
        <v>12731</v>
      </c>
      <c r="K710" t="s">
        <v>74</v>
      </c>
      <c r="L710" t="s">
        <v>74</v>
      </c>
      <c r="M710" t="s">
        <v>78</v>
      </c>
      <c r="N710" t="s">
        <v>5492</v>
      </c>
      <c r="O710" t="s">
        <v>74</v>
      </c>
      <c r="P710" t="s">
        <v>74</v>
      </c>
      <c r="Q710" t="s">
        <v>74</v>
      </c>
      <c r="R710" t="s">
        <v>74</v>
      </c>
      <c r="S710" t="s">
        <v>74</v>
      </c>
      <c r="T710" t="s">
        <v>12732</v>
      </c>
      <c r="U710" t="s">
        <v>12733</v>
      </c>
      <c r="V710" t="s">
        <v>12734</v>
      </c>
      <c r="W710" t="s">
        <v>12735</v>
      </c>
      <c r="X710" t="s">
        <v>12736</v>
      </c>
      <c r="Y710" t="s">
        <v>12737</v>
      </c>
      <c r="Z710" t="s">
        <v>12738</v>
      </c>
      <c r="AA710" t="s">
        <v>12739</v>
      </c>
      <c r="AB710" t="s">
        <v>12740</v>
      </c>
      <c r="AC710" t="s">
        <v>12741</v>
      </c>
      <c r="AD710" t="s">
        <v>12742</v>
      </c>
      <c r="AE710" t="s">
        <v>12743</v>
      </c>
      <c r="AF710" t="s">
        <v>74</v>
      </c>
      <c r="AG710">
        <v>27</v>
      </c>
      <c r="AH710">
        <v>0</v>
      </c>
      <c r="AI710">
        <v>0</v>
      </c>
      <c r="AJ710">
        <v>0</v>
      </c>
      <c r="AK710">
        <v>0</v>
      </c>
      <c r="AL710" t="s">
        <v>1188</v>
      </c>
      <c r="AM710" t="s">
        <v>93</v>
      </c>
      <c r="AN710" t="s">
        <v>1189</v>
      </c>
      <c r="AO710" t="s">
        <v>12744</v>
      </c>
      <c r="AP710" t="s">
        <v>12745</v>
      </c>
      <c r="AQ710" t="s">
        <v>74</v>
      </c>
      <c r="AR710" t="s">
        <v>12746</v>
      </c>
      <c r="AS710" t="s">
        <v>12747</v>
      </c>
      <c r="AT710" t="s">
        <v>12724</v>
      </c>
      <c r="AU710">
        <v>2023</v>
      </c>
      <c r="AV710" t="s">
        <v>74</v>
      </c>
      <c r="AW710" t="s">
        <v>74</v>
      </c>
      <c r="AX710" t="s">
        <v>74</v>
      </c>
      <c r="AY710" t="s">
        <v>74</v>
      </c>
      <c r="AZ710" t="s">
        <v>74</v>
      </c>
      <c r="BA710" t="s">
        <v>74</v>
      </c>
      <c r="BB710" t="s">
        <v>74</v>
      </c>
      <c r="BC710" t="s">
        <v>74</v>
      </c>
      <c r="BD710" t="s">
        <v>74</v>
      </c>
      <c r="BE710" t="s">
        <v>12748</v>
      </c>
      <c r="BF710" t="str">
        <f>HYPERLINK("http://dx.doi.org/10.1080/02791072.2023.2241465","http://dx.doi.org/10.1080/02791072.2023.2241465")</f>
        <v>http://dx.doi.org/10.1080/02791072.2023.2241465</v>
      </c>
      <c r="BG710" t="s">
        <v>74</v>
      </c>
      <c r="BH710" t="s">
        <v>12687</v>
      </c>
      <c r="BI710">
        <v>7</v>
      </c>
      <c r="BJ710" t="s">
        <v>12749</v>
      </c>
      <c r="BK710" t="s">
        <v>272</v>
      </c>
      <c r="BL710" t="s">
        <v>12750</v>
      </c>
      <c r="BM710" t="s">
        <v>12751</v>
      </c>
      <c r="BN710">
        <v>37504800</v>
      </c>
      <c r="BO710" t="s">
        <v>74</v>
      </c>
      <c r="BP710" t="s">
        <v>74</v>
      </c>
      <c r="BQ710" t="s">
        <v>74</v>
      </c>
      <c r="BR710" t="s">
        <v>105</v>
      </c>
      <c r="BS710" t="s">
        <v>12752</v>
      </c>
      <c r="BT710" t="str">
        <f>HYPERLINK("https%3A%2F%2Fwww.webofscience.com%2Fwos%2Fwoscc%2Ffull-record%2FWOS:001039469000001","View Full Record in Web of Science")</f>
        <v>View Full Record in Web of Science</v>
      </c>
    </row>
    <row r="711" spans="1:72" x14ac:dyDescent="0.15">
      <c r="A711" t="s">
        <v>72</v>
      </c>
      <c r="B711" t="s">
        <v>12753</v>
      </c>
      <c r="C711" t="s">
        <v>74</v>
      </c>
      <c r="D711" t="s">
        <v>74</v>
      </c>
      <c r="E711" t="s">
        <v>74</v>
      </c>
      <c r="F711" t="s">
        <v>12754</v>
      </c>
      <c r="G711" t="s">
        <v>74</v>
      </c>
      <c r="H711" t="s">
        <v>74</v>
      </c>
      <c r="I711" t="s">
        <v>12755</v>
      </c>
      <c r="J711" t="s">
        <v>12756</v>
      </c>
      <c r="K711" t="s">
        <v>74</v>
      </c>
      <c r="L711" t="s">
        <v>74</v>
      </c>
      <c r="M711" t="s">
        <v>78</v>
      </c>
      <c r="N711" t="s">
        <v>5492</v>
      </c>
      <c r="O711" t="s">
        <v>74</v>
      </c>
      <c r="P711" t="s">
        <v>74</v>
      </c>
      <c r="Q711" t="s">
        <v>74</v>
      </c>
      <c r="R711" t="s">
        <v>74</v>
      </c>
      <c r="S711" t="s">
        <v>74</v>
      </c>
      <c r="T711" t="s">
        <v>74</v>
      </c>
      <c r="U711" t="s">
        <v>12757</v>
      </c>
      <c r="V711" t="s">
        <v>12758</v>
      </c>
      <c r="W711" t="s">
        <v>12759</v>
      </c>
      <c r="X711" t="s">
        <v>12760</v>
      </c>
      <c r="Y711" t="s">
        <v>12761</v>
      </c>
      <c r="Z711" t="s">
        <v>12762</v>
      </c>
      <c r="AA711" t="s">
        <v>74</v>
      </c>
      <c r="AB711" t="s">
        <v>74</v>
      </c>
      <c r="AC711" t="s">
        <v>74</v>
      </c>
      <c r="AD711" t="s">
        <v>74</v>
      </c>
      <c r="AE711" t="s">
        <v>74</v>
      </c>
      <c r="AF711" t="s">
        <v>74</v>
      </c>
      <c r="AG711">
        <v>59</v>
      </c>
      <c r="AH711">
        <v>0</v>
      </c>
      <c r="AI711">
        <v>0</v>
      </c>
      <c r="AJ711">
        <v>1</v>
      </c>
      <c r="AK711">
        <v>1</v>
      </c>
      <c r="AL711" t="s">
        <v>1188</v>
      </c>
      <c r="AM711" t="s">
        <v>93</v>
      </c>
      <c r="AN711" t="s">
        <v>1189</v>
      </c>
      <c r="AO711" t="s">
        <v>12763</v>
      </c>
      <c r="AP711" t="s">
        <v>12764</v>
      </c>
      <c r="AQ711" t="s">
        <v>74</v>
      </c>
      <c r="AR711" t="s">
        <v>12765</v>
      </c>
      <c r="AS711" t="s">
        <v>12766</v>
      </c>
      <c r="AT711" t="s">
        <v>12724</v>
      </c>
      <c r="AU711">
        <v>2023</v>
      </c>
      <c r="AV711" t="s">
        <v>74</v>
      </c>
      <c r="AW711" t="s">
        <v>74</v>
      </c>
      <c r="AX711" t="s">
        <v>74</v>
      </c>
      <c r="AY711" t="s">
        <v>74</v>
      </c>
      <c r="AZ711" t="s">
        <v>74</v>
      </c>
      <c r="BA711" t="s">
        <v>74</v>
      </c>
      <c r="BB711" t="s">
        <v>74</v>
      </c>
      <c r="BC711" t="s">
        <v>74</v>
      </c>
      <c r="BD711" t="s">
        <v>74</v>
      </c>
      <c r="BE711" t="s">
        <v>12767</v>
      </c>
      <c r="BF711" t="str">
        <f>HYPERLINK("http://dx.doi.org/10.1080/15295192.2023.2236171","http://dx.doi.org/10.1080/15295192.2023.2236171")</f>
        <v>http://dx.doi.org/10.1080/15295192.2023.2236171</v>
      </c>
      <c r="BG711" t="s">
        <v>74</v>
      </c>
      <c r="BH711" t="s">
        <v>12687</v>
      </c>
      <c r="BI711">
        <v>25</v>
      </c>
      <c r="BJ711" t="s">
        <v>12768</v>
      </c>
      <c r="BK711" t="s">
        <v>272</v>
      </c>
      <c r="BL711" t="s">
        <v>12769</v>
      </c>
      <c r="BM711" t="s">
        <v>12770</v>
      </c>
      <c r="BN711" t="s">
        <v>74</v>
      </c>
      <c r="BO711" t="s">
        <v>74</v>
      </c>
      <c r="BP711" t="s">
        <v>74</v>
      </c>
      <c r="BQ711" t="s">
        <v>74</v>
      </c>
      <c r="BR711" t="s">
        <v>105</v>
      </c>
      <c r="BS711" t="s">
        <v>12771</v>
      </c>
      <c r="BT711" t="str">
        <f>HYPERLINK("https%3A%2F%2Fwww.webofscience.com%2Fwos%2Fwoscc%2Ffull-record%2FWOS:001038136300001","View Full Record in Web of Science")</f>
        <v>View Full Record in Web of Science</v>
      </c>
    </row>
    <row r="712" spans="1:72" x14ac:dyDescent="0.15">
      <c r="A712" t="s">
        <v>72</v>
      </c>
      <c r="B712" t="s">
        <v>12772</v>
      </c>
      <c r="C712" t="s">
        <v>74</v>
      </c>
      <c r="D712" t="s">
        <v>74</v>
      </c>
      <c r="E712" t="s">
        <v>74</v>
      </c>
      <c r="F712" t="s">
        <v>12773</v>
      </c>
      <c r="G712" t="s">
        <v>74</v>
      </c>
      <c r="H712" t="s">
        <v>74</v>
      </c>
      <c r="I712" t="s">
        <v>12774</v>
      </c>
      <c r="J712" t="s">
        <v>6951</v>
      </c>
      <c r="K712" t="s">
        <v>74</v>
      </c>
      <c r="L712" t="s">
        <v>74</v>
      </c>
      <c r="M712" t="s">
        <v>78</v>
      </c>
      <c r="N712" t="s">
        <v>171</v>
      </c>
      <c r="O712" t="s">
        <v>74</v>
      </c>
      <c r="P712" t="s">
        <v>74</v>
      </c>
      <c r="Q712" t="s">
        <v>74</v>
      </c>
      <c r="R712" t="s">
        <v>74</v>
      </c>
      <c r="S712" t="s">
        <v>74</v>
      </c>
      <c r="T712" t="s">
        <v>12775</v>
      </c>
      <c r="U712" t="s">
        <v>12776</v>
      </c>
      <c r="V712" t="s">
        <v>12777</v>
      </c>
      <c r="W712" t="s">
        <v>12778</v>
      </c>
      <c r="X712" t="s">
        <v>12779</v>
      </c>
      <c r="Y712" t="s">
        <v>12780</v>
      </c>
      <c r="Z712" t="s">
        <v>12781</v>
      </c>
      <c r="AA712" t="s">
        <v>74</v>
      </c>
      <c r="AB712" t="s">
        <v>12782</v>
      </c>
      <c r="AC712" t="s">
        <v>74</v>
      </c>
      <c r="AD712" t="s">
        <v>74</v>
      </c>
      <c r="AE712" t="s">
        <v>74</v>
      </c>
      <c r="AF712" t="s">
        <v>74</v>
      </c>
      <c r="AG712">
        <v>40</v>
      </c>
      <c r="AH712">
        <v>0</v>
      </c>
      <c r="AI712">
        <v>0</v>
      </c>
      <c r="AJ712">
        <v>0</v>
      </c>
      <c r="AK712">
        <v>0</v>
      </c>
      <c r="AL712" t="s">
        <v>92</v>
      </c>
      <c r="AM712" t="s">
        <v>93</v>
      </c>
      <c r="AN712" t="s">
        <v>94</v>
      </c>
      <c r="AO712" t="s">
        <v>6962</v>
      </c>
      <c r="AP712" t="s">
        <v>6963</v>
      </c>
      <c r="AQ712" t="s">
        <v>74</v>
      </c>
      <c r="AR712" t="s">
        <v>6964</v>
      </c>
      <c r="AS712" t="s">
        <v>6965</v>
      </c>
      <c r="AT712" t="s">
        <v>7207</v>
      </c>
      <c r="AU712">
        <v>2023</v>
      </c>
      <c r="AV712">
        <v>17</v>
      </c>
      <c r="AW712">
        <v>8</v>
      </c>
      <c r="AX712" t="s">
        <v>74</v>
      </c>
      <c r="AY712" t="s">
        <v>74</v>
      </c>
      <c r="AZ712" t="s">
        <v>74</v>
      </c>
      <c r="BA712" t="s">
        <v>74</v>
      </c>
      <c r="BB712">
        <v>811</v>
      </c>
      <c r="BC712">
        <v>816</v>
      </c>
      <c r="BD712" t="s">
        <v>74</v>
      </c>
      <c r="BE712" t="s">
        <v>12783</v>
      </c>
      <c r="BF712" t="str">
        <f>HYPERLINK("http://dx.doi.org/10.1080/17474124.2023.2242240","http://dx.doi.org/10.1080/17474124.2023.2242240")</f>
        <v>http://dx.doi.org/10.1080/17474124.2023.2242240</v>
      </c>
      <c r="BG712" t="s">
        <v>74</v>
      </c>
      <c r="BH712" t="s">
        <v>12687</v>
      </c>
      <c r="BI712">
        <v>6</v>
      </c>
      <c r="BJ712" t="s">
        <v>6967</v>
      </c>
      <c r="BK712" t="s">
        <v>102</v>
      </c>
      <c r="BL712" t="s">
        <v>6967</v>
      </c>
      <c r="BM712" t="s">
        <v>12784</v>
      </c>
      <c r="BN712">
        <v>37515779</v>
      </c>
      <c r="BO712" t="s">
        <v>74</v>
      </c>
      <c r="BP712" t="s">
        <v>74</v>
      </c>
      <c r="BQ712" t="s">
        <v>74</v>
      </c>
      <c r="BR712" t="s">
        <v>105</v>
      </c>
      <c r="BS712" t="s">
        <v>12785</v>
      </c>
      <c r="BT712" t="str">
        <f>HYPERLINK("https%3A%2F%2Fwww.webofscience.com%2Fwos%2Fwoscc%2Ffull-record%2FWOS:001037324500001","View Full Record in Web of Science")</f>
        <v>View Full Record in Web of Science</v>
      </c>
    </row>
    <row r="713" spans="1:72" x14ac:dyDescent="0.15">
      <c r="A713" t="s">
        <v>72</v>
      </c>
      <c r="B713" t="s">
        <v>12786</v>
      </c>
      <c r="C713" t="s">
        <v>74</v>
      </c>
      <c r="D713" t="s">
        <v>74</v>
      </c>
      <c r="E713" t="s">
        <v>74</v>
      </c>
      <c r="F713" t="s">
        <v>12787</v>
      </c>
      <c r="G713" t="s">
        <v>74</v>
      </c>
      <c r="H713" t="s">
        <v>74</v>
      </c>
      <c r="I713" t="s">
        <v>12788</v>
      </c>
      <c r="J713" t="s">
        <v>12789</v>
      </c>
      <c r="K713" t="s">
        <v>74</v>
      </c>
      <c r="L713" t="s">
        <v>74</v>
      </c>
      <c r="M713" t="s">
        <v>78</v>
      </c>
      <c r="N713" t="s">
        <v>6754</v>
      </c>
      <c r="O713" t="s">
        <v>74</v>
      </c>
      <c r="P713" t="s">
        <v>74</v>
      </c>
      <c r="Q713" t="s">
        <v>74</v>
      </c>
      <c r="R713" t="s">
        <v>74</v>
      </c>
      <c r="S713" t="s">
        <v>74</v>
      </c>
      <c r="T713" t="s">
        <v>12790</v>
      </c>
      <c r="U713" t="s">
        <v>74</v>
      </c>
      <c r="V713" t="s">
        <v>12791</v>
      </c>
      <c r="W713" t="s">
        <v>12792</v>
      </c>
      <c r="X713" t="s">
        <v>12793</v>
      </c>
      <c r="Y713" t="s">
        <v>12794</v>
      </c>
      <c r="Z713" t="s">
        <v>12795</v>
      </c>
      <c r="AA713" t="s">
        <v>74</v>
      </c>
      <c r="AB713" t="s">
        <v>12796</v>
      </c>
      <c r="AC713" t="s">
        <v>74</v>
      </c>
      <c r="AD713" t="s">
        <v>74</v>
      </c>
      <c r="AE713" t="s">
        <v>74</v>
      </c>
      <c r="AF713" t="s">
        <v>74</v>
      </c>
      <c r="AG713">
        <v>8</v>
      </c>
      <c r="AH713">
        <v>0</v>
      </c>
      <c r="AI713">
        <v>0</v>
      </c>
      <c r="AJ713">
        <v>0</v>
      </c>
      <c r="AK713">
        <v>0</v>
      </c>
      <c r="AL713" t="s">
        <v>92</v>
      </c>
      <c r="AM713" t="s">
        <v>93</v>
      </c>
      <c r="AN713" t="s">
        <v>94</v>
      </c>
      <c r="AO713" t="s">
        <v>12797</v>
      </c>
      <c r="AP713" t="s">
        <v>12798</v>
      </c>
      <c r="AQ713" t="s">
        <v>74</v>
      </c>
      <c r="AR713" t="s">
        <v>12799</v>
      </c>
      <c r="AS713" t="s">
        <v>12800</v>
      </c>
      <c r="AT713" t="s">
        <v>12724</v>
      </c>
      <c r="AU713">
        <v>2023</v>
      </c>
      <c r="AV713" t="s">
        <v>74</v>
      </c>
      <c r="AW713" t="s">
        <v>74</v>
      </c>
      <c r="AX713" t="s">
        <v>74</v>
      </c>
      <c r="AY713" t="s">
        <v>74</v>
      </c>
      <c r="AZ713" t="s">
        <v>74</v>
      </c>
      <c r="BA713" t="s">
        <v>74</v>
      </c>
      <c r="BB713" t="s">
        <v>74</v>
      </c>
      <c r="BC713" t="s">
        <v>74</v>
      </c>
      <c r="BD713" t="s">
        <v>74</v>
      </c>
      <c r="BE713" t="s">
        <v>12801</v>
      </c>
      <c r="BF713" t="str">
        <f>HYPERLINK("http://dx.doi.org/10.1080/2090598X.2023.2242204","http://dx.doi.org/10.1080/2090598X.2023.2242204")</f>
        <v>http://dx.doi.org/10.1080/2090598X.2023.2242204</v>
      </c>
      <c r="BG713" t="s">
        <v>74</v>
      </c>
      <c r="BH713" t="s">
        <v>12687</v>
      </c>
      <c r="BI713">
        <v>6</v>
      </c>
      <c r="BJ713" t="s">
        <v>1925</v>
      </c>
      <c r="BK713" t="s">
        <v>211</v>
      </c>
      <c r="BL713" t="s">
        <v>1925</v>
      </c>
      <c r="BM713" t="s">
        <v>12802</v>
      </c>
      <c r="BN713" t="s">
        <v>74</v>
      </c>
      <c r="BO713" t="s">
        <v>126</v>
      </c>
      <c r="BP713" t="s">
        <v>74</v>
      </c>
      <c r="BQ713" t="s">
        <v>74</v>
      </c>
      <c r="BR713" t="s">
        <v>105</v>
      </c>
      <c r="BS713" t="s">
        <v>12803</v>
      </c>
      <c r="BT713" t="str">
        <f>HYPERLINK("https%3A%2F%2Fwww.webofscience.com%2Fwos%2Fwoscc%2Ffull-record%2FWOS:001039385000001","View Full Record in Web of Science")</f>
        <v>View Full Record in Web of Science</v>
      </c>
    </row>
    <row r="714" spans="1:72" x14ac:dyDescent="0.15">
      <c r="A714" t="s">
        <v>72</v>
      </c>
      <c r="B714" t="s">
        <v>12804</v>
      </c>
      <c r="C714" t="s">
        <v>74</v>
      </c>
      <c r="D714" t="s">
        <v>74</v>
      </c>
      <c r="E714" t="s">
        <v>74</v>
      </c>
      <c r="F714" t="s">
        <v>12805</v>
      </c>
      <c r="G714" t="s">
        <v>74</v>
      </c>
      <c r="H714" t="s">
        <v>74</v>
      </c>
      <c r="I714" t="s">
        <v>12806</v>
      </c>
      <c r="J714" t="s">
        <v>12807</v>
      </c>
      <c r="K714" t="s">
        <v>74</v>
      </c>
      <c r="L714" t="s">
        <v>74</v>
      </c>
      <c r="M714" t="s">
        <v>78</v>
      </c>
      <c r="N714" t="s">
        <v>5492</v>
      </c>
      <c r="O714" t="s">
        <v>74</v>
      </c>
      <c r="P714" t="s">
        <v>74</v>
      </c>
      <c r="Q714" t="s">
        <v>74</v>
      </c>
      <c r="R714" t="s">
        <v>74</v>
      </c>
      <c r="S714" t="s">
        <v>74</v>
      </c>
      <c r="T714" t="s">
        <v>12808</v>
      </c>
      <c r="U714" t="s">
        <v>12809</v>
      </c>
      <c r="V714" t="s">
        <v>12810</v>
      </c>
      <c r="W714" t="s">
        <v>12811</v>
      </c>
      <c r="X714" t="s">
        <v>12812</v>
      </c>
      <c r="Y714" t="s">
        <v>12813</v>
      </c>
      <c r="Z714" t="s">
        <v>12814</v>
      </c>
      <c r="AA714" t="s">
        <v>12815</v>
      </c>
      <c r="AB714" t="s">
        <v>12816</v>
      </c>
      <c r="AC714" t="s">
        <v>74</v>
      </c>
      <c r="AD714" t="s">
        <v>74</v>
      </c>
      <c r="AE714" t="s">
        <v>74</v>
      </c>
      <c r="AF714" t="s">
        <v>74</v>
      </c>
      <c r="AG714">
        <v>75</v>
      </c>
      <c r="AH714">
        <v>0</v>
      </c>
      <c r="AI714">
        <v>0</v>
      </c>
      <c r="AJ714">
        <v>4</v>
      </c>
      <c r="AK714">
        <v>4</v>
      </c>
      <c r="AL714" t="s">
        <v>1188</v>
      </c>
      <c r="AM714" t="s">
        <v>93</v>
      </c>
      <c r="AN714" t="s">
        <v>1189</v>
      </c>
      <c r="AO714" t="s">
        <v>12817</v>
      </c>
      <c r="AP714" t="s">
        <v>12818</v>
      </c>
      <c r="AQ714" t="s">
        <v>74</v>
      </c>
      <c r="AR714" t="s">
        <v>12819</v>
      </c>
      <c r="AS714" t="s">
        <v>12820</v>
      </c>
      <c r="AT714" t="s">
        <v>12724</v>
      </c>
      <c r="AU714">
        <v>2023</v>
      </c>
      <c r="AV714" t="s">
        <v>74</v>
      </c>
      <c r="AW714" t="s">
        <v>74</v>
      </c>
      <c r="AX714" t="s">
        <v>74</v>
      </c>
      <c r="AY714" t="s">
        <v>74</v>
      </c>
      <c r="AZ714" t="s">
        <v>74</v>
      </c>
      <c r="BA714" t="s">
        <v>74</v>
      </c>
      <c r="BB714" t="s">
        <v>74</v>
      </c>
      <c r="BC714" t="s">
        <v>74</v>
      </c>
      <c r="BD714" t="s">
        <v>74</v>
      </c>
      <c r="BE714" t="s">
        <v>12821</v>
      </c>
      <c r="BF714" t="str">
        <f>HYPERLINK("http://dx.doi.org/10.1080/09515089.2023.2241498","http://dx.doi.org/10.1080/09515089.2023.2241498")</f>
        <v>http://dx.doi.org/10.1080/09515089.2023.2241498</v>
      </c>
      <c r="BG714" t="s">
        <v>74</v>
      </c>
      <c r="BH714" t="s">
        <v>12687</v>
      </c>
      <c r="BI714">
        <v>28</v>
      </c>
      <c r="BJ714" t="s">
        <v>8372</v>
      </c>
      <c r="BK714" t="s">
        <v>272</v>
      </c>
      <c r="BL714" t="s">
        <v>8373</v>
      </c>
      <c r="BM714" t="s">
        <v>12822</v>
      </c>
      <c r="BN714" t="s">
        <v>74</v>
      </c>
      <c r="BO714" t="s">
        <v>74</v>
      </c>
      <c r="BP714" t="s">
        <v>74</v>
      </c>
      <c r="BQ714" t="s">
        <v>74</v>
      </c>
      <c r="BR714" t="s">
        <v>105</v>
      </c>
      <c r="BS714" t="s">
        <v>12823</v>
      </c>
      <c r="BT714" t="str">
        <f>HYPERLINK("https%3A%2F%2Fwww.webofscience.com%2Fwos%2Fwoscc%2Ffull-record%2FWOS:001037429700001","View Full Record in Web of Science")</f>
        <v>View Full Record in Web of Science</v>
      </c>
    </row>
    <row r="715" spans="1:72" x14ac:dyDescent="0.15">
      <c r="A715" t="s">
        <v>72</v>
      </c>
      <c r="B715" t="s">
        <v>12824</v>
      </c>
      <c r="C715" t="s">
        <v>74</v>
      </c>
      <c r="D715" t="s">
        <v>74</v>
      </c>
      <c r="E715" t="s">
        <v>74</v>
      </c>
      <c r="F715" t="s">
        <v>12825</v>
      </c>
      <c r="G715" t="s">
        <v>74</v>
      </c>
      <c r="H715" t="s">
        <v>74</v>
      </c>
      <c r="I715" t="s">
        <v>12826</v>
      </c>
      <c r="J715" t="s">
        <v>12827</v>
      </c>
      <c r="K715" t="s">
        <v>74</v>
      </c>
      <c r="L715" t="s">
        <v>74</v>
      </c>
      <c r="M715" t="s">
        <v>78</v>
      </c>
      <c r="N715" t="s">
        <v>5492</v>
      </c>
      <c r="O715" t="s">
        <v>74</v>
      </c>
      <c r="P715" t="s">
        <v>74</v>
      </c>
      <c r="Q715" t="s">
        <v>74</v>
      </c>
      <c r="R715" t="s">
        <v>74</v>
      </c>
      <c r="S715" t="s">
        <v>74</v>
      </c>
      <c r="T715" t="s">
        <v>12828</v>
      </c>
      <c r="U715" t="s">
        <v>74</v>
      </c>
      <c r="V715" t="s">
        <v>12829</v>
      </c>
      <c r="W715" t="s">
        <v>12830</v>
      </c>
      <c r="X715" t="s">
        <v>12831</v>
      </c>
      <c r="Y715" t="s">
        <v>12832</v>
      </c>
      <c r="Z715" t="s">
        <v>12833</v>
      </c>
      <c r="AA715" t="s">
        <v>12834</v>
      </c>
      <c r="AB715" t="s">
        <v>12835</v>
      </c>
      <c r="AC715" t="s">
        <v>12836</v>
      </c>
      <c r="AD715" t="s">
        <v>12837</v>
      </c>
      <c r="AE715" t="s">
        <v>12838</v>
      </c>
      <c r="AF715" t="s">
        <v>74</v>
      </c>
      <c r="AG715">
        <v>27</v>
      </c>
      <c r="AH715">
        <v>0</v>
      </c>
      <c r="AI715">
        <v>0</v>
      </c>
      <c r="AJ715">
        <v>1</v>
      </c>
      <c r="AK715">
        <v>1</v>
      </c>
      <c r="AL715" t="s">
        <v>1188</v>
      </c>
      <c r="AM715" t="s">
        <v>93</v>
      </c>
      <c r="AN715" t="s">
        <v>1189</v>
      </c>
      <c r="AO715" t="s">
        <v>12839</v>
      </c>
      <c r="AP715" t="s">
        <v>12840</v>
      </c>
      <c r="AQ715" t="s">
        <v>74</v>
      </c>
      <c r="AR715" t="s">
        <v>12841</v>
      </c>
      <c r="AS715" t="s">
        <v>12842</v>
      </c>
      <c r="AT715" t="s">
        <v>12724</v>
      </c>
      <c r="AU715">
        <v>2023</v>
      </c>
      <c r="AV715" t="s">
        <v>74</v>
      </c>
      <c r="AW715" t="s">
        <v>74</v>
      </c>
      <c r="AX715" t="s">
        <v>74</v>
      </c>
      <c r="AY715" t="s">
        <v>74</v>
      </c>
      <c r="AZ715" t="s">
        <v>74</v>
      </c>
      <c r="BA715" t="s">
        <v>74</v>
      </c>
      <c r="BB715" t="s">
        <v>74</v>
      </c>
      <c r="BC715" t="s">
        <v>74</v>
      </c>
      <c r="BD715" t="s">
        <v>74</v>
      </c>
      <c r="BE715" t="s">
        <v>12843</v>
      </c>
      <c r="BF715" t="str">
        <f>HYPERLINK("http://dx.doi.org/10.1080/09650792.2023.2240858","http://dx.doi.org/10.1080/09650792.2023.2240858")</f>
        <v>http://dx.doi.org/10.1080/09650792.2023.2240858</v>
      </c>
      <c r="BG715" t="s">
        <v>74</v>
      </c>
      <c r="BH715" t="s">
        <v>12687</v>
      </c>
      <c r="BI715">
        <v>19</v>
      </c>
      <c r="BJ715" t="s">
        <v>271</v>
      </c>
      <c r="BK715" t="s">
        <v>211</v>
      </c>
      <c r="BL715" t="s">
        <v>271</v>
      </c>
      <c r="BM715" t="s">
        <v>12844</v>
      </c>
      <c r="BN715" t="s">
        <v>74</v>
      </c>
      <c r="BO715" t="s">
        <v>74</v>
      </c>
      <c r="BP715" t="s">
        <v>74</v>
      </c>
      <c r="BQ715" t="s">
        <v>74</v>
      </c>
      <c r="BR715" t="s">
        <v>105</v>
      </c>
      <c r="BS715" t="s">
        <v>12845</v>
      </c>
      <c r="BT715" t="str">
        <f>HYPERLINK("https%3A%2F%2Fwww.webofscience.com%2Fwos%2Fwoscc%2Ffull-record%2FWOS:001041398000001","View Full Record in Web of Science")</f>
        <v>View Full Record in Web of Science</v>
      </c>
    </row>
    <row r="716" spans="1:72" x14ac:dyDescent="0.15">
      <c r="A716" t="s">
        <v>72</v>
      </c>
      <c r="B716" t="s">
        <v>12846</v>
      </c>
      <c r="C716" t="s">
        <v>74</v>
      </c>
      <c r="D716" t="s">
        <v>74</v>
      </c>
      <c r="E716" t="s">
        <v>74</v>
      </c>
      <c r="F716" t="s">
        <v>12847</v>
      </c>
      <c r="G716" t="s">
        <v>74</v>
      </c>
      <c r="H716" t="s">
        <v>74</v>
      </c>
      <c r="I716" t="s">
        <v>12848</v>
      </c>
      <c r="J716" t="s">
        <v>12849</v>
      </c>
      <c r="K716" t="s">
        <v>74</v>
      </c>
      <c r="L716" t="s">
        <v>74</v>
      </c>
      <c r="M716" t="s">
        <v>78</v>
      </c>
      <c r="N716" t="s">
        <v>5492</v>
      </c>
      <c r="O716" t="s">
        <v>74</v>
      </c>
      <c r="P716" t="s">
        <v>74</v>
      </c>
      <c r="Q716" t="s">
        <v>74</v>
      </c>
      <c r="R716" t="s">
        <v>74</v>
      </c>
      <c r="S716" t="s">
        <v>74</v>
      </c>
      <c r="T716" t="s">
        <v>12850</v>
      </c>
      <c r="U716" t="s">
        <v>74</v>
      </c>
      <c r="V716" t="s">
        <v>12851</v>
      </c>
      <c r="W716" t="s">
        <v>12852</v>
      </c>
      <c r="X716" t="s">
        <v>12853</v>
      </c>
      <c r="Y716" t="s">
        <v>12854</v>
      </c>
      <c r="Z716" t="s">
        <v>12855</v>
      </c>
      <c r="AA716" t="s">
        <v>12856</v>
      </c>
      <c r="AB716" t="s">
        <v>12857</v>
      </c>
      <c r="AC716" t="s">
        <v>12858</v>
      </c>
      <c r="AD716" t="s">
        <v>74</v>
      </c>
      <c r="AE716" t="s">
        <v>12859</v>
      </c>
      <c r="AF716" t="s">
        <v>74</v>
      </c>
      <c r="AG716">
        <v>39</v>
      </c>
      <c r="AH716">
        <v>0</v>
      </c>
      <c r="AI716">
        <v>0</v>
      </c>
      <c r="AJ716">
        <v>3</v>
      </c>
      <c r="AK716">
        <v>3</v>
      </c>
      <c r="AL716" t="s">
        <v>92</v>
      </c>
      <c r="AM716" t="s">
        <v>93</v>
      </c>
      <c r="AN716" t="s">
        <v>94</v>
      </c>
      <c r="AO716" t="s">
        <v>12860</v>
      </c>
      <c r="AP716" t="s">
        <v>12861</v>
      </c>
      <c r="AQ716" t="s">
        <v>74</v>
      </c>
      <c r="AR716" t="s">
        <v>12862</v>
      </c>
      <c r="AS716" t="s">
        <v>12863</v>
      </c>
      <c r="AT716" t="s">
        <v>12864</v>
      </c>
      <c r="AU716">
        <v>2023</v>
      </c>
      <c r="AV716" t="s">
        <v>74</v>
      </c>
      <c r="AW716" t="s">
        <v>74</v>
      </c>
      <c r="AX716" t="s">
        <v>74</v>
      </c>
      <c r="AY716" t="s">
        <v>74</v>
      </c>
      <c r="AZ716" t="s">
        <v>74</v>
      </c>
      <c r="BA716" t="s">
        <v>74</v>
      </c>
      <c r="BB716" t="s">
        <v>74</v>
      </c>
      <c r="BC716" t="s">
        <v>74</v>
      </c>
      <c r="BD716" t="s">
        <v>74</v>
      </c>
      <c r="BE716" t="s">
        <v>12865</v>
      </c>
      <c r="BF716" t="str">
        <f>HYPERLINK("http://dx.doi.org/10.1080/15732479.2023.2243248","http://dx.doi.org/10.1080/15732479.2023.2243248")</f>
        <v>http://dx.doi.org/10.1080/15732479.2023.2243248</v>
      </c>
      <c r="BG716" t="s">
        <v>74</v>
      </c>
      <c r="BH716" t="s">
        <v>12687</v>
      </c>
      <c r="BI716">
        <v>19</v>
      </c>
      <c r="BJ716" t="s">
        <v>12866</v>
      </c>
      <c r="BK716" t="s">
        <v>102</v>
      </c>
      <c r="BL716" t="s">
        <v>1095</v>
      </c>
      <c r="BM716" t="s">
        <v>12867</v>
      </c>
      <c r="BN716" t="s">
        <v>74</v>
      </c>
      <c r="BO716" t="s">
        <v>5486</v>
      </c>
      <c r="BP716" t="s">
        <v>74</v>
      </c>
      <c r="BQ716" t="s">
        <v>74</v>
      </c>
      <c r="BR716" t="s">
        <v>105</v>
      </c>
      <c r="BS716" t="s">
        <v>12868</v>
      </c>
      <c r="BT716" t="str">
        <f>HYPERLINK("https%3A%2F%2Fwww.webofscience.com%2Fwos%2Fwoscc%2Ffull-record%2FWOS:001040804600001","View Full Record in Web of Science")</f>
        <v>View Full Record in Web of Science</v>
      </c>
    </row>
    <row r="717" spans="1:72" x14ac:dyDescent="0.15">
      <c r="A717" t="s">
        <v>72</v>
      </c>
      <c r="B717" t="s">
        <v>12869</v>
      </c>
      <c r="C717" t="s">
        <v>74</v>
      </c>
      <c r="D717" t="s">
        <v>74</v>
      </c>
      <c r="E717" t="s">
        <v>74</v>
      </c>
      <c r="F717" t="s">
        <v>12870</v>
      </c>
      <c r="G717" t="s">
        <v>74</v>
      </c>
      <c r="H717" t="s">
        <v>74</v>
      </c>
      <c r="I717" t="s">
        <v>12871</v>
      </c>
      <c r="J717" t="s">
        <v>12872</v>
      </c>
      <c r="K717" t="s">
        <v>74</v>
      </c>
      <c r="L717" t="s">
        <v>74</v>
      </c>
      <c r="M717" t="s">
        <v>78</v>
      </c>
      <c r="N717" t="s">
        <v>5492</v>
      </c>
      <c r="O717" t="s">
        <v>74</v>
      </c>
      <c r="P717" t="s">
        <v>74</v>
      </c>
      <c r="Q717" t="s">
        <v>74</v>
      </c>
      <c r="R717" t="s">
        <v>74</v>
      </c>
      <c r="S717" t="s">
        <v>74</v>
      </c>
      <c r="T717" t="s">
        <v>74</v>
      </c>
      <c r="U717" t="s">
        <v>12873</v>
      </c>
      <c r="V717" t="s">
        <v>12874</v>
      </c>
      <c r="W717" t="s">
        <v>12875</v>
      </c>
      <c r="X717" t="s">
        <v>12876</v>
      </c>
      <c r="Y717" t="s">
        <v>12877</v>
      </c>
      <c r="Z717" t="s">
        <v>12878</v>
      </c>
      <c r="AA717" t="s">
        <v>74</v>
      </c>
      <c r="AB717" t="s">
        <v>74</v>
      </c>
      <c r="AC717" t="s">
        <v>74</v>
      </c>
      <c r="AD717" t="s">
        <v>74</v>
      </c>
      <c r="AE717" t="s">
        <v>74</v>
      </c>
      <c r="AF717" t="s">
        <v>74</v>
      </c>
      <c r="AG717">
        <v>96</v>
      </c>
      <c r="AH717">
        <v>0</v>
      </c>
      <c r="AI717">
        <v>0</v>
      </c>
      <c r="AJ717">
        <v>1</v>
      </c>
      <c r="AK717">
        <v>1</v>
      </c>
      <c r="AL717" t="s">
        <v>1188</v>
      </c>
      <c r="AM717" t="s">
        <v>93</v>
      </c>
      <c r="AN717" t="s">
        <v>1189</v>
      </c>
      <c r="AO717" t="s">
        <v>12879</v>
      </c>
      <c r="AP717" t="s">
        <v>12880</v>
      </c>
      <c r="AQ717" t="s">
        <v>74</v>
      </c>
      <c r="AR717" t="s">
        <v>12881</v>
      </c>
      <c r="AS717" t="s">
        <v>12882</v>
      </c>
      <c r="AT717" t="s">
        <v>12864</v>
      </c>
      <c r="AU717">
        <v>2023</v>
      </c>
      <c r="AV717" t="s">
        <v>74</v>
      </c>
      <c r="AW717" t="s">
        <v>74</v>
      </c>
      <c r="AX717" t="s">
        <v>74</v>
      </c>
      <c r="AY717" t="s">
        <v>74</v>
      </c>
      <c r="AZ717" t="s">
        <v>74</v>
      </c>
      <c r="BA717" t="s">
        <v>74</v>
      </c>
      <c r="BB717" t="s">
        <v>74</v>
      </c>
      <c r="BC717" t="s">
        <v>74</v>
      </c>
      <c r="BD717" t="s">
        <v>74</v>
      </c>
      <c r="BE717" t="s">
        <v>12883</v>
      </c>
      <c r="BF717" t="str">
        <f>HYPERLINK("http://dx.doi.org/10.1080/15700763.2023.2239894","http://dx.doi.org/10.1080/15700763.2023.2239894")</f>
        <v>http://dx.doi.org/10.1080/15700763.2023.2239894</v>
      </c>
      <c r="BG717" t="s">
        <v>74</v>
      </c>
      <c r="BH717" t="s">
        <v>12687</v>
      </c>
      <c r="BI717">
        <v>19</v>
      </c>
      <c r="BJ717" t="s">
        <v>271</v>
      </c>
      <c r="BK717" t="s">
        <v>211</v>
      </c>
      <c r="BL717" t="s">
        <v>271</v>
      </c>
      <c r="BM717" t="s">
        <v>12884</v>
      </c>
      <c r="BN717" t="s">
        <v>74</v>
      </c>
      <c r="BO717" t="s">
        <v>74</v>
      </c>
      <c r="BP717" t="s">
        <v>74</v>
      </c>
      <c r="BQ717" t="s">
        <v>74</v>
      </c>
      <c r="BR717" t="s">
        <v>105</v>
      </c>
      <c r="BS717" t="s">
        <v>12885</v>
      </c>
      <c r="BT717" t="str">
        <f>HYPERLINK("https%3A%2F%2Fwww.webofscience.com%2Fwos%2Fwoscc%2Ffull-record%2FWOS:001039531100001","View Full Record in Web of Science")</f>
        <v>View Full Record in Web of Science</v>
      </c>
    </row>
    <row r="718" spans="1:72" x14ac:dyDescent="0.15">
      <c r="A718" t="s">
        <v>72</v>
      </c>
      <c r="B718" t="s">
        <v>12886</v>
      </c>
      <c r="C718" t="s">
        <v>74</v>
      </c>
      <c r="D718" t="s">
        <v>74</v>
      </c>
      <c r="E718" t="s">
        <v>74</v>
      </c>
      <c r="F718" t="s">
        <v>12887</v>
      </c>
      <c r="G718" t="s">
        <v>74</v>
      </c>
      <c r="H718" t="s">
        <v>74</v>
      </c>
      <c r="I718" t="s">
        <v>12888</v>
      </c>
      <c r="J718" t="s">
        <v>8356</v>
      </c>
      <c r="K718" t="s">
        <v>74</v>
      </c>
      <c r="L718" t="s">
        <v>74</v>
      </c>
      <c r="M718" t="s">
        <v>78</v>
      </c>
      <c r="N718" t="s">
        <v>5492</v>
      </c>
      <c r="O718" t="s">
        <v>74</v>
      </c>
      <c r="P718" t="s">
        <v>74</v>
      </c>
      <c r="Q718" t="s">
        <v>74</v>
      </c>
      <c r="R718" t="s">
        <v>74</v>
      </c>
      <c r="S718" t="s">
        <v>74</v>
      </c>
      <c r="T718" t="s">
        <v>12889</v>
      </c>
      <c r="U718" t="s">
        <v>12890</v>
      </c>
      <c r="V718" t="s">
        <v>12891</v>
      </c>
      <c r="W718" t="s">
        <v>12892</v>
      </c>
      <c r="X718" t="s">
        <v>12893</v>
      </c>
      <c r="Y718" t="s">
        <v>12894</v>
      </c>
      <c r="Z718" t="s">
        <v>12895</v>
      </c>
      <c r="AA718" t="s">
        <v>74</v>
      </c>
      <c r="AB718" t="s">
        <v>12896</v>
      </c>
      <c r="AC718" t="s">
        <v>74</v>
      </c>
      <c r="AD718" t="s">
        <v>74</v>
      </c>
      <c r="AE718" t="s">
        <v>74</v>
      </c>
      <c r="AF718" t="s">
        <v>74</v>
      </c>
      <c r="AG718">
        <v>100</v>
      </c>
      <c r="AH718">
        <v>0</v>
      </c>
      <c r="AI718">
        <v>0</v>
      </c>
      <c r="AJ718">
        <v>9</v>
      </c>
      <c r="AK718">
        <v>9</v>
      </c>
      <c r="AL718" t="s">
        <v>1188</v>
      </c>
      <c r="AM718" t="s">
        <v>93</v>
      </c>
      <c r="AN718" t="s">
        <v>1189</v>
      </c>
      <c r="AO718" t="s">
        <v>8367</v>
      </c>
      <c r="AP718" t="s">
        <v>8368</v>
      </c>
      <c r="AQ718" t="s">
        <v>74</v>
      </c>
      <c r="AR718" t="s">
        <v>8369</v>
      </c>
      <c r="AS718" t="s">
        <v>8370</v>
      </c>
      <c r="AT718" t="s">
        <v>12864</v>
      </c>
      <c r="AU718">
        <v>2023</v>
      </c>
      <c r="AV718" t="s">
        <v>74</v>
      </c>
      <c r="AW718" t="s">
        <v>74</v>
      </c>
      <c r="AX718" t="s">
        <v>74</v>
      </c>
      <c r="AY718" t="s">
        <v>74</v>
      </c>
      <c r="AZ718" t="s">
        <v>74</v>
      </c>
      <c r="BA718" t="s">
        <v>74</v>
      </c>
      <c r="BB718" t="s">
        <v>74</v>
      </c>
      <c r="BC718" t="s">
        <v>74</v>
      </c>
      <c r="BD718" t="s">
        <v>74</v>
      </c>
      <c r="BE718" t="s">
        <v>12897</v>
      </c>
      <c r="BF718" t="str">
        <f>HYPERLINK("http://dx.doi.org/10.1080/10508422.2023.2237148","http://dx.doi.org/10.1080/10508422.2023.2237148")</f>
        <v>http://dx.doi.org/10.1080/10508422.2023.2237148</v>
      </c>
      <c r="BG718" t="s">
        <v>74</v>
      </c>
      <c r="BH718" t="s">
        <v>12687</v>
      </c>
      <c r="BI718">
        <v>16</v>
      </c>
      <c r="BJ718" t="s">
        <v>8372</v>
      </c>
      <c r="BK718" t="s">
        <v>272</v>
      </c>
      <c r="BL718" t="s">
        <v>8373</v>
      </c>
      <c r="BM718" t="s">
        <v>12898</v>
      </c>
      <c r="BN718" t="s">
        <v>74</v>
      </c>
      <c r="BO718" t="s">
        <v>74</v>
      </c>
      <c r="BP718" t="s">
        <v>74</v>
      </c>
      <c r="BQ718" t="s">
        <v>74</v>
      </c>
      <c r="BR718" t="s">
        <v>105</v>
      </c>
      <c r="BS718" t="s">
        <v>12899</v>
      </c>
      <c r="BT718" t="str">
        <f>HYPERLINK("https%3A%2F%2Fwww.webofscience.com%2Fwos%2Fwoscc%2Ffull-record%2FWOS:001039504400001","View Full Record in Web of Science")</f>
        <v>View Full Record in Web of Science</v>
      </c>
    </row>
    <row r="719" spans="1:72" x14ac:dyDescent="0.15">
      <c r="A719" t="s">
        <v>72</v>
      </c>
      <c r="B719" t="s">
        <v>12900</v>
      </c>
      <c r="C719" t="s">
        <v>74</v>
      </c>
      <c r="D719" t="s">
        <v>74</v>
      </c>
      <c r="E719" t="s">
        <v>74</v>
      </c>
      <c r="F719" t="s">
        <v>12901</v>
      </c>
      <c r="G719" t="s">
        <v>74</v>
      </c>
      <c r="H719" t="s">
        <v>74</v>
      </c>
      <c r="I719" t="s">
        <v>12902</v>
      </c>
      <c r="J719" t="s">
        <v>12903</v>
      </c>
      <c r="K719" t="s">
        <v>74</v>
      </c>
      <c r="L719" t="s">
        <v>74</v>
      </c>
      <c r="M719" t="s">
        <v>78</v>
      </c>
      <c r="N719" t="s">
        <v>5492</v>
      </c>
      <c r="O719" t="s">
        <v>74</v>
      </c>
      <c r="P719" t="s">
        <v>74</v>
      </c>
      <c r="Q719" t="s">
        <v>74</v>
      </c>
      <c r="R719" t="s">
        <v>74</v>
      </c>
      <c r="S719" t="s">
        <v>74</v>
      </c>
      <c r="T719" t="s">
        <v>12904</v>
      </c>
      <c r="U719" t="s">
        <v>12905</v>
      </c>
      <c r="V719" t="s">
        <v>12906</v>
      </c>
      <c r="W719" t="s">
        <v>12907</v>
      </c>
      <c r="X719" t="s">
        <v>12908</v>
      </c>
      <c r="Y719" t="s">
        <v>12909</v>
      </c>
      <c r="Z719" t="s">
        <v>12910</v>
      </c>
      <c r="AA719" t="s">
        <v>74</v>
      </c>
      <c r="AB719" t="s">
        <v>74</v>
      </c>
      <c r="AC719" t="s">
        <v>12911</v>
      </c>
      <c r="AD719" t="s">
        <v>12912</v>
      </c>
      <c r="AE719" t="s">
        <v>12913</v>
      </c>
      <c r="AF719" t="s">
        <v>74</v>
      </c>
      <c r="AG719">
        <v>33</v>
      </c>
      <c r="AH719">
        <v>0</v>
      </c>
      <c r="AI719">
        <v>0</v>
      </c>
      <c r="AJ719">
        <v>1</v>
      </c>
      <c r="AK719">
        <v>1</v>
      </c>
      <c r="AL719" t="s">
        <v>1188</v>
      </c>
      <c r="AM719" t="s">
        <v>93</v>
      </c>
      <c r="AN719" t="s">
        <v>1189</v>
      </c>
      <c r="AO719" t="s">
        <v>12914</v>
      </c>
      <c r="AP719" t="s">
        <v>12915</v>
      </c>
      <c r="AQ719" t="s">
        <v>74</v>
      </c>
      <c r="AR719" t="s">
        <v>12916</v>
      </c>
      <c r="AS719" t="s">
        <v>12917</v>
      </c>
      <c r="AT719" t="s">
        <v>12864</v>
      </c>
      <c r="AU719">
        <v>2023</v>
      </c>
      <c r="AV719" t="s">
        <v>74</v>
      </c>
      <c r="AW719" t="s">
        <v>74</v>
      </c>
      <c r="AX719" t="s">
        <v>74</v>
      </c>
      <c r="AY719" t="s">
        <v>74</v>
      </c>
      <c r="AZ719" t="s">
        <v>74</v>
      </c>
      <c r="BA719" t="s">
        <v>74</v>
      </c>
      <c r="BB719" t="s">
        <v>74</v>
      </c>
      <c r="BC719" t="s">
        <v>74</v>
      </c>
      <c r="BD719" t="s">
        <v>74</v>
      </c>
      <c r="BE719" t="s">
        <v>12918</v>
      </c>
      <c r="BF719" t="str">
        <f>HYPERLINK("http://dx.doi.org/10.1080/13540602.2023.2241020","http://dx.doi.org/10.1080/13540602.2023.2241020")</f>
        <v>http://dx.doi.org/10.1080/13540602.2023.2241020</v>
      </c>
      <c r="BG719" t="s">
        <v>74</v>
      </c>
      <c r="BH719" t="s">
        <v>12687</v>
      </c>
      <c r="BI719">
        <v>14</v>
      </c>
      <c r="BJ719" t="s">
        <v>271</v>
      </c>
      <c r="BK719" t="s">
        <v>272</v>
      </c>
      <c r="BL719" t="s">
        <v>271</v>
      </c>
      <c r="BM719" t="s">
        <v>12919</v>
      </c>
      <c r="BN719" t="s">
        <v>74</v>
      </c>
      <c r="BO719" t="s">
        <v>887</v>
      </c>
      <c r="BP719" t="s">
        <v>74</v>
      </c>
      <c r="BQ719" t="s">
        <v>74</v>
      </c>
      <c r="BR719" t="s">
        <v>105</v>
      </c>
      <c r="BS719" t="s">
        <v>12920</v>
      </c>
      <c r="BT719" t="str">
        <f>HYPERLINK("https%3A%2F%2Fwww.webofscience.com%2Fwos%2Fwoscc%2Ffull-record%2FWOS:001039532200001","View Full Record in Web of Science")</f>
        <v>View Full Record in Web of Science</v>
      </c>
    </row>
    <row r="720" spans="1:72" x14ac:dyDescent="0.15">
      <c r="A720" t="s">
        <v>72</v>
      </c>
      <c r="B720" t="s">
        <v>12921</v>
      </c>
      <c r="C720" t="s">
        <v>74</v>
      </c>
      <c r="D720" t="s">
        <v>74</v>
      </c>
      <c r="E720" t="s">
        <v>74</v>
      </c>
      <c r="F720" t="s">
        <v>12922</v>
      </c>
      <c r="G720" t="s">
        <v>74</v>
      </c>
      <c r="H720" t="s">
        <v>74</v>
      </c>
      <c r="I720" t="s">
        <v>12923</v>
      </c>
      <c r="J720" t="s">
        <v>10273</v>
      </c>
      <c r="K720" t="s">
        <v>74</v>
      </c>
      <c r="L720" t="s">
        <v>74</v>
      </c>
      <c r="M720" t="s">
        <v>78</v>
      </c>
      <c r="N720" t="s">
        <v>5492</v>
      </c>
      <c r="O720" t="s">
        <v>74</v>
      </c>
      <c r="P720" t="s">
        <v>74</v>
      </c>
      <c r="Q720" t="s">
        <v>74</v>
      </c>
      <c r="R720" t="s">
        <v>74</v>
      </c>
      <c r="S720" t="s">
        <v>74</v>
      </c>
      <c r="T720" t="s">
        <v>74</v>
      </c>
      <c r="U720" t="s">
        <v>12924</v>
      </c>
      <c r="V720" t="s">
        <v>12925</v>
      </c>
      <c r="W720" t="s">
        <v>12926</v>
      </c>
      <c r="X720" t="s">
        <v>12927</v>
      </c>
      <c r="Y720" t="s">
        <v>12928</v>
      </c>
      <c r="Z720" t="s">
        <v>12929</v>
      </c>
      <c r="AA720" t="s">
        <v>74</v>
      </c>
      <c r="AB720" t="s">
        <v>74</v>
      </c>
      <c r="AC720" t="s">
        <v>74</v>
      </c>
      <c r="AD720" t="s">
        <v>74</v>
      </c>
      <c r="AE720" t="s">
        <v>74</v>
      </c>
      <c r="AF720" t="s">
        <v>74</v>
      </c>
      <c r="AG720">
        <v>62</v>
      </c>
      <c r="AH720">
        <v>0</v>
      </c>
      <c r="AI720">
        <v>0</v>
      </c>
      <c r="AJ720">
        <v>0</v>
      </c>
      <c r="AK720">
        <v>0</v>
      </c>
      <c r="AL720" t="s">
        <v>1188</v>
      </c>
      <c r="AM720" t="s">
        <v>93</v>
      </c>
      <c r="AN720" t="s">
        <v>1189</v>
      </c>
      <c r="AO720" t="s">
        <v>10278</v>
      </c>
      <c r="AP720" t="s">
        <v>10279</v>
      </c>
      <c r="AQ720" t="s">
        <v>74</v>
      </c>
      <c r="AR720" t="s">
        <v>10280</v>
      </c>
      <c r="AS720" t="s">
        <v>10281</v>
      </c>
      <c r="AT720" t="s">
        <v>12864</v>
      </c>
      <c r="AU720">
        <v>2023</v>
      </c>
      <c r="AV720" t="s">
        <v>74</v>
      </c>
      <c r="AW720" t="s">
        <v>74</v>
      </c>
      <c r="AX720" t="s">
        <v>74</v>
      </c>
      <c r="AY720" t="s">
        <v>74</v>
      </c>
      <c r="AZ720" t="s">
        <v>74</v>
      </c>
      <c r="BA720" t="s">
        <v>74</v>
      </c>
      <c r="BB720" t="s">
        <v>74</v>
      </c>
      <c r="BC720" t="s">
        <v>74</v>
      </c>
      <c r="BD720" t="s">
        <v>74</v>
      </c>
      <c r="BE720" t="s">
        <v>12930</v>
      </c>
      <c r="BF720" t="str">
        <f>HYPERLINK("http://dx.doi.org/10.1080/10749039.2023.2238704","http://dx.doi.org/10.1080/10749039.2023.2238704")</f>
        <v>http://dx.doi.org/10.1080/10749039.2023.2238704</v>
      </c>
      <c r="BG720" t="s">
        <v>74</v>
      </c>
      <c r="BH720" t="s">
        <v>12687</v>
      </c>
      <c r="BI720">
        <v>20</v>
      </c>
      <c r="BJ720" t="s">
        <v>271</v>
      </c>
      <c r="BK720" t="s">
        <v>272</v>
      </c>
      <c r="BL720" t="s">
        <v>271</v>
      </c>
      <c r="BM720" t="s">
        <v>12931</v>
      </c>
      <c r="BN720" t="s">
        <v>74</v>
      </c>
      <c r="BO720" t="s">
        <v>74</v>
      </c>
      <c r="BP720" t="s">
        <v>74</v>
      </c>
      <c r="BQ720" t="s">
        <v>74</v>
      </c>
      <c r="BR720" t="s">
        <v>105</v>
      </c>
      <c r="BS720" t="s">
        <v>12932</v>
      </c>
      <c r="BT720" t="str">
        <f>HYPERLINK("https%3A%2F%2Fwww.webofscience.com%2Fwos%2Fwoscc%2Ffull-record%2FWOS:001039520700001","View Full Record in Web of Science")</f>
        <v>View Full Record in Web of Science</v>
      </c>
    </row>
    <row r="721" spans="1:72" x14ac:dyDescent="0.15">
      <c r="A721" t="s">
        <v>72</v>
      </c>
      <c r="B721" t="s">
        <v>12933</v>
      </c>
      <c r="C721" t="s">
        <v>74</v>
      </c>
      <c r="D721" t="s">
        <v>74</v>
      </c>
      <c r="E721" t="s">
        <v>74</v>
      </c>
      <c r="F721" t="s">
        <v>12934</v>
      </c>
      <c r="G721" t="s">
        <v>74</v>
      </c>
      <c r="H721" t="s">
        <v>74</v>
      </c>
      <c r="I721" t="s">
        <v>12935</v>
      </c>
      <c r="J721" t="s">
        <v>12936</v>
      </c>
      <c r="K721" t="s">
        <v>74</v>
      </c>
      <c r="L721" t="s">
        <v>74</v>
      </c>
      <c r="M721" t="s">
        <v>78</v>
      </c>
      <c r="N721" t="s">
        <v>79</v>
      </c>
      <c r="O721" t="s">
        <v>74</v>
      </c>
      <c r="P721" t="s">
        <v>74</v>
      </c>
      <c r="Q721" t="s">
        <v>74</v>
      </c>
      <c r="R721" t="s">
        <v>74</v>
      </c>
      <c r="S721" t="s">
        <v>74</v>
      </c>
      <c r="T721" t="s">
        <v>12937</v>
      </c>
      <c r="U721" t="s">
        <v>12938</v>
      </c>
      <c r="V721" t="s">
        <v>12939</v>
      </c>
      <c r="W721" t="s">
        <v>12940</v>
      </c>
      <c r="X721" t="s">
        <v>12941</v>
      </c>
      <c r="Y721" t="s">
        <v>12942</v>
      </c>
      <c r="Z721" t="s">
        <v>12943</v>
      </c>
      <c r="AA721" t="s">
        <v>74</v>
      </c>
      <c r="AB721" t="s">
        <v>74</v>
      </c>
      <c r="AC721" t="s">
        <v>74</v>
      </c>
      <c r="AD721" t="s">
        <v>74</v>
      </c>
      <c r="AE721" t="s">
        <v>74</v>
      </c>
      <c r="AF721" t="s">
        <v>74</v>
      </c>
      <c r="AG721">
        <v>52</v>
      </c>
      <c r="AH721">
        <v>0</v>
      </c>
      <c r="AI721">
        <v>0</v>
      </c>
      <c r="AJ721">
        <v>2</v>
      </c>
      <c r="AK721">
        <v>2</v>
      </c>
      <c r="AL721" t="s">
        <v>92</v>
      </c>
      <c r="AM721" t="s">
        <v>93</v>
      </c>
      <c r="AN721" t="s">
        <v>94</v>
      </c>
      <c r="AO721" t="s">
        <v>12944</v>
      </c>
      <c r="AP721" t="s">
        <v>12945</v>
      </c>
      <c r="AQ721" t="s">
        <v>74</v>
      </c>
      <c r="AR721" t="s">
        <v>12946</v>
      </c>
      <c r="AS721" t="s">
        <v>12947</v>
      </c>
      <c r="AT721" t="s">
        <v>10040</v>
      </c>
      <c r="AU721">
        <v>2023</v>
      </c>
      <c r="AV721">
        <v>135</v>
      </c>
      <c r="AW721">
        <v>6</v>
      </c>
      <c r="AX721" t="s">
        <v>74</v>
      </c>
      <c r="AY721" t="s">
        <v>74</v>
      </c>
      <c r="AZ721" t="s">
        <v>74</v>
      </c>
      <c r="BA721" t="s">
        <v>74</v>
      </c>
      <c r="BB721">
        <v>593</v>
      </c>
      <c r="BC721">
        <v>600</v>
      </c>
      <c r="BD721" t="s">
        <v>74</v>
      </c>
      <c r="BE721" t="s">
        <v>12948</v>
      </c>
      <c r="BF721" t="str">
        <f>HYPERLINK("http://dx.doi.org/10.1080/00325481.2023.2241343","http://dx.doi.org/10.1080/00325481.2023.2241343")</f>
        <v>http://dx.doi.org/10.1080/00325481.2023.2241343</v>
      </c>
      <c r="BG721" t="s">
        <v>74</v>
      </c>
      <c r="BH721" t="s">
        <v>12687</v>
      </c>
      <c r="BI721">
        <v>8</v>
      </c>
      <c r="BJ721" t="s">
        <v>663</v>
      </c>
      <c r="BK721" t="s">
        <v>102</v>
      </c>
      <c r="BL721" t="s">
        <v>664</v>
      </c>
      <c r="BM721" t="s">
        <v>12949</v>
      </c>
      <c r="BN721">
        <v>37505056</v>
      </c>
      <c r="BO721" t="s">
        <v>887</v>
      </c>
      <c r="BP721" t="s">
        <v>74</v>
      </c>
      <c r="BQ721" t="s">
        <v>74</v>
      </c>
      <c r="BR721" t="s">
        <v>105</v>
      </c>
      <c r="BS721" t="s">
        <v>12950</v>
      </c>
      <c r="BT721" t="str">
        <f>HYPERLINK("https%3A%2F%2Fwww.webofscience.com%2Fwos%2Fwoscc%2Ffull-record%2FWOS:001037426100001","View Full Record in Web of Science")</f>
        <v>View Full Record in Web of Science</v>
      </c>
    </row>
    <row r="722" spans="1:72" x14ac:dyDescent="0.15">
      <c r="A722" t="s">
        <v>72</v>
      </c>
      <c r="B722" t="s">
        <v>12951</v>
      </c>
      <c r="C722" t="s">
        <v>74</v>
      </c>
      <c r="D722" t="s">
        <v>74</v>
      </c>
      <c r="E722" t="s">
        <v>74</v>
      </c>
      <c r="F722" t="s">
        <v>12952</v>
      </c>
      <c r="G722" t="s">
        <v>74</v>
      </c>
      <c r="H722" t="s">
        <v>74</v>
      </c>
      <c r="I722" t="s">
        <v>12953</v>
      </c>
      <c r="J722" t="s">
        <v>12954</v>
      </c>
      <c r="K722" t="s">
        <v>74</v>
      </c>
      <c r="L722" t="s">
        <v>74</v>
      </c>
      <c r="M722" t="s">
        <v>78</v>
      </c>
      <c r="N722" t="s">
        <v>3443</v>
      </c>
      <c r="O722" t="s">
        <v>74</v>
      </c>
      <c r="P722" t="s">
        <v>74</v>
      </c>
      <c r="Q722" t="s">
        <v>74</v>
      </c>
      <c r="R722" t="s">
        <v>74</v>
      </c>
      <c r="S722" t="s">
        <v>74</v>
      </c>
      <c r="T722" t="s">
        <v>74</v>
      </c>
      <c r="U722" t="s">
        <v>74</v>
      </c>
      <c r="V722" t="s">
        <v>74</v>
      </c>
      <c r="W722" t="s">
        <v>12955</v>
      </c>
      <c r="X722" t="s">
        <v>74</v>
      </c>
      <c r="Y722" t="s">
        <v>12956</v>
      </c>
      <c r="Z722" t="s">
        <v>12957</v>
      </c>
      <c r="AA722" t="s">
        <v>74</v>
      </c>
      <c r="AB722" t="s">
        <v>74</v>
      </c>
      <c r="AC722" t="s">
        <v>74</v>
      </c>
      <c r="AD722" t="s">
        <v>74</v>
      </c>
      <c r="AE722" t="s">
        <v>74</v>
      </c>
      <c r="AF722" t="s">
        <v>74</v>
      </c>
      <c r="AG722">
        <v>1</v>
      </c>
      <c r="AH722">
        <v>0</v>
      </c>
      <c r="AI722">
        <v>0</v>
      </c>
      <c r="AJ722">
        <v>0</v>
      </c>
      <c r="AK722">
        <v>0</v>
      </c>
      <c r="AL722" t="s">
        <v>1188</v>
      </c>
      <c r="AM722" t="s">
        <v>93</v>
      </c>
      <c r="AN722" t="s">
        <v>1189</v>
      </c>
      <c r="AO722" t="s">
        <v>12958</v>
      </c>
      <c r="AP722" t="s">
        <v>12959</v>
      </c>
      <c r="AQ722" t="s">
        <v>74</v>
      </c>
      <c r="AR722" t="s">
        <v>12960</v>
      </c>
      <c r="AS722" t="s">
        <v>12961</v>
      </c>
      <c r="AT722" t="s">
        <v>12289</v>
      </c>
      <c r="AU722">
        <v>2023</v>
      </c>
      <c r="AV722">
        <v>25</v>
      </c>
      <c r="AW722">
        <v>3</v>
      </c>
      <c r="AX722" t="s">
        <v>74</v>
      </c>
      <c r="AY722" t="s">
        <v>74</v>
      </c>
      <c r="AZ722" t="s">
        <v>74</v>
      </c>
      <c r="BA722" t="s">
        <v>74</v>
      </c>
      <c r="BB722">
        <v>323</v>
      </c>
      <c r="BC722">
        <v>325</v>
      </c>
      <c r="BD722" t="s">
        <v>74</v>
      </c>
      <c r="BE722" t="s">
        <v>12962</v>
      </c>
      <c r="BF722" t="str">
        <f>HYPERLINK("http://dx.doi.org/10.1080/13642537.2023.2241335","http://dx.doi.org/10.1080/13642537.2023.2241335")</f>
        <v>http://dx.doi.org/10.1080/13642537.2023.2241335</v>
      </c>
      <c r="BG722" t="s">
        <v>74</v>
      </c>
      <c r="BH722" t="s">
        <v>12687</v>
      </c>
      <c r="BI722">
        <v>3</v>
      </c>
      <c r="BJ722" t="s">
        <v>11434</v>
      </c>
      <c r="BK722" t="s">
        <v>211</v>
      </c>
      <c r="BL722" t="s">
        <v>1691</v>
      </c>
      <c r="BM722" t="s">
        <v>12963</v>
      </c>
      <c r="BN722" t="s">
        <v>74</v>
      </c>
      <c r="BO722" t="s">
        <v>74</v>
      </c>
      <c r="BP722" t="s">
        <v>74</v>
      </c>
      <c r="BQ722" t="s">
        <v>74</v>
      </c>
      <c r="BR722" t="s">
        <v>105</v>
      </c>
      <c r="BS722" t="s">
        <v>12964</v>
      </c>
      <c r="BT722" t="str">
        <f>HYPERLINK("https%3A%2F%2Fwww.webofscience.com%2Fwos%2Fwoscc%2Ffull-record%2FWOS:001040422200001","View Full Record in Web of Science")</f>
        <v>View Full Record in Web of Science</v>
      </c>
    </row>
    <row r="723" spans="1:72" x14ac:dyDescent="0.15">
      <c r="A723" t="s">
        <v>72</v>
      </c>
      <c r="B723" t="s">
        <v>12965</v>
      </c>
      <c r="C723" t="s">
        <v>74</v>
      </c>
      <c r="D723" t="s">
        <v>74</v>
      </c>
      <c r="E723" t="s">
        <v>74</v>
      </c>
      <c r="F723" t="s">
        <v>12966</v>
      </c>
      <c r="G723" t="s">
        <v>74</v>
      </c>
      <c r="H723" t="s">
        <v>74</v>
      </c>
      <c r="I723" t="s">
        <v>12967</v>
      </c>
      <c r="J723" t="s">
        <v>12968</v>
      </c>
      <c r="K723" t="s">
        <v>74</v>
      </c>
      <c r="L723" t="s">
        <v>74</v>
      </c>
      <c r="M723" t="s">
        <v>78</v>
      </c>
      <c r="N723" t="s">
        <v>5492</v>
      </c>
      <c r="O723" t="s">
        <v>74</v>
      </c>
      <c r="P723" t="s">
        <v>74</v>
      </c>
      <c r="Q723" t="s">
        <v>74</v>
      </c>
      <c r="R723" t="s">
        <v>74</v>
      </c>
      <c r="S723" t="s">
        <v>74</v>
      </c>
      <c r="T723" t="s">
        <v>12969</v>
      </c>
      <c r="U723" t="s">
        <v>12970</v>
      </c>
      <c r="V723" t="s">
        <v>12971</v>
      </c>
      <c r="W723" t="s">
        <v>12972</v>
      </c>
      <c r="X723" t="s">
        <v>12973</v>
      </c>
      <c r="Y723" t="s">
        <v>12974</v>
      </c>
      <c r="Z723" t="s">
        <v>12975</v>
      </c>
      <c r="AA723" t="s">
        <v>74</v>
      </c>
      <c r="AB723" t="s">
        <v>74</v>
      </c>
      <c r="AC723" t="s">
        <v>12976</v>
      </c>
      <c r="AD723" t="s">
        <v>12977</v>
      </c>
      <c r="AE723" t="s">
        <v>12978</v>
      </c>
      <c r="AF723" t="s">
        <v>74</v>
      </c>
      <c r="AG723">
        <v>28</v>
      </c>
      <c r="AH723">
        <v>0</v>
      </c>
      <c r="AI723">
        <v>0</v>
      </c>
      <c r="AJ723">
        <v>0</v>
      </c>
      <c r="AK723">
        <v>0</v>
      </c>
      <c r="AL723" t="s">
        <v>92</v>
      </c>
      <c r="AM723" t="s">
        <v>93</v>
      </c>
      <c r="AN723" t="s">
        <v>94</v>
      </c>
      <c r="AO723" t="s">
        <v>12979</v>
      </c>
      <c r="AP723" t="s">
        <v>12980</v>
      </c>
      <c r="AQ723" t="s">
        <v>74</v>
      </c>
      <c r="AR723" t="s">
        <v>12981</v>
      </c>
      <c r="AS723" t="s">
        <v>12982</v>
      </c>
      <c r="AT723" t="s">
        <v>12864</v>
      </c>
      <c r="AU723">
        <v>2023</v>
      </c>
      <c r="AV723" t="s">
        <v>74</v>
      </c>
      <c r="AW723" t="s">
        <v>74</v>
      </c>
      <c r="AX723" t="s">
        <v>74</v>
      </c>
      <c r="AY723" t="s">
        <v>74</v>
      </c>
      <c r="AZ723" t="s">
        <v>74</v>
      </c>
      <c r="BA723" t="s">
        <v>74</v>
      </c>
      <c r="BB723" t="s">
        <v>74</v>
      </c>
      <c r="BC723" t="s">
        <v>74</v>
      </c>
      <c r="BD723" t="s">
        <v>74</v>
      </c>
      <c r="BE723" t="s">
        <v>12983</v>
      </c>
      <c r="BF723" t="str">
        <f>HYPERLINK("http://dx.doi.org/10.1080/10520295.2023.2240226","http://dx.doi.org/10.1080/10520295.2023.2240226")</f>
        <v>http://dx.doi.org/10.1080/10520295.2023.2240226</v>
      </c>
      <c r="BG723" t="s">
        <v>74</v>
      </c>
      <c r="BH723" t="s">
        <v>12687</v>
      </c>
      <c r="BI723">
        <v>7</v>
      </c>
      <c r="BJ723" t="s">
        <v>12984</v>
      </c>
      <c r="BK723" t="s">
        <v>102</v>
      </c>
      <c r="BL723" t="s">
        <v>12984</v>
      </c>
      <c r="BM723" t="s">
        <v>12985</v>
      </c>
      <c r="BN723">
        <v>37501577</v>
      </c>
      <c r="BO723" t="s">
        <v>74</v>
      </c>
      <c r="BP723" t="s">
        <v>74</v>
      </c>
      <c r="BQ723" t="s">
        <v>74</v>
      </c>
      <c r="BR723" t="s">
        <v>105</v>
      </c>
      <c r="BS723" t="s">
        <v>12986</v>
      </c>
      <c r="BT723" t="str">
        <f>HYPERLINK("https%3A%2F%2Fwww.webofscience.com%2Fwos%2Fwoscc%2Ffull-record%2FWOS:001038232400001","View Full Record in Web of Science")</f>
        <v>View Full Record in Web of Science</v>
      </c>
    </row>
    <row r="724" spans="1:72" x14ac:dyDescent="0.15">
      <c r="A724" t="s">
        <v>72</v>
      </c>
      <c r="B724" t="s">
        <v>12987</v>
      </c>
      <c r="C724" t="s">
        <v>74</v>
      </c>
      <c r="D724" t="s">
        <v>74</v>
      </c>
      <c r="E724" t="s">
        <v>74</v>
      </c>
      <c r="F724" t="s">
        <v>12988</v>
      </c>
      <c r="G724" t="s">
        <v>74</v>
      </c>
      <c r="H724" t="s">
        <v>74</v>
      </c>
      <c r="I724" t="s">
        <v>12989</v>
      </c>
      <c r="J724" t="s">
        <v>12990</v>
      </c>
      <c r="K724" t="s">
        <v>74</v>
      </c>
      <c r="L724" t="s">
        <v>74</v>
      </c>
      <c r="M724" t="s">
        <v>78</v>
      </c>
      <c r="N724" t="s">
        <v>5492</v>
      </c>
      <c r="O724" t="s">
        <v>74</v>
      </c>
      <c r="P724" t="s">
        <v>74</v>
      </c>
      <c r="Q724" t="s">
        <v>74</v>
      </c>
      <c r="R724" t="s">
        <v>74</v>
      </c>
      <c r="S724" t="s">
        <v>74</v>
      </c>
      <c r="T724" t="s">
        <v>12991</v>
      </c>
      <c r="U724" t="s">
        <v>12992</v>
      </c>
      <c r="V724" t="s">
        <v>12993</v>
      </c>
      <c r="W724" t="s">
        <v>12994</v>
      </c>
      <c r="X724" t="s">
        <v>12995</v>
      </c>
      <c r="Y724" t="s">
        <v>12996</v>
      </c>
      <c r="Z724" t="s">
        <v>12997</v>
      </c>
      <c r="AA724" t="s">
        <v>74</v>
      </c>
      <c r="AB724" t="s">
        <v>74</v>
      </c>
      <c r="AC724" t="s">
        <v>74</v>
      </c>
      <c r="AD724" t="s">
        <v>74</v>
      </c>
      <c r="AE724" t="s">
        <v>74</v>
      </c>
      <c r="AF724" t="s">
        <v>74</v>
      </c>
      <c r="AG724">
        <v>41</v>
      </c>
      <c r="AH724">
        <v>1</v>
      </c>
      <c r="AI724">
        <v>1</v>
      </c>
      <c r="AJ724">
        <v>2</v>
      </c>
      <c r="AK724">
        <v>2</v>
      </c>
      <c r="AL724" t="s">
        <v>184</v>
      </c>
      <c r="AM724" t="s">
        <v>185</v>
      </c>
      <c r="AN724" t="s">
        <v>186</v>
      </c>
      <c r="AO724" t="s">
        <v>12998</v>
      </c>
      <c r="AP724" t="s">
        <v>12999</v>
      </c>
      <c r="AQ724" t="s">
        <v>74</v>
      </c>
      <c r="AR724" t="s">
        <v>13000</v>
      </c>
      <c r="AS724" t="s">
        <v>13001</v>
      </c>
      <c r="AT724" t="s">
        <v>13002</v>
      </c>
      <c r="AU724">
        <v>2023</v>
      </c>
      <c r="AV724" t="s">
        <v>74</v>
      </c>
      <c r="AW724" t="s">
        <v>74</v>
      </c>
      <c r="AX724" t="s">
        <v>74</v>
      </c>
      <c r="AY724" t="s">
        <v>74</v>
      </c>
      <c r="AZ724" t="s">
        <v>74</v>
      </c>
      <c r="BA724" t="s">
        <v>74</v>
      </c>
      <c r="BB724" t="s">
        <v>74</v>
      </c>
      <c r="BC724" t="s">
        <v>74</v>
      </c>
      <c r="BD724" t="s">
        <v>74</v>
      </c>
      <c r="BE724" t="s">
        <v>13003</v>
      </c>
      <c r="BF724" t="str">
        <f>HYPERLINK("http://dx.doi.org/10.1080/10826076.2023.2240913","http://dx.doi.org/10.1080/10826076.2023.2240913")</f>
        <v>http://dx.doi.org/10.1080/10826076.2023.2240913</v>
      </c>
      <c r="BG724" t="s">
        <v>74</v>
      </c>
      <c r="BH724" t="s">
        <v>12687</v>
      </c>
      <c r="BI724">
        <v>13</v>
      </c>
      <c r="BJ724" t="s">
        <v>13004</v>
      </c>
      <c r="BK724" t="s">
        <v>102</v>
      </c>
      <c r="BL724" t="s">
        <v>13005</v>
      </c>
      <c r="BM724" t="s">
        <v>13006</v>
      </c>
      <c r="BN724" t="s">
        <v>74</v>
      </c>
      <c r="BO724" t="s">
        <v>74</v>
      </c>
      <c r="BP724" t="s">
        <v>74</v>
      </c>
      <c r="BQ724" t="s">
        <v>74</v>
      </c>
      <c r="BR724" t="s">
        <v>105</v>
      </c>
      <c r="BS724" t="s">
        <v>13007</v>
      </c>
      <c r="BT724" t="str">
        <f>HYPERLINK("https%3A%2F%2Fwww.webofscience.com%2Fwos%2Fwoscc%2Ffull-record%2FWOS:001039457900001","View Full Record in Web of Science")</f>
        <v>View Full Record in Web of Science</v>
      </c>
    </row>
    <row r="725" spans="1:72" x14ac:dyDescent="0.15">
      <c r="A725" t="s">
        <v>72</v>
      </c>
      <c r="B725" t="s">
        <v>13008</v>
      </c>
      <c r="C725" t="s">
        <v>74</v>
      </c>
      <c r="D725" t="s">
        <v>74</v>
      </c>
      <c r="E725" t="s">
        <v>74</v>
      </c>
      <c r="F725" t="s">
        <v>13009</v>
      </c>
      <c r="G725" t="s">
        <v>74</v>
      </c>
      <c r="H725" t="s">
        <v>74</v>
      </c>
      <c r="I725" t="s">
        <v>13010</v>
      </c>
      <c r="J725" t="s">
        <v>13011</v>
      </c>
      <c r="K725" t="s">
        <v>74</v>
      </c>
      <c r="L725" t="s">
        <v>74</v>
      </c>
      <c r="M725" t="s">
        <v>78</v>
      </c>
      <c r="N725" t="s">
        <v>79</v>
      </c>
      <c r="O725" t="s">
        <v>74</v>
      </c>
      <c r="P725" t="s">
        <v>74</v>
      </c>
      <c r="Q725" t="s">
        <v>74</v>
      </c>
      <c r="R725" t="s">
        <v>74</v>
      </c>
      <c r="S725" t="s">
        <v>74</v>
      </c>
      <c r="T725" t="s">
        <v>13012</v>
      </c>
      <c r="U725" t="s">
        <v>13013</v>
      </c>
      <c r="V725" t="s">
        <v>13014</v>
      </c>
      <c r="W725" t="s">
        <v>13015</v>
      </c>
      <c r="X725" t="s">
        <v>13016</v>
      </c>
      <c r="Y725" t="s">
        <v>13017</v>
      </c>
      <c r="Z725" t="s">
        <v>13018</v>
      </c>
      <c r="AA725" t="s">
        <v>74</v>
      </c>
      <c r="AB725" t="s">
        <v>74</v>
      </c>
      <c r="AC725" t="s">
        <v>13019</v>
      </c>
      <c r="AD725" t="s">
        <v>13019</v>
      </c>
      <c r="AE725" t="s">
        <v>13020</v>
      </c>
      <c r="AF725" t="s">
        <v>74</v>
      </c>
      <c r="AG725">
        <v>44</v>
      </c>
      <c r="AH725">
        <v>0</v>
      </c>
      <c r="AI725">
        <v>0</v>
      </c>
      <c r="AJ725">
        <v>1</v>
      </c>
      <c r="AK725">
        <v>1</v>
      </c>
      <c r="AL725" t="s">
        <v>1188</v>
      </c>
      <c r="AM725" t="s">
        <v>93</v>
      </c>
      <c r="AN725" t="s">
        <v>1189</v>
      </c>
      <c r="AO725" t="s">
        <v>13021</v>
      </c>
      <c r="AP725" t="s">
        <v>13022</v>
      </c>
      <c r="AQ725" t="s">
        <v>74</v>
      </c>
      <c r="AR725" t="s">
        <v>13023</v>
      </c>
      <c r="AS725" t="s">
        <v>13024</v>
      </c>
      <c r="AT725" t="s">
        <v>8098</v>
      </c>
      <c r="AU725">
        <v>2023</v>
      </c>
      <c r="AV725">
        <v>49</v>
      </c>
      <c r="AW725">
        <v>5</v>
      </c>
      <c r="AX725" t="s">
        <v>74</v>
      </c>
      <c r="AY725" t="s">
        <v>74</v>
      </c>
      <c r="AZ725" t="s">
        <v>74</v>
      </c>
      <c r="BA725" t="s">
        <v>74</v>
      </c>
      <c r="BB725">
        <v>569</v>
      </c>
      <c r="BC725">
        <v>581</v>
      </c>
      <c r="BD725" t="s">
        <v>74</v>
      </c>
      <c r="BE725" t="s">
        <v>13025</v>
      </c>
      <c r="BF725" t="str">
        <f>HYPERLINK("http://dx.doi.org/10.1080/01488376.2023.2242886","http://dx.doi.org/10.1080/01488376.2023.2242886")</f>
        <v>http://dx.doi.org/10.1080/01488376.2023.2242886</v>
      </c>
      <c r="BG725" t="s">
        <v>74</v>
      </c>
      <c r="BH725" t="s">
        <v>12687</v>
      </c>
      <c r="BI725">
        <v>13</v>
      </c>
      <c r="BJ725" t="s">
        <v>5869</v>
      </c>
      <c r="BK725" t="s">
        <v>272</v>
      </c>
      <c r="BL725" t="s">
        <v>5869</v>
      </c>
      <c r="BM725" t="s">
        <v>13026</v>
      </c>
      <c r="BN725" t="s">
        <v>74</v>
      </c>
      <c r="BO725" t="s">
        <v>887</v>
      </c>
      <c r="BP725" t="s">
        <v>74</v>
      </c>
      <c r="BQ725" t="s">
        <v>74</v>
      </c>
      <c r="BR725" t="s">
        <v>105</v>
      </c>
      <c r="BS725" t="s">
        <v>13027</v>
      </c>
      <c r="BT725" t="str">
        <f>HYPERLINK("https%3A%2F%2Fwww.webofscience.com%2Fwos%2Fwoscc%2Ffull-record%2FWOS:001056158400001","View Full Record in Web of Science")</f>
        <v>View Full Record in Web of Science</v>
      </c>
    </row>
    <row r="726" spans="1:72" x14ac:dyDescent="0.15">
      <c r="A726" t="s">
        <v>72</v>
      </c>
      <c r="B726" t="s">
        <v>13028</v>
      </c>
      <c r="C726" t="s">
        <v>74</v>
      </c>
      <c r="D726" t="s">
        <v>74</v>
      </c>
      <c r="E726" t="s">
        <v>74</v>
      </c>
      <c r="F726" t="s">
        <v>13029</v>
      </c>
      <c r="G726" t="s">
        <v>74</v>
      </c>
      <c r="H726" t="s">
        <v>74</v>
      </c>
      <c r="I726" t="s">
        <v>13030</v>
      </c>
      <c r="J726" t="s">
        <v>13031</v>
      </c>
      <c r="K726" t="s">
        <v>74</v>
      </c>
      <c r="L726" t="s">
        <v>74</v>
      </c>
      <c r="M726" t="s">
        <v>78</v>
      </c>
      <c r="N726" t="s">
        <v>79</v>
      </c>
      <c r="O726" t="s">
        <v>74</v>
      </c>
      <c r="P726" t="s">
        <v>74</v>
      </c>
      <c r="Q726" t="s">
        <v>74</v>
      </c>
      <c r="R726" t="s">
        <v>74</v>
      </c>
      <c r="S726" t="s">
        <v>74</v>
      </c>
      <c r="T726" t="s">
        <v>13032</v>
      </c>
      <c r="U726" t="s">
        <v>13033</v>
      </c>
      <c r="V726" t="s">
        <v>13034</v>
      </c>
      <c r="W726" t="s">
        <v>13035</v>
      </c>
      <c r="X726" t="s">
        <v>13036</v>
      </c>
      <c r="Y726" t="s">
        <v>13037</v>
      </c>
      <c r="Z726" t="s">
        <v>13038</v>
      </c>
      <c r="AA726" t="s">
        <v>13039</v>
      </c>
      <c r="AB726" t="s">
        <v>13040</v>
      </c>
      <c r="AC726" t="s">
        <v>74</v>
      </c>
      <c r="AD726" t="s">
        <v>74</v>
      </c>
      <c r="AE726" t="s">
        <v>74</v>
      </c>
      <c r="AF726" t="s">
        <v>74</v>
      </c>
      <c r="AG726">
        <v>104</v>
      </c>
      <c r="AH726">
        <v>0</v>
      </c>
      <c r="AI726">
        <v>0</v>
      </c>
      <c r="AJ726">
        <v>0</v>
      </c>
      <c r="AK726">
        <v>0</v>
      </c>
      <c r="AL726" t="s">
        <v>184</v>
      </c>
      <c r="AM726" t="s">
        <v>185</v>
      </c>
      <c r="AN726" t="s">
        <v>186</v>
      </c>
      <c r="AO726" t="s">
        <v>13041</v>
      </c>
      <c r="AP726" t="s">
        <v>13042</v>
      </c>
      <c r="AQ726" t="s">
        <v>74</v>
      </c>
      <c r="AR726" t="s">
        <v>13031</v>
      </c>
      <c r="AS726" t="s">
        <v>13043</v>
      </c>
      <c r="AT726" t="s">
        <v>8098</v>
      </c>
      <c r="AU726">
        <v>2023</v>
      </c>
      <c r="AV726">
        <v>115</v>
      </c>
      <c r="AW726">
        <v>5</v>
      </c>
      <c r="AX726" t="s">
        <v>74</v>
      </c>
      <c r="AY726" t="s">
        <v>74</v>
      </c>
      <c r="AZ726" t="s">
        <v>74</v>
      </c>
      <c r="BA726" t="s">
        <v>74</v>
      </c>
      <c r="BB726">
        <v>630</v>
      </c>
      <c r="BC726">
        <v>647</v>
      </c>
      <c r="BD726" t="s">
        <v>74</v>
      </c>
      <c r="BE726" t="s">
        <v>13044</v>
      </c>
      <c r="BF726" t="str">
        <f>HYPERLINK("http://dx.doi.org/10.1080/00275514.2023.2228182","http://dx.doi.org/10.1080/00275514.2023.2228182")</f>
        <v>http://dx.doi.org/10.1080/00275514.2023.2228182</v>
      </c>
      <c r="BG726" t="s">
        <v>74</v>
      </c>
      <c r="BH726" t="s">
        <v>12687</v>
      </c>
      <c r="BI726">
        <v>18</v>
      </c>
      <c r="BJ726" t="s">
        <v>13045</v>
      </c>
      <c r="BK726" t="s">
        <v>102</v>
      </c>
      <c r="BL726" t="s">
        <v>13045</v>
      </c>
      <c r="BM726" t="s">
        <v>13046</v>
      </c>
      <c r="BN726">
        <v>37494633</v>
      </c>
      <c r="BO726" t="s">
        <v>9801</v>
      </c>
      <c r="BP726" t="s">
        <v>74</v>
      </c>
      <c r="BQ726" t="s">
        <v>74</v>
      </c>
      <c r="BR726" t="s">
        <v>105</v>
      </c>
      <c r="BS726" t="s">
        <v>13047</v>
      </c>
      <c r="BT726" t="str">
        <f>HYPERLINK("https%3A%2F%2Fwww.webofscience.com%2Fwos%2Fwoscc%2Ffull-record%2FWOS:001033977500001","View Full Record in Web of Science")</f>
        <v>View Full Record in Web of Science</v>
      </c>
    </row>
    <row r="727" spans="1:72" x14ac:dyDescent="0.15">
      <c r="A727" t="s">
        <v>72</v>
      </c>
      <c r="B727" t="s">
        <v>13048</v>
      </c>
      <c r="C727" t="s">
        <v>74</v>
      </c>
      <c r="D727" t="s">
        <v>74</v>
      </c>
      <c r="E727" t="s">
        <v>74</v>
      </c>
      <c r="F727" t="s">
        <v>13049</v>
      </c>
      <c r="G727" t="s">
        <v>74</v>
      </c>
      <c r="H727" t="s">
        <v>74</v>
      </c>
      <c r="I727" t="s">
        <v>13050</v>
      </c>
      <c r="J727" t="s">
        <v>13051</v>
      </c>
      <c r="K727" t="s">
        <v>74</v>
      </c>
      <c r="L727" t="s">
        <v>74</v>
      </c>
      <c r="M727" t="s">
        <v>78</v>
      </c>
      <c r="N727" t="s">
        <v>5492</v>
      </c>
      <c r="O727" t="s">
        <v>74</v>
      </c>
      <c r="P727" t="s">
        <v>74</v>
      </c>
      <c r="Q727" t="s">
        <v>74</v>
      </c>
      <c r="R727" t="s">
        <v>74</v>
      </c>
      <c r="S727" t="s">
        <v>74</v>
      </c>
      <c r="T727" t="s">
        <v>13052</v>
      </c>
      <c r="U727" t="s">
        <v>13053</v>
      </c>
      <c r="V727" t="s">
        <v>13054</v>
      </c>
      <c r="W727" t="s">
        <v>13055</v>
      </c>
      <c r="X727" t="s">
        <v>13056</v>
      </c>
      <c r="Y727" t="s">
        <v>13057</v>
      </c>
      <c r="Z727" t="s">
        <v>13058</v>
      </c>
      <c r="AA727" t="s">
        <v>74</v>
      </c>
      <c r="AB727" t="s">
        <v>74</v>
      </c>
      <c r="AC727" t="s">
        <v>74</v>
      </c>
      <c r="AD727" t="s">
        <v>74</v>
      </c>
      <c r="AE727" t="s">
        <v>74</v>
      </c>
      <c r="AF727" t="s">
        <v>74</v>
      </c>
      <c r="AG727">
        <v>43</v>
      </c>
      <c r="AH727">
        <v>0</v>
      </c>
      <c r="AI727">
        <v>0</v>
      </c>
      <c r="AJ727">
        <v>1</v>
      </c>
      <c r="AK727">
        <v>1</v>
      </c>
      <c r="AL727" t="s">
        <v>1188</v>
      </c>
      <c r="AM727" t="s">
        <v>93</v>
      </c>
      <c r="AN727" t="s">
        <v>1189</v>
      </c>
      <c r="AO727" t="s">
        <v>13059</v>
      </c>
      <c r="AP727" t="s">
        <v>13060</v>
      </c>
      <c r="AQ727" t="s">
        <v>74</v>
      </c>
      <c r="AR727" t="s">
        <v>13061</v>
      </c>
      <c r="AS727" t="s">
        <v>13062</v>
      </c>
      <c r="AT727" t="s">
        <v>13002</v>
      </c>
      <c r="AU727">
        <v>2023</v>
      </c>
      <c r="AV727" t="s">
        <v>74</v>
      </c>
      <c r="AW727" t="s">
        <v>74</v>
      </c>
      <c r="AX727" t="s">
        <v>74</v>
      </c>
      <c r="AY727" t="s">
        <v>74</v>
      </c>
      <c r="AZ727" t="s">
        <v>74</v>
      </c>
      <c r="BA727" t="s">
        <v>74</v>
      </c>
      <c r="BB727" t="s">
        <v>74</v>
      </c>
      <c r="BC727" t="s">
        <v>74</v>
      </c>
      <c r="BD727" t="s">
        <v>74</v>
      </c>
      <c r="BE727" t="s">
        <v>13063</v>
      </c>
      <c r="BF727" t="str">
        <f>HYPERLINK("http://dx.doi.org/10.1080/27703371.2023.2242319","http://dx.doi.org/10.1080/27703371.2023.2242319")</f>
        <v>http://dx.doi.org/10.1080/27703371.2023.2242319</v>
      </c>
      <c r="BG727" t="s">
        <v>74</v>
      </c>
      <c r="BH727" t="s">
        <v>12687</v>
      </c>
      <c r="BI727">
        <v>11</v>
      </c>
      <c r="BJ727" t="s">
        <v>13064</v>
      </c>
      <c r="BK727" t="s">
        <v>272</v>
      </c>
      <c r="BL727" t="s">
        <v>13064</v>
      </c>
      <c r="BM727" t="s">
        <v>13065</v>
      </c>
      <c r="BN727" t="s">
        <v>74</v>
      </c>
      <c r="BO727" t="s">
        <v>74</v>
      </c>
      <c r="BP727" t="s">
        <v>74</v>
      </c>
      <c r="BQ727" t="s">
        <v>74</v>
      </c>
      <c r="BR727" t="s">
        <v>105</v>
      </c>
      <c r="BS727" t="s">
        <v>13066</v>
      </c>
      <c r="BT727" t="str">
        <f>HYPERLINK("https%3A%2F%2Fwww.webofscience.com%2Fwos%2Fwoscc%2Ffull-record%2FWOS:001040058200001","View Full Record in Web of Science")</f>
        <v>View Full Record in Web of Science</v>
      </c>
    </row>
    <row r="728" spans="1:72" x14ac:dyDescent="0.15">
      <c r="A728" t="s">
        <v>72</v>
      </c>
      <c r="B728" t="s">
        <v>13067</v>
      </c>
      <c r="C728" t="s">
        <v>74</v>
      </c>
      <c r="D728" t="s">
        <v>74</v>
      </c>
      <c r="E728" t="s">
        <v>74</v>
      </c>
      <c r="F728" t="s">
        <v>13068</v>
      </c>
      <c r="G728" t="s">
        <v>74</v>
      </c>
      <c r="H728" t="s">
        <v>74</v>
      </c>
      <c r="I728" t="s">
        <v>13069</v>
      </c>
      <c r="J728" t="s">
        <v>12009</v>
      </c>
      <c r="K728" t="s">
        <v>74</v>
      </c>
      <c r="L728" t="s">
        <v>74</v>
      </c>
      <c r="M728" t="s">
        <v>78</v>
      </c>
      <c r="N728" t="s">
        <v>5492</v>
      </c>
      <c r="O728" t="s">
        <v>74</v>
      </c>
      <c r="P728" t="s">
        <v>74</v>
      </c>
      <c r="Q728" t="s">
        <v>74</v>
      </c>
      <c r="R728" t="s">
        <v>74</v>
      </c>
      <c r="S728" t="s">
        <v>74</v>
      </c>
      <c r="T728" t="s">
        <v>13070</v>
      </c>
      <c r="U728" t="s">
        <v>74</v>
      </c>
      <c r="V728" t="s">
        <v>13071</v>
      </c>
      <c r="W728" t="s">
        <v>13072</v>
      </c>
      <c r="X728" t="s">
        <v>13073</v>
      </c>
      <c r="Y728" t="s">
        <v>13074</v>
      </c>
      <c r="Z728" t="s">
        <v>13075</v>
      </c>
      <c r="AA728" t="s">
        <v>74</v>
      </c>
      <c r="AB728" t="s">
        <v>13076</v>
      </c>
      <c r="AC728" t="s">
        <v>74</v>
      </c>
      <c r="AD728" t="s">
        <v>74</v>
      </c>
      <c r="AE728" t="s">
        <v>74</v>
      </c>
      <c r="AF728" t="s">
        <v>74</v>
      </c>
      <c r="AG728">
        <v>76</v>
      </c>
      <c r="AH728">
        <v>0</v>
      </c>
      <c r="AI728">
        <v>0</v>
      </c>
      <c r="AJ728">
        <v>1</v>
      </c>
      <c r="AK728">
        <v>1</v>
      </c>
      <c r="AL728" t="s">
        <v>1188</v>
      </c>
      <c r="AM728" t="s">
        <v>93</v>
      </c>
      <c r="AN728" t="s">
        <v>1189</v>
      </c>
      <c r="AO728" t="s">
        <v>12017</v>
      </c>
      <c r="AP728" t="s">
        <v>12018</v>
      </c>
      <c r="AQ728" t="s">
        <v>74</v>
      </c>
      <c r="AR728" t="s">
        <v>12019</v>
      </c>
      <c r="AS728" t="s">
        <v>12020</v>
      </c>
      <c r="AT728" t="s">
        <v>13002</v>
      </c>
      <c r="AU728">
        <v>2023</v>
      </c>
      <c r="AV728" t="s">
        <v>74</v>
      </c>
      <c r="AW728" t="s">
        <v>74</v>
      </c>
      <c r="AX728" t="s">
        <v>74</v>
      </c>
      <c r="AY728" t="s">
        <v>74</v>
      </c>
      <c r="AZ728" t="s">
        <v>74</v>
      </c>
      <c r="BA728" t="s">
        <v>74</v>
      </c>
      <c r="BB728" t="s">
        <v>74</v>
      </c>
      <c r="BC728" t="s">
        <v>74</v>
      </c>
      <c r="BD728" t="s">
        <v>74</v>
      </c>
      <c r="BE728" t="s">
        <v>13077</v>
      </c>
      <c r="BF728" t="str">
        <f>HYPERLINK("http://dx.doi.org/10.1080/17411912.2023.2236135","http://dx.doi.org/10.1080/17411912.2023.2236135")</f>
        <v>http://dx.doi.org/10.1080/17411912.2023.2236135</v>
      </c>
      <c r="BG728" t="s">
        <v>74</v>
      </c>
      <c r="BH728" t="s">
        <v>12687</v>
      </c>
      <c r="BI728">
        <v>17</v>
      </c>
      <c r="BJ728" t="s">
        <v>7626</v>
      </c>
      <c r="BK728" t="s">
        <v>6264</v>
      </c>
      <c r="BL728" t="s">
        <v>7626</v>
      </c>
      <c r="BM728" t="s">
        <v>13078</v>
      </c>
      <c r="BN728" t="s">
        <v>74</v>
      </c>
      <c r="BO728" t="s">
        <v>887</v>
      </c>
      <c r="BP728" t="s">
        <v>74</v>
      </c>
      <c r="BQ728" t="s">
        <v>74</v>
      </c>
      <c r="BR728" t="s">
        <v>105</v>
      </c>
      <c r="BS728" t="s">
        <v>13079</v>
      </c>
      <c r="BT728" t="str">
        <f>HYPERLINK("https%3A%2F%2Fwww.webofscience.com%2Fwos%2Fwoscc%2Ffull-record%2FWOS:001040764300001","View Full Record in Web of Science")</f>
        <v>View Full Record in Web of Science</v>
      </c>
    </row>
    <row r="729" spans="1:72" x14ac:dyDescent="0.15">
      <c r="A729" t="s">
        <v>72</v>
      </c>
      <c r="B729" t="s">
        <v>13080</v>
      </c>
      <c r="C729" t="s">
        <v>74</v>
      </c>
      <c r="D729" t="s">
        <v>74</v>
      </c>
      <c r="E729" t="s">
        <v>74</v>
      </c>
      <c r="F729" t="s">
        <v>13081</v>
      </c>
      <c r="G729" t="s">
        <v>74</v>
      </c>
      <c r="H729" t="s">
        <v>74</v>
      </c>
      <c r="I729" t="s">
        <v>13082</v>
      </c>
      <c r="J729" t="s">
        <v>12256</v>
      </c>
      <c r="K729" t="s">
        <v>74</v>
      </c>
      <c r="L729" t="s">
        <v>74</v>
      </c>
      <c r="M729" t="s">
        <v>78</v>
      </c>
      <c r="N729" t="s">
        <v>5492</v>
      </c>
      <c r="O729" t="s">
        <v>74</v>
      </c>
      <c r="P729" t="s">
        <v>74</v>
      </c>
      <c r="Q729" t="s">
        <v>74</v>
      </c>
      <c r="R729" t="s">
        <v>74</v>
      </c>
      <c r="S729" t="s">
        <v>74</v>
      </c>
      <c r="T729" t="s">
        <v>13083</v>
      </c>
      <c r="U729" t="s">
        <v>13084</v>
      </c>
      <c r="V729" t="s">
        <v>13085</v>
      </c>
      <c r="W729" t="s">
        <v>13086</v>
      </c>
      <c r="X729" t="s">
        <v>13087</v>
      </c>
      <c r="Y729" t="s">
        <v>13088</v>
      </c>
      <c r="Z729" t="s">
        <v>13089</v>
      </c>
      <c r="AA729" t="s">
        <v>13090</v>
      </c>
      <c r="AB729" t="s">
        <v>13091</v>
      </c>
      <c r="AC729" t="s">
        <v>74</v>
      </c>
      <c r="AD729" t="s">
        <v>74</v>
      </c>
      <c r="AE729" t="s">
        <v>74</v>
      </c>
      <c r="AF729" t="s">
        <v>74</v>
      </c>
      <c r="AG729">
        <v>76</v>
      </c>
      <c r="AH729">
        <v>0</v>
      </c>
      <c r="AI729">
        <v>0</v>
      </c>
      <c r="AJ729">
        <v>0</v>
      </c>
      <c r="AK729">
        <v>0</v>
      </c>
      <c r="AL729" t="s">
        <v>92</v>
      </c>
      <c r="AM729" t="s">
        <v>93</v>
      </c>
      <c r="AN729" t="s">
        <v>94</v>
      </c>
      <c r="AO729" t="s">
        <v>12268</v>
      </c>
      <c r="AP729" t="s">
        <v>12269</v>
      </c>
      <c r="AQ729" t="s">
        <v>74</v>
      </c>
      <c r="AR729" t="s">
        <v>12270</v>
      </c>
      <c r="AS729" t="s">
        <v>12271</v>
      </c>
      <c r="AT729" t="s">
        <v>13002</v>
      </c>
      <c r="AU729">
        <v>2023</v>
      </c>
      <c r="AV729" t="s">
        <v>74</v>
      </c>
      <c r="AW729" t="s">
        <v>74</v>
      </c>
      <c r="AX729" t="s">
        <v>74</v>
      </c>
      <c r="AY729" t="s">
        <v>74</v>
      </c>
      <c r="AZ729" t="s">
        <v>74</v>
      </c>
      <c r="BA729" t="s">
        <v>74</v>
      </c>
      <c r="BB729" t="s">
        <v>74</v>
      </c>
      <c r="BC729" t="s">
        <v>74</v>
      </c>
      <c r="BD729" t="s">
        <v>74</v>
      </c>
      <c r="BE729" t="s">
        <v>13092</v>
      </c>
      <c r="BF729" t="str">
        <f>HYPERLINK("http://dx.doi.org/10.1080/08870446.2023.2241777","http://dx.doi.org/10.1080/08870446.2023.2241777")</f>
        <v>http://dx.doi.org/10.1080/08870446.2023.2241777</v>
      </c>
      <c r="BG729" t="s">
        <v>74</v>
      </c>
      <c r="BH729" t="s">
        <v>12687</v>
      </c>
      <c r="BI729">
        <v>21</v>
      </c>
      <c r="BJ729" t="s">
        <v>12273</v>
      </c>
      <c r="BK729" t="s">
        <v>272</v>
      </c>
      <c r="BL729" t="s">
        <v>12274</v>
      </c>
      <c r="BM729" t="s">
        <v>13093</v>
      </c>
      <c r="BN729">
        <v>37545087</v>
      </c>
      <c r="BO729" t="s">
        <v>887</v>
      </c>
      <c r="BP729" t="s">
        <v>74</v>
      </c>
      <c r="BQ729" t="s">
        <v>74</v>
      </c>
      <c r="BR729" t="s">
        <v>105</v>
      </c>
      <c r="BS729" t="s">
        <v>13094</v>
      </c>
      <c r="BT729" t="str">
        <f>HYPERLINK("https%3A%2F%2Fwww.webofscience.com%2Fwos%2Fwoscc%2Ffull-record%2FWOS:001042370700001","View Full Record in Web of Science")</f>
        <v>View Full Record in Web of Science</v>
      </c>
    </row>
    <row r="730" spans="1:72" x14ac:dyDescent="0.15">
      <c r="A730" t="s">
        <v>72</v>
      </c>
      <c r="B730" t="s">
        <v>13095</v>
      </c>
      <c r="C730" t="s">
        <v>74</v>
      </c>
      <c r="D730" t="s">
        <v>74</v>
      </c>
      <c r="E730" t="s">
        <v>74</v>
      </c>
      <c r="F730" t="s">
        <v>13096</v>
      </c>
      <c r="G730" t="s">
        <v>74</v>
      </c>
      <c r="H730" t="s">
        <v>74</v>
      </c>
      <c r="I730" t="s">
        <v>13097</v>
      </c>
      <c r="J730" t="s">
        <v>13098</v>
      </c>
      <c r="K730" t="s">
        <v>74</v>
      </c>
      <c r="L730" t="s">
        <v>74</v>
      </c>
      <c r="M730" t="s">
        <v>78</v>
      </c>
      <c r="N730" t="s">
        <v>5492</v>
      </c>
      <c r="O730" t="s">
        <v>74</v>
      </c>
      <c r="P730" t="s">
        <v>74</v>
      </c>
      <c r="Q730" t="s">
        <v>74</v>
      </c>
      <c r="R730" t="s">
        <v>74</v>
      </c>
      <c r="S730" t="s">
        <v>74</v>
      </c>
      <c r="T730" t="s">
        <v>13099</v>
      </c>
      <c r="U730" t="s">
        <v>13100</v>
      </c>
      <c r="V730" t="s">
        <v>13101</v>
      </c>
      <c r="W730" t="s">
        <v>13102</v>
      </c>
      <c r="X730" t="s">
        <v>13103</v>
      </c>
      <c r="Y730" t="s">
        <v>13104</v>
      </c>
      <c r="Z730" t="s">
        <v>13105</v>
      </c>
      <c r="AA730" t="s">
        <v>74</v>
      </c>
      <c r="AB730" t="s">
        <v>74</v>
      </c>
      <c r="AC730" t="s">
        <v>74</v>
      </c>
      <c r="AD730" t="s">
        <v>74</v>
      </c>
      <c r="AE730" t="s">
        <v>74</v>
      </c>
      <c r="AF730" t="s">
        <v>74</v>
      </c>
      <c r="AG730">
        <v>61</v>
      </c>
      <c r="AH730">
        <v>0</v>
      </c>
      <c r="AI730">
        <v>0</v>
      </c>
      <c r="AJ730">
        <v>3</v>
      </c>
      <c r="AK730">
        <v>3</v>
      </c>
      <c r="AL730" t="s">
        <v>92</v>
      </c>
      <c r="AM730" t="s">
        <v>93</v>
      </c>
      <c r="AN730" t="s">
        <v>94</v>
      </c>
      <c r="AO730" t="s">
        <v>13106</v>
      </c>
      <c r="AP730" t="s">
        <v>13107</v>
      </c>
      <c r="AQ730" t="s">
        <v>74</v>
      </c>
      <c r="AR730" t="s">
        <v>13108</v>
      </c>
      <c r="AS730" t="s">
        <v>13109</v>
      </c>
      <c r="AT730" t="s">
        <v>13002</v>
      </c>
      <c r="AU730">
        <v>2023</v>
      </c>
      <c r="AV730" t="s">
        <v>74</v>
      </c>
      <c r="AW730" t="s">
        <v>74</v>
      </c>
      <c r="AX730" t="s">
        <v>74</v>
      </c>
      <c r="AY730" t="s">
        <v>74</v>
      </c>
      <c r="AZ730" t="s">
        <v>74</v>
      </c>
      <c r="BA730" t="s">
        <v>74</v>
      </c>
      <c r="BB730" t="s">
        <v>74</v>
      </c>
      <c r="BC730" t="s">
        <v>74</v>
      </c>
      <c r="BD730" t="s">
        <v>74</v>
      </c>
      <c r="BE730" t="s">
        <v>13110</v>
      </c>
      <c r="BF730" t="str">
        <f>HYPERLINK("http://dx.doi.org/10.1080/17415993.2023.2241594","http://dx.doi.org/10.1080/17415993.2023.2241594")</f>
        <v>http://dx.doi.org/10.1080/17415993.2023.2241594</v>
      </c>
      <c r="BG730" t="s">
        <v>74</v>
      </c>
      <c r="BH730" t="s">
        <v>12687</v>
      </c>
      <c r="BI730">
        <v>18</v>
      </c>
      <c r="BJ730" t="s">
        <v>13111</v>
      </c>
      <c r="BK730" t="s">
        <v>102</v>
      </c>
      <c r="BL730" t="s">
        <v>8693</v>
      </c>
      <c r="BM730" t="s">
        <v>13112</v>
      </c>
      <c r="BN730" t="s">
        <v>74</v>
      </c>
      <c r="BO730" t="s">
        <v>5486</v>
      </c>
      <c r="BP730" t="s">
        <v>74</v>
      </c>
      <c r="BQ730" t="s">
        <v>74</v>
      </c>
      <c r="BR730" t="s">
        <v>105</v>
      </c>
      <c r="BS730" t="s">
        <v>13113</v>
      </c>
      <c r="BT730" t="str">
        <f>HYPERLINK("https%3A%2F%2Fwww.webofscience.com%2Fwos%2Fwoscc%2Ffull-record%2FWOS:001034594600001","View Full Record in Web of Science")</f>
        <v>View Full Record in Web of Science</v>
      </c>
    </row>
    <row r="731" spans="1:72" x14ac:dyDescent="0.15">
      <c r="A731" t="s">
        <v>72</v>
      </c>
      <c r="B731" t="s">
        <v>13114</v>
      </c>
      <c r="C731" t="s">
        <v>74</v>
      </c>
      <c r="D731" t="s">
        <v>74</v>
      </c>
      <c r="E731" t="s">
        <v>74</v>
      </c>
      <c r="F731" t="s">
        <v>13115</v>
      </c>
      <c r="G731" t="s">
        <v>74</v>
      </c>
      <c r="H731" t="s">
        <v>74</v>
      </c>
      <c r="I731" t="s">
        <v>13116</v>
      </c>
      <c r="J731" t="s">
        <v>13117</v>
      </c>
      <c r="K731" t="s">
        <v>74</v>
      </c>
      <c r="L731" t="s">
        <v>74</v>
      </c>
      <c r="M731" t="s">
        <v>78</v>
      </c>
      <c r="N731" t="s">
        <v>79</v>
      </c>
      <c r="O731" t="s">
        <v>74</v>
      </c>
      <c r="P731" t="s">
        <v>74</v>
      </c>
      <c r="Q731" t="s">
        <v>74</v>
      </c>
      <c r="R731" t="s">
        <v>74</v>
      </c>
      <c r="S731" t="s">
        <v>74</v>
      </c>
      <c r="T731" t="s">
        <v>13118</v>
      </c>
      <c r="U731" t="s">
        <v>13119</v>
      </c>
      <c r="V731" t="s">
        <v>13120</v>
      </c>
      <c r="W731" t="s">
        <v>13121</v>
      </c>
      <c r="X731" t="s">
        <v>13122</v>
      </c>
      <c r="Y731" t="s">
        <v>13123</v>
      </c>
      <c r="Z731" t="s">
        <v>13124</v>
      </c>
      <c r="AA731" t="s">
        <v>74</v>
      </c>
      <c r="AB731" t="s">
        <v>74</v>
      </c>
      <c r="AC731" t="s">
        <v>13125</v>
      </c>
      <c r="AD731" t="s">
        <v>13126</v>
      </c>
      <c r="AE731" t="s">
        <v>13127</v>
      </c>
      <c r="AF731" t="s">
        <v>74</v>
      </c>
      <c r="AG731">
        <v>43</v>
      </c>
      <c r="AH731">
        <v>0</v>
      </c>
      <c r="AI731">
        <v>0</v>
      </c>
      <c r="AJ731">
        <v>3</v>
      </c>
      <c r="AK731">
        <v>3</v>
      </c>
      <c r="AL731" t="s">
        <v>92</v>
      </c>
      <c r="AM731" t="s">
        <v>93</v>
      </c>
      <c r="AN731" t="s">
        <v>94</v>
      </c>
      <c r="AO731" t="s">
        <v>13128</v>
      </c>
      <c r="AP731" t="s">
        <v>13129</v>
      </c>
      <c r="AQ731" t="s">
        <v>74</v>
      </c>
      <c r="AR731" t="s">
        <v>13130</v>
      </c>
      <c r="AS731" t="s">
        <v>13131</v>
      </c>
      <c r="AT731" t="s">
        <v>7845</v>
      </c>
      <c r="AU731">
        <v>2023</v>
      </c>
      <c r="AV731">
        <v>61</v>
      </c>
      <c r="AW731">
        <v>4</v>
      </c>
      <c r="AX731" t="s">
        <v>74</v>
      </c>
      <c r="AY731" t="s">
        <v>74</v>
      </c>
      <c r="AZ731" t="s">
        <v>74</v>
      </c>
      <c r="BA731" t="s">
        <v>74</v>
      </c>
      <c r="BB731">
        <v>437</v>
      </c>
      <c r="BC731">
        <v>451</v>
      </c>
      <c r="BD731" t="s">
        <v>74</v>
      </c>
      <c r="BE731" t="s">
        <v>13132</v>
      </c>
      <c r="BF731" t="str">
        <f>HYPERLINK("http://dx.doi.org/10.1080/00221686.2023.2231396","http://dx.doi.org/10.1080/00221686.2023.2231396")</f>
        <v>http://dx.doi.org/10.1080/00221686.2023.2231396</v>
      </c>
      <c r="BG731" t="s">
        <v>74</v>
      </c>
      <c r="BH731" t="s">
        <v>12687</v>
      </c>
      <c r="BI731">
        <v>15</v>
      </c>
      <c r="BJ731" t="s">
        <v>13133</v>
      </c>
      <c r="BK731" t="s">
        <v>102</v>
      </c>
      <c r="BL731" t="s">
        <v>13134</v>
      </c>
      <c r="BM731" t="s">
        <v>13135</v>
      </c>
      <c r="BN731" t="s">
        <v>74</v>
      </c>
      <c r="BO731" t="s">
        <v>74</v>
      </c>
      <c r="BP731" t="s">
        <v>74</v>
      </c>
      <c r="BQ731" t="s">
        <v>74</v>
      </c>
      <c r="BR731" t="s">
        <v>105</v>
      </c>
      <c r="BS731" t="s">
        <v>13136</v>
      </c>
      <c r="BT731" t="str">
        <f>HYPERLINK("https%3A%2F%2Fwww.webofscience.com%2Fwos%2Fwoscc%2Ffull-record%2FWOS:001041448100001","View Full Record in Web of Science")</f>
        <v>View Full Record in Web of Science</v>
      </c>
    </row>
    <row r="732" spans="1:72" x14ac:dyDescent="0.15">
      <c r="A732" t="s">
        <v>72</v>
      </c>
      <c r="B732" t="s">
        <v>13137</v>
      </c>
      <c r="C732" t="s">
        <v>74</v>
      </c>
      <c r="D732" t="s">
        <v>74</v>
      </c>
      <c r="E732" t="s">
        <v>74</v>
      </c>
      <c r="F732" t="s">
        <v>13138</v>
      </c>
      <c r="G732" t="s">
        <v>74</v>
      </c>
      <c r="H732" t="s">
        <v>74</v>
      </c>
      <c r="I732" t="s">
        <v>13139</v>
      </c>
      <c r="J732" t="s">
        <v>9267</v>
      </c>
      <c r="K732" t="s">
        <v>74</v>
      </c>
      <c r="L732" t="s">
        <v>74</v>
      </c>
      <c r="M732" t="s">
        <v>78</v>
      </c>
      <c r="N732" t="s">
        <v>5492</v>
      </c>
      <c r="O732" t="s">
        <v>74</v>
      </c>
      <c r="P732" t="s">
        <v>74</v>
      </c>
      <c r="Q732" t="s">
        <v>74</v>
      </c>
      <c r="R732" t="s">
        <v>74</v>
      </c>
      <c r="S732" t="s">
        <v>74</v>
      </c>
      <c r="T732" t="s">
        <v>13140</v>
      </c>
      <c r="U732" t="s">
        <v>13141</v>
      </c>
      <c r="V732" t="s">
        <v>13142</v>
      </c>
      <c r="W732" t="s">
        <v>13143</v>
      </c>
      <c r="X732" t="s">
        <v>13144</v>
      </c>
      <c r="Y732" t="s">
        <v>13145</v>
      </c>
      <c r="Z732" t="s">
        <v>13146</v>
      </c>
      <c r="AA732" t="s">
        <v>74</v>
      </c>
      <c r="AB732" t="s">
        <v>74</v>
      </c>
      <c r="AC732" t="s">
        <v>74</v>
      </c>
      <c r="AD732" t="s">
        <v>74</v>
      </c>
      <c r="AE732" t="s">
        <v>74</v>
      </c>
      <c r="AF732" t="s">
        <v>74</v>
      </c>
      <c r="AG732">
        <v>22</v>
      </c>
      <c r="AH732">
        <v>1</v>
      </c>
      <c r="AI732">
        <v>1</v>
      </c>
      <c r="AJ732">
        <v>0</v>
      </c>
      <c r="AK732">
        <v>0</v>
      </c>
      <c r="AL732" t="s">
        <v>92</v>
      </c>
      <c r="AM732" t="s">
        <v>93</v>
      </c>
      <c r="AN732" t="s">
        <v>94</v>
      </c>
      <c r="AO732" t="s">
        <v>9278</v>
      </c>
      <c r="AP732" t="s">
        <v>9279</v>
      </c>
      <c r="AQ732" t="s">
        <v>74</v>
      </c>
      <c r="AR732" t="s">
        <v>9280</v>
      </c>
      <c r="AS732" t="s">
        <v>9281</v>
      </c>
      <c r="AT732" t="s">
        <v>13147</v>
      </c>
      <c r="AU732">
        <v>2023</v>
      </c>
      <c r="AV732" t="s">
        <v>74</v>
      </c>
      <c r="AW732" t="s">
        <v>74</v>
      </c>
      <c r="AX732" t="s">
        <v>74</v>
      </c>
      <c r="AY732" t="s">
        <v>74</v>
      </c>
      <c r="AZ732" t="s">
        <v>74</v>
      </c>
      <c r="BA732" t="s">
        <v>74</v>
      </c>
      <c r="BB732" t="s">
        <v>74</v>
      </c>
      <c r="BC732" t="s">
        <v>74</v>
      </c>
      <c r="BD732" t="s">
        <v>74</v>
      </c>
      <c r="BE732" t="s">
        <v>13148</v>
      </c>
      <c r="BF732" t="str">
        <f>HYPERLINK("http://dx.doi.org/10.1080/13588265.2023.2242102","http://dx.doi.org/10.1080/13588265.2023.2242102")</f>
        <v>http://dx.doi.org/10.1080/13588265.2023.2242102</v>
      </c>
      <c r="BG732" t="s">
        <v>74</v>
      </c>
      <c r="BH732" t="s">
        <v>12687</v>
      </c>
      <c r="BI732">
        <v>10</v>
      </c>
      <c r="BJ732" t="s">
        <v>9283</v>
      </c>
      <c r="BK732" t="s">
        <v>102</v>
      </c>
      <c r="BL732" t="s">
        <v>1095</v>
      </c>
      <c r="BM732" t="s">
        <v>13149</v>
      </c>
      <c r="BN732" t="s">
        <v>74</v>
      </c>
      <c r="BO732" t="s">
        <v>74</v>
      </c>
      <c r="BP732" t="s">
        <v>74</v>
      </c>
      <c r="BQ732" t="s">
        <v>74</v>
      </c>
      <c r="BR732" t="s">
        <v>105</v>
      </c>
      <c r="BS732" t="s">
        <v>13150</v>
      </c>
      <c r="BT732" t="str">
        <f>HYPERLINK("https%3A%2F%2Fwww.webofscience.com%2Fwos%2Fwoscc%2Ffull-record%2FWOS:001039623500001","View Full Record in Web of Science")</f>
        <v>View Full Record in Web of Science</v>
      </c>
    </row>
    <row r="733" spans="1:72" x14ac:dyDescent="0.15">
      <c r="A733" t="s">
        <v>72</v>
      </c>
      <c r="B733" t="s">
        <v>13151</v>
      </c>
      <c r="C733" t="s">
        <v>74</v>
      </c>
      <c r="D733" t="s">
        <v>74</v>
      </c>
      <c r="E733" t="s">
        <v>74</v>
      </c>
      <c r="F733" t="s">
        <v>13152</v>
      </c>
      <c r="G733" t="s">
        <v>74</v>
      </c>
      <c r="H733" t="s">
        <v>74</v>
      </c>
      <c r="I733" t="s">
        <v>13153</v>
      </c>
      <c r="J733" t="s">
        <v>13154</v>
      </c>
      <c r="K733" t="s">
        <v>74</v>
      </c>
      <c r="L733" t="s">
        <v>74</v>
      </c>
      <c r="M733" t="s">
        <v>78</v>
      </c>
      <c r="N733" t="s">
        <v>79</v>
      </c>
      <c r="O733" t="s">
        <v>74</v>
      </c>
      <c r="P733" t="s">
        <v>74</v>
      </c>
      <c r="Q733" t="s">
        <v>74</v>
      </c>
      <c r="R733" t="s">
        <v>74</v>
      </c>
      <c r="S733" t="s">
        <v>74</v>
      </c>
      <c r="T733" t="s">
        <v>13155</v>
      </c>
      <c r="U733" t="s">
        <v>13156</v>
      </c>
      <c r="V733" t="s">
        <v>13157</v>
      </c>
      <c r="W733" t="s">
        <v>13158</v>
      </c>
      <c r="X733" t="s">
        <v>13159</v>
      </c>
      <c r="Y733" t="s">
        <v>13160</v>
      </c>
      <c r="Z733" t="s">
        <v>13161</v>
      </c>
      <c r="AA733" t="s">
        <v>13162</v>
      </c>
      <c r="AB733" t="s">
        <v>13163</v>
      </c>
      <c r="AC733" t="s">
        <v>13164</v>
      </c>
      <c r="AD733" t="s">
        <v>13165</v>
      </c>
      <c r="AE733" t="s">
        <v>13166</v>
      </c>
      <c r="AF733" t="s">
        <v>74</v>
      </c>
      <c r="AG733">
        <v>40</v>
      </c>
      <c r="AH733">
        <v>0</v>
      </c>
      <c r="AI733">
        <v>0</v>
      </c>
      <c r="AJ733">
        <v>3</v>
      </c>
      <c r="AK733">
        <v>3</v>
      </c>
      <c r="AL733" t="s">
        <v>1188</v>
      </c>
      <c r="AM733" t="s">
        <v>93</v>
      </c>
      <c r="AN733" t="s">
        <v>1189</v>
      </c>
      <c r="AO733" t="s">
        <v>13167</v>
      </c>
      <c r="AP733" t="s">
        <v>13168</v>
      </c>
      <c r="AQ733" t="s">
        <v>74</v>
      </c>
      <c r="AR733" t="s">
        <v>13169</v>
      </c>
      <c r="AS733" t="s">
        <v>13170</v>
      </c>
      <c r="AT733" t="s">
        <v>13171</v>
      </c>
      <c r="AU733">
        <v>2023</v>
      </c>
      <c r="AV733">
        <v>35</v>
      </c>
      <c r="AW733" t="s">
        <v>11764</v>
      </c>
      <c r="AX733" t="s">
        <v>74</v>
      </c>
      <c r="AY733" t="s">
        <v>74</v>
      </c>
      <c r="AZ733" t="s">
        <v>74</v>
      </c>
      <c r="BA733" t="s">
        <v>74</v>
      </c>
      <c r="BB733">
        <v>121</v>
      </c>
      <c r="BC733">
        <v>138</v>
      </c>
      <c r="BD733" t="s">
        <v>74</v>
      </c>
      <c r="BE733" t="s">
        <v>13172</v>
      </c>
      <c r="BF733" t="str">
        <f>HYPERLINK("http://dx.doi.org/10.1080/08946566.2023.2240005","http://dx.doi.org/10.1080/08946566.2023.2240005")</f>
        <v>http://dx.doi.org/10.1080/08946566.2023.2240005</v>
      </c>
      <c r="BG733" t="s">
        <v>74</v>
      </c>
      <c r="BH733" t="s">
        <v>12687</v>
      </c>
      <c r="BI733">
        <v>18</v>
      </c>
      <c r="BJ733" t="s">
        <v>9239</v>
      </c>
      <c r="BK733" t="s">
        <v>272</v>
      </c>
      <c r="BL733" t="s">
        <v>9240</v>
      </c>
      <c r="BM733" t="s">
        <v>13173</v>
      </c>
      <c r="BN733">
        <v>37489649</v>
      </c>
      <c r="BO733" t="s">
        <v>74</v>
      </c>
      <c r="BP733" t="s">
        <v>74</v>
      </c>
      <c r="BQ733" t="s">
        <v>74</v>
      </c>
      <c r="BR733" t="s">
        <v>105</v>
      </c>
      <c r="BS733" t="s">
        <v>13174</v>
      </c>
      <c r="BT733" t="str">
        <f>HYPERLINK("https%3A%2F%2Fwww.webofscience.com%2Fwos%2Fwoscc%2Ffull-record%2FWOS:001036413900001","View Full Record in Web of Science")</f>
        <v>View Full Record in Web of Science</v>
      </c>
    </row>
    <row r="734" spans="1:72" x14ac:dyDescent="0.15">
      <c r="A734" t="s">
        <v>72</v>
      </c>
      <c r="B734" t="s">
        <v>13175</v>
      </c>
      <c r="C734" t="s">
        <v>74</v>
      </c>
      <c r="D734" t="s">
        <v>74</v>
      </c>
      <c r="E734" t="s">
        <v>74</v>
      </c>
      <c r="F734" t="s">
        <v>13176</v>
      </c>
      <c r="G734" t="s">
        <v>74</v>
      </c>
      <c r="H734" t="s">
        <v>74</v>
      </c>
      <c r="I734" t="s">
        <v>13177</v>
      </c>
      <c r="J734" t="s">
        <v>7275</v>
      </c>
      <c r="K734" t="s">
        <v>74</v>
      </c>
      <c r="L734" t="s">
        <v>74</v>
      </c>
      <c r="M734" t="s">
        <v>78</v>
      </c>
      <c r="N734" t="s">
        <v>79</v>
      </c>
      <c r="O734" t="s">
        <v>74</v>
      </c>
      <c r="P734" t="s">
        <v>74</v>
      </c>
      <c r="Q734" t="s">
        <v>74</v>
      </c>
      <c r="R734" t="s">
        <v>74</v>
      </c>
      <c r="S734" t="s">
        <v>74</v>
      </c>
      <c r="T734" t="s">
        <v>13178</v>
      </c>
      <c r="U734" t="s">
        <v>13179</v>
      </c>
      <c r="V734" t="s">
        <v>13180</v>
      </c>
      <c r="W734" t="s">
        <v>13181</v>
      </c>
      <c r="X734" t="s">
        <v>13182</v>
      </c>
      <c r="Y734" t="s">
        <v>13183</v>
      </c>
      <c r="Z734" t="s">
        <v>13184</v>
      </c>
      <c r="AA734" t="s">
        <v>13185</v>
      </c>
      <c r="AB734" t="s">
        <v>13186</v>
      </c>
      <c r="AC734" t="s">
        <v>13187</v>
      </c>
      <c r="AD734" t="s">
        <v>13188</v>
      </c>
      <c r="AE734" t="s">
        <v>13189</v>
      </c>
      <c r="AF734" t="s">
        <v>74</v>
      </c>
      <c r="AG734">
        <v>22</v>
      </c>
      <c r="AH734">
        <v>0</v>
      </c>
      <c r="AI734">
        <v>0</v>
      </c>
      <c r="AJ734">
        <v>0</v>
      </c>
      <c r="AK734">
        <v>0</v>
      </c>
      <c r="AL734" t="s">
        <v>92</v>
      </c>
      <c r="AM734" t="s">
        <v>93</v>
      </c>
      <c r="AN734" t="s">
        <v>94</v>
      </c>
      <c r="AO734" t="s">
        <v>7287</v>
      </c>
      <c r="AP734" t="s">
        <v>7288</v>
      </c>
      <c r="AQ734" t="s">
        <v>74</v>
      </c>
      <c r="AR734" t="s">
        <v>7275</v>
      </c>
      <c r="AS734" t="s">
        <v>7289</v>
      </c>
      <c r="AT734" t="s">
        <v>13190</v>
      </c>
      <c r="AU734">
        <v>2023</v>
      </c>
      <c r="AV734">
        <v>611</v>
      </c>
      <c r="AW734">
        <v>1</v>
      </c>
      <c r="AX734" t="s">
        <v>74</v>
      </c>
      <c r="AY734" t="s">
        <v>74</v>
      </c>
      <c r="AZ734" t="s">
        <v>74</v>
      </c>
      <c r="BA734" t="s">
        <v>74</v>
      </c>
      <c r="BB734">
        <v>60</v>
      </c>
      <c r="BC734">
        <v>66</v>
      </c>
      <c r="BD734" t="s">
        <v>74</v>
      </c>
      <c r="BE734" t="s">
        <v>13191</v>
      </c>
      <c r="BF734" t="str">
        <f>HYPERLINK("http://dx.doi.org/10.1080/00150193.2023.2201769","http://dx.doi.org/10.1080/00150193.2023.2201769")</f>
        <v>http://dx.doi.org/10.1080/00150193.2023.2201769</v>
      </c>
      <c r="BG734" t="s">
        <v>74</v>
      </c>
      <c r="BH734" t="s">
        <v>74</v>
      </c>
      <c r="BI734">
        <v>7</v>
      </c>
      <c r="BJ734" t="s">
        <v>7292</v>
      </c>
      <c r="BK734" t="s">
        <v>102</v>
      </c>
      <c r="BL734" t="s">
        <v>7293</v>
      </c>
      <c r="BM734" t="s">
        <v>13192</v>
      </c>
      <c r="BN734" t="s">
        <v>74</v>
      </c>
      <c r="BO734" t="s">
        <v>74</v>
      </c>
      <c r="BP734" t="s">
        <v>74</v>
      </c>
      <c r="BQ734" t="s">
        <v>74</v>
      </c>
      <c r="BR734" t="s">
        <v>105</v>
      </c>
      <c r="BS734" t="s">
        <v>13193</v>
      </c>
      <c r="BT734" t="str">
        <f>HYPERLINK("https%3A%2F%2Fwww.webofscience.com%2Fwos%2Fwoscc%2Ffull-record%2FWOS:001031465600007","View Full Record in Web of Science")</f>
        <v>View Full Record in Web of Science</v>
      </c>
    </row>
    <row r="735" spans="1:72" x14ac:dyDescent="0.15">
      <c r="A735" t="s">
        <v>72</v>
      </c>
      <c r="B735" t="s">
        <v>13194</v>
      </c>
      <c r="C735" t="s">
        <v>74</v>
      </c>
      <c r="D735" t="s">
        <v>74</v>
      </c>
      <c r="E735" t="s">
        <v>74</v>
      </c>
      <c r="F735" t="s">
        <v>13195</v>
      </c>
      <c r="G735" t="s">
        <v>74</v>
      </c>
      <c r="H735" t="s">
        <v>74</v>
      </c>
      <c r="I735" t="s">
        <v>13196</v>
      </c>
      <c r="J735" t="s">
        <v>13197</v>
      </c>
      <c r="K735" t="s">
        <v>74</v>
      </c>
      <c r="L735" t="s">
        <v>74</v>
      </c>
      <c r="M735" t="s">
        <v>78</v>
      </c>
      <c r="N735" t="s">
        <v>5492</v>
      </c>
      <c r="O735" t="s">
        <v>74</v>
      </c>
      <c r="P735" t="s">
        <v>74</v>
      </c>
      <c r="Q735" t="s">
        <v>74</v>
      </c>
      <c r="R735" t="s">
        <v>74</v>
      </c>
      <c r="S735" t="s">
        <v>74</v>
      </c>
      <c r="T735" t="s">
        <v>13198</v>
      </c>
      <c r="U735" t="s">
        <v>13199</v>
      </c>
      <c r="V735" t="s">
        <v>13200</v>
      </c>
      <c r="W735" t="s">
        <v>13201</v>
      </c>
      <c r="X735" t="s">
        <v>13202</v>
      </c>
      <c r="Y735" t="s">
        <v>13203</v>
      </c>
      <c r="Z735" t="s">
        <v>13204</v>
      </c>
      <c r="AA735" t="s">
        <v>74</v>
      </c>
      <c r="AB735" t="s">
        <v>74</v>
      </c>
      <c r="AC735" t="s">
        <v>74</v>
      </c>
      <c r="AD735" t="s">
        <v>74</v>
      </c>
      <c r="AE735" t="s">
        <v>74</v>
      </c>
      <c r="AF735" t="s">
        <v>74</v>
      </c>
      <c r="AG735">
        <v>55</v>
      </c>
      <c r="AH735">
        <v>0</v>
      </c>
      <c r="AI735">
        <v>0</v>
      </c>
      <c r="AJ735">
        <v>2</v>
      </c>
      <c r="AK735">
        <v>2</v>
      </c>
      <c r="AL735" t="s">
        <v>1188</v>
      </c>
      <c r="AM735" t="s">
        <v>93</v>
      </c>
      <c r="AN735" t="s">
        <v>1189</v>
      </c>
      <c r="AO735" t="s">
        <v>13205</v>
      </c>
      <c r="AP735" t="s">
        <v>13206</v>
      </c>
      <c r="AQ735" t="s">
        <v>74</v>
      </c>
      <c r="AR735" t="s">
        <v>13207</v>
      </c>
      <c r="AS735" t="s">
        <v>13208</v>
      </c>
      <c r="AT735" t="s">
        <v>13209</v>
      </c>
      <c r="AU735">
        <v>2023</v>
      </c>
      <c r="AV735" t="s">
        <v>74</v>
      </c>
      <c r="AW735" t="s">
        <v>74</v>
      </c>
      <c r="AX735" t="s">
        <v>74</v>
      </c>
      <c r="AY735" t="s">
        <v>74</v>
      </c>
      <c r="AZ735" t="s">
        <v>74</v>
      </c>
      <c r="BA735" t="s">
        <v>74</v>
      </c>
      <c r="BB735" t="s">
        <v>74</v>
      </c>
      <c r="BC735" t="s">
        <v>74</v>
      </c>
      <c r="BD735" t="s">
        <v>74</v>
      </c>
      <c r="BE735" t="s">
        <v>13210</v>
      </c>
      <c r="BF735" t="str">
        <f>HYPERLINK("http://dx.doi.org/10.1080/10705511.2023.2223360","http://dx.doi.org/10.1080/10705511.2023.2223360")</f>
        <v>http://dx.doi.org/10.1080/10705511.2023.2223360</v>
      </c>
      <c r="BG735" t="s">
        <v>74</v>
      </c>
      <c r="BH735" t="s">
        <v>12687</v>
      </c>
      <c r="BI735">
        <v>17</v>
      </c>
      <c r="BJ735" t="s">
        <v>13211</v>
      </c>
      <c r="BK735" t="s">
        <v>123</v>
      </c>
      <c r="BL735" t="s">
        <v>7427</v>
      </c>
      <c r="BM735" t="s">
        <v>13212</v>
      </c>
      <c r="BN735" t="s">
        <v>74</v>
      </c>
      <c r="BO735" t="s">
        <v>74</v>
      </c>
      <c r="BP735" t="s">
        <v>74</v>
      </c>
      <c r="BQ735" t="s">
        <v>74</v>
      </c>
      <c r="BR735" t="s">
        <v>105</v>
      </c>
      <c r="BS735" t="s">
        <v>13213</v>
      </c>
      <c r="BT735" t="str">
        <f>HYPERLINK("https%3A%2F%2Fwww.webofscience.com%2Fwos%2Fwoscc%2Ffull-record%2FWOS:001039538000001","View Full Record in Web of Science")</f>
        <v>View Full Record in Web of Science</v>
      </c>
    </row>
    <row r="736" spans="1:72" x14ac:dyDescent="0.15">
      <c r="A736" t="s">
        <v>72</v>
      </c>
      <c r="B736" t="s">
        <v>13214</v>
      </c>
      <c r="C736" t="s">
        <v>74</v>
      </c>
      <c r="D736" t="s">
        <v>74</v>
      </c>
      <c r="E736" t="s">
        <v>74</v>
      </c>
      <c r="F736" t="s">
        <v>13215</v>
      </c>
      <c r="G736" t="s">
        <v>74</v>
      </c>
      <c r="H736" t="s">
        <v>74</v>
      </c>
      <c r="I736" t="s">
        <v>13216</v>
      </c>
      <c r="J736" t="s">
        <v>10248</v>
      </c>
      <c r="K736" t="s">
        <v>74</v>
      </c>
      <c r="L736" t="s">
        <v>74</v>
      </c>
      <c r="M736" t="s">
        <v>78</v>
      </c>
      <c r="N736" t="s">
        <v>5492</v>
      </c>
      <c r="O736" t="s">
        <v>74</v>
      </c>
      <c r="P736" t="s">
        <v>74</v>
      </c>
      <c r="Q736" t="s">
        <v>74</v>
      </c>
      <c r="R736" t="s">
        <v>74</v>
      </c>
      <c r="S736" t="s">
        <v>74</v>
      </c>
      <c r="T736" t="s">
        <v>74</v>
      </c>
      <c r="U736" t="s">
        <v>13217</v>
      </c>
      <c r="V736" t="s">
        <v>13218</v>
      </c>
      <c r="W736" t="s">
        <v>13219</v>
      </c>
      <c r="X736" t="s">
        <v>13220</v>
      </c>
      <c r="Y736" t="s">
        <v>13221</v>
      </c>
      <c r="Z736" t="s">
        <v>13222</v>
      </c>
      <c r="AA736" t="s">
        <v>13223</v>
      </c>
      <c r="AB736" t="s">
        <v>13224</v>
      </c>
      <c r="AC736" t="s">
        <v>13225</v>
      </c>
      <c r="AD736" t="s">
        <v>13226</v>
      </c>
      <c r="AE736" t="s">
        <v>13227</v>
      </c>
      <c r="AF736" t="s">
        <v>74</v>
      </c>
      <c r="AG736">
        <v>70</v>
      </c>
      <c r="AH736">
        <v>0</v>
      </c>
      <c r="AI736">
        <v>0</v>
      </c>
      <c r="AJ736">
        <v>3</v>
      </c>
      <c r="AK736">
        <v>3</v>
      </c>
      <c r="AL736" t="s">
        <v>1188</v>
      </c>
      <c r="AM736" t="s">
        <v>93</v>
      </c>
      <c r="AN736" t="s">
        <v>1189</v>
      </c>
      <c r="AO736" t="s">
        <v>10260</v>
      </c>
      <c r="AP736" t="s">
        <v>10261</v>
      </c>
      <c r="AQ736" t="s">
        <v>74</v>
      </c>
      <c r="AR736" t="s">
        <v>10262</v>
      </c>
      <c r="AS736" t="s">
        <v>10263</v>
      </c>
      <c r="AT736" t="s">
        <v>13209</v>
      </c>
      <c r="AU736">
        <v>2023</v>
      </c>
      <c r="AV736" t="s">
        <v>74</v>
      </c>
      <c r="AW736" t="s">
        <v>74</v>
      </c>
      <c r="AX736" t="s">
        <v>74</v>
      </c>
      <c r="AY736" t="s">
        <v>74</v>
      </c>
      <c r="AZ736" t="s">
        <v>74</v>
      </c>
      <c r="BA736" t="s">
        <v>74</v>
      </c>
      <c r="BB736" t="s">
        <v>74</v>
      </c>
      <c r="BC736" t="s">
        <v>74</v>
      </c>
      <c r="BD736" t="s">
        <v>74</v>
      </c>
      <c r="BE736" t="s">
        <v>13228</v>
      </c>
      <c r="BF736" t="str">
        <f>HYPERLINK("http://dx.doi.org/10.1080/10410236.2023.2233705","http://dx.doi.org/10.1080/10410236.2023.2233705")</f>
        <v>http://dx.doi.org/10.1080/10410236.2023.2233705</v>
      </c>
      <c r="BG736" t="s">
        <v>74</v>
      </c>
      <c r="BH736" t="s">
        <v>12687</v>
      </c>
      <c r="BI736">
        <v>12</v>
      </c>
      <c r="BJ736" t="s">
        <v>10266</v>
      </c>
      <c r="BK736" t="s">
        <v>272</v>
      </c>
      <c r="BL736" t="s">
        <v>10267</v>
      </c>
      <c r="BM736" t="s">
        <v>13229</v>
      </c>
      <c r="BN736">
        <v>37491723</v>
      </c>
      <c r="BO736" t="s">
        <v>74</v>
      </c>
      <c r="BP736" t="s">
        <v>74</v>
      </c>
      <c r="BQ736" t="s">
        <v>74</v>
      </c>
      <c r="BR736" t="s">
        <v>105</v>
      </c>
      <c r="BS736" t="s">
        <v>13230</v>
      </c>
      <c r="BT736" t="str">
        <f>HYPERLINK("https%3A%2F%2Fwww.webofscience.com%2Fwos%2Fwoscc%2Ffull-record%2FWOS:001035430800001","View Full Record in Web of Science")</f>
        <v>View Full Record in Web of Science</v>
      </c>
    </row>
    <row r="737" spans="1:72" x14ac:dyDescent="0.15">
      <c r="A737" t="s">
        <v>72</v>
      </c>
      <c r="B737" t="s">
        <v>13231</v>
      </c>
      <c r="C737" t="s">
        <v>74</v>
      </c>
      <c r="D737" t="s">
        <v>74</v>
      </c>
      <c r="E737" t="s">
        <v>74</v>
      </c>
      <c r="F737" t="s">
        <v>13232</v>
      </c>
      <c r="G737" t="s">
        <v>74</v>
      </c>
      <c r="H737" t="s">
        <v>74</v>
      </c>
      <c r="I737" t="s">
        <v>13233</v>
      </c>
      <c r="J737" t="s">
        <v>10066</v>
      </c>
      <c r="K737" t="s">
        <v>74</v>
      </c>
      <c r="L737" t="s">
        <v>74</v>
      </c>
      <c r="M737" t="s">
        <v>78</v>
      </c>
      <c r="N737" t="s">
        <v>5492</v>
      </c>
      <c r="O737" t="s">
        <v>74</v>
      </c>
      <c r="P737" t="s">
        <v>74</v>
      </c>
      <c r="Q737" t="s">
        <v>74</v>
      </c>
      <c r="R737" t="s">
        <v>74</v>
      </c>
      <c r="S737" t="s">
        <v>74</v>
      </c>
      <c r="T737" t="s">
        <v>74</v>
      </c>
      <c r="U737" t="s">
        <v>13234</v>
      </c>
      <c r="V737" t="s">
        <v>13235</v>
      </c>
      <c r="W737" t="s">
        <v>13236</v>
      </c>
      <c r="X737" t="s">
        <v>13237</v>
      </c>
      <c r="Y737" t="s">
        <v>13238</v>
      </c>
      <c r="Z737" t="s">
        <v>13239</v>
      </c>
      <c r="AA737" t="s">
        <v>74</v>
      </c>
      <c r="AB737" t="s">
        <v>13240</v>
      </c>
      <c r="AC737" t="s">
        <v>13241</v>
      </c>
      <c r="AD737" t="s">
        <v>13242</v>
      </c>
      <c r="AE737" t="s">
        <v>13243</v>
      </c>
      <c r="AF737" t="s">
        <v>74</v>
      </c>
      <c r="AG737">
        <v>43</v>
      </c>
      <c r="AH737">
        <v>0</v>
      </c>
      <c r="AI737">
        <v>0</v>
      </c>
      <c r="AJ737">
        <v>0</v>
      </c>
      <c r="AK737">
        <v>0</v>
      </c>
      <c r="AL737" t="s">
        <v>184</v>
      </c>
      <c r="AM737" t="s">
        <v>185</v>
      </c>
      <c r="AN737" t="s">
        <v>186</v>
      </c>
      <c r="AO737" t="s">
        <v>10075</v>
      </c>
      <c r="AP737" t="s">
        <v>10076</v>
      </c>
      <c r="AQ737" t="s">
        <v>74</v>
      </c>
      <c r="AR737" t="s">
        <v>10077</v>
      </c>
      <c r="AS737" t="s">
        <v>10078</v>
      </c>
      <c r="AT737" t="s">
        <v>13209</v>
      </c>
      <c r="AU737">
        <v>2023</v>
      </c>
      <c r="AV737" t="s">
        <v>74</v>
      </c>
      <c r="AW737" t="s">
        <v>74</v>
      </c>
      <c r="AX737" t="s">
        <v>74</v>
      </c>
      <c r="AY737" t="s">
        <v>74</v>
      </c>
      <c r="AZ737" t="s">
        <v>74</v>
      </c>
      <c r="BA737" t="s">
        <v>74</v>
      </c>
      <c r="BB737" t="s">
        <v>74</v>
      </c>
      <c r="BC737" t="s">
        <v>74</v>
      </c>
      <c r="BD737" t="s">
        <v>74</v>
      </c>
      <c r="BE737" t="s">
        <v>13244</v>
      </c>
      <c r="BF737" t="str">
        <f>HYPERLINK("http://dx.doi.org/10.1080/01457632.2023.2241171","http://dx.doi.org/10.1080/01457632.2023.2241171")</f>
        <v>http://dx.doi.org/10.1080/01457632.2023.2241171</v>
      </c>
      <c r="BG737" t="s">
        <v>74</v>
      </c>
      <c r="BH737" t="s">
        <v>12687</v>
      </c>
      <c r="BI737">
        <v>14</v>
      </c>
      <c r="BJ737" t="s">
        <v>10080</v>
      </c>
      <c r="BK737" t="s">
        <v>102</v>
      </c>
      <c r="BL737" t="s">
        <v>10081</v>
      </c>
      <c r="BM737" t="s">
        <v>13245</v>
      </c>
      <c r="BN737" t="s">
        <v>74</v>
      </c>
      <c r="BO737" t="s">
        <v>74</v>
      </c>
      <c r="BP737" t="s">
        <v>74</v>
      </c>
      <c r="BQ737" t="s">
        <v>74</v>
      </c>
      <c r="BR737" t="s">
        <v>105</v>
      </c>
      <c r="BS737" t="s">
        <v>13246</v>
      </c>
      <c r="BT737" t="str">
        <f>HYPERLINK("https%3A%2F%2Fwww.webofscience.com%2Fwos%2Fwoscc%2Ffull-record%2FWOS:001040690700001","View Full Record in Web of Science")</f>
        <v>View Full Record in Web of Science</v>
      </c>
    </row>
    <row r="738" spans="1:72" x14ac:dyDescent="0.15">
      <c r="A738" t="s">
        <v>72</v>
      </c>
      <c r="B738" t="s">
        <v>13247</v>
      </c>
      <c r="C738" t="s">
        <v>74</v>
      </c>
      <c r="D738" t="s">
        <v>74</v>
      </c>
      <c r="E738" t="s">
        <v>74</v>
      </c>
      <c r="F738" t="s">
        <v>13248</v>
      </c>
      <c r="G738" t="s">
        <v>74</v>
      </c>
      <c r="H738" t="s">
        <v>74</v>
      </c>
      <c r="I738" t="s">
        <v>13249</v>
      </c>
      <c r="J738" t="s">
        <v>5441</v>
      </c>
      <c r="K738" t="s">
        <v>74</v>
      </c>
      <c r="L738" t="s">
        <v>74</v>
      </c>
      <c r="M738" t="s">
        <v>78</v>
      </c>
      <c r="N738" t="s">
        <v>5492</v>
      </c>
      <c r="O738" t="s">
        <v>74</v>
      </c>
      <c r="P738" t="s">
        <v>74</v>
      </c>
      <c r="Q738" t="s">
        <v>74</v>
      </c>
      <c r="R738" t="s">
        <v>74</v>
      </c>
      <c r="S738" t="s">
        <v>74</v>
      </c>
      <c r="T738" t="s">
        <v>13250</v>
      </c>
      <c r="U738" t="s">
        <v>13251</v>
      </c>
      <c r="V738" t="s">
        <v>13252</v>
      </c>
      <c r="W738" t="s">
        <v>13253</v>
      </c>
      <c r="X738" t="s">
        <v>13254</v>
      </c>
      <c r="Y738" t="s">
        <v>13255</v>
      </c>
      <c r="Z738" t="s">
        <v>13256</v>
      </c>
      <c r="AA738" t="s">
        <v>13257</v>
      </c>
      <c r="AB738" t="s">
        <v>74</v>
      </c>
      <c r="AC738" t="s">
        <v>13258</v>
      </c>
      <c r="AD738" t="s">
        <v>13259</v>
      </c>
      <c r="AE738" t="s">
        <v>13260</v>
      </c>
      <c r="AF738" t="s">
        <v>74</v>
      </c>
      <c r="AG738">
        <v>41</v>
      </c>
      <c r="AH738">
        <v>0</v>
      </c>
      <c r="AI738">
        <v>0</v>
      </c>
      <c r="AJ738">
        <v>1</v>
      </c>
      <c r="AK738">
        <v>1</v>
      </c>
      <c r="AL738" t="s">
        <v>1188</v>
      </c>
      <c r="AM738" t="s">
        <v>93</v>
      </c>
      <c r="AN738" t="s">
        <v>1189</v>
      </c>
      <c r="AO738" t="s">
        <v>5442</v>
      </c>
      <c r="AP738" t="s">
        <v>5443</v>
      </c>
      <c r="AQ738" t="s">
        <v>74</v>
      </c>
      <c r="AR738" t="s">
        <v>5444</v>
      </c>
      <c r="AS738" t="s">
        <v>5445</v>
      </c>
      <c r="AT738" t="s">
        <v>13209</v>
      </c>
      <c r="AU738">
        <v>2023</v>
      </c>
      <c r="AV738" t="s">
        <v>74</v>
      </c>
      <c r="AW738" t="s">
        <v>74</v>
      </c>
      <c r="AX738" t="s">
        <v>74</v>
      </c>
      <c r="AY738" t="s">
        <v>74</v>
      </c>
      <c r="AZ738" t="s">
        <v>74</v>
      </c>
      <c r="BA738" t="s">
        <v>74</v>
      </c>
      <c r="BB738" t="s">
        <v>74</v>
      </c>
      <c r="BC738" t="s">
        <v>74</v>
      </c>
      <c r="BD738" t="s">
        <v>74</v>
      </c>
      <c r="BE738" t="s">
        <v>13261</v>
      </c>
      <c r="BF738" t="str">
        <f>HYPERLINK("http://dx.doi.org/10.1080/01419870.2023.2238052","http://dx.doi.org/10.1080/01419870.2023.2238052")</f>
        <v>http://dx.doi.org/10.1080/01419870.2023.2238052</v>
      </c>
      <c r="BG738" t="s">
        <v>74</v>
      </c>
      <c r="BH738" t="s">
        <v>12687</v>
      </c>
      <c r="BI738">
        <v>21</v>
      </c>
      <c r="BJ738" t="s">
        <v>5447</v>
      </c>
      <c r="BK738" t="s">
        <v>272</v>
      </c>
      <c r="BL738" t="s">
        <v>5447</v>
      </c>
      <c r="BM738" t="s">
        <v>13262</v>
      </c>
      <c r="BN738" t="s">
        <v>74</v>
      </c>
      <c r="BO738" t="s">
        <v>887</v>
      </c>
      <c r="BP738" t="s">
        <v>74</v>
      </c>
      <c r="BQ738" t="s">
        <v>74</v>
      </c>
      <c r="BR738" t="s">
        <v>105</v>
      </c>
      <c r="BS738" t="s">
        <v>13263</v>
      </c>
      <c r="BT738" t="str">
        <f>HYPERLINK("https%3A%2F%2Fwww.webofscience.com%2Fwos%2Fwoscc%2Ffull-record%2FWOS:001032851200001","View Full Record in Web of Science")</f>
        <v>View Full Record in Web of Science</v>
      </c>
    </row>
    <row r="739" spans="1:72" x14ac:dyDescent="0.15">
      <c r="A739" t="s">
        <v>72</v>
      </c>
      <c r="B739" t="s">
        <v>13264</v>
      </c>
      <c r="C739" t="s">
        <v>74</v>
      </c>
      <c r="D739" t="s">
        <v>74</v>
      </c>
      <c r="E739" t="s">
        <v>74</v>
      </c>
      <c r="F739" t="s">
        <v>13265</v>
      </c>
      <c r="G739" t="s">
        <v>74</v>
      </c>
      <c r="H739" t="s">
        <v>74</v>
      </c>
      <c r="I739" t="s">
        <v>13266</v>
      </c>
      <c r="J739" t="s">
        <v>7394</v>
      </c>
      <c r="K739" t="s">
        <v>74</v>
      </c>
      <c r="L739" t="s">
        <v>74</v>
      </c>
      <c r="M739" t="s">
        <v>78</v>
      </c>
      <c r="N739" t="s">
        <v>5492</v>
      </c>
      <c r="O739" t="s">
        <v>74</v>
      </c>
      <c r="P739" t="s">
        <v>74</v>
      </c>
      <c r="Q739" t="s">
        <v>74</v>
      </c>
      <c r="R739" t="s">
        <v>74</v>
      </c>
      <c r="S739" t="s">
        <v>74</v>
      </c>
      <c r="T739" t="s">
        <v>13267</v>
      </c>
      <c r="U739" t="s">
        <v>74</v>
      </c>
      <c r="V739" t="s">
        <v>13268</v>
      </c>
      <c r="W739" t="s">
        <v>13269</v>
      </c>
      <c r="X739" t="s">
        <v>13270</v>
      </c>
      <c r="Y739" t="s">
        <v>13271</v>
      </c>
      <c r="Z739" t="s">
        <v>13272</v>
      </c>
      <c r="AA739" t="s">
        <v>74</v>
      </c>
      <c r="AB739" t="s">
        <v>13273</v>
      </c>
      <c r="AC739" t="s">
        <v>74</v>
      </c>
      <c r="AD739" t="s">
        <v>74</v>
      </c>
      <c r="AE739" t="s">
        <v>74</v>
      </c>
      <c r="AF739" t="s">
        <v>74</v>
      </c>
      <c r="AG739">
        <v>19</v>
      </c>
      <c r="AH739">
        <v>0</v>
      </c>
      <c r="AI739">
        <v>0</v>
      </c>
      <c r="AJ739">
        <v>2</v>
      </c>
      <c r="AK739">
        <v>2</v>
      </c>
      <c r="AL739" t="s">
        <v>1188</v>
      </c>
      <c r="AM739" t="s">
        <v>93</v>
      </c>
      <c r="AN739" t="s">
        <v>1189</v>
      </c>
      <c r="AO739" t="s">
        <v>7399</v>
      </c>
      <c r="AP739" t="s">
        <v>7400</v>
      </c>
      <c r="AQ739" t="s">
        <v>74</v>
      </c>
      <c r="AR739" t="s">
        <v>7401</v>
      </c>
      <c r="AS739" t="s">
        <v>7402</v>
      </c>
      <c r="AT739" t="s">
        <v>13209</v>
      </c>
      <c r="AU739">
        <v>2023</v>
      </c>
      <c r="AV739" t="s">
        <v>74</v>
      </c>
      <c r="AW739" t="s">
        <v>74</v>
      </c>
      <c r="AX739" t="s">
        <v>74</v>
      </c>
      <c r="AY739" t="s">
        <v>74</v>
      </c>
      <c r="AZ739" t="s">
        <v>74</v>
      </c>
      <c r="BA739" t="s">
        <v>74</v>
      </c>
      <c r="BB739" t="s">
        <v>74</v>
      </c>
      <c r="BC739" t="s">
        <v>74</v>
      </c>
      <c r="BD739" t="s">
        <v>74</v>
      </c>
      <c r="BE739" t="s">
        <v>13274</v>
      </c>
      <c r="BF739" t="str">
        <f>HYPERLINK("http://dx.doi.org/10.1080/1359866X.2023.2238952","http://dx.doi.org/10.1080/1359866X.2023.2238952")</f>
        <v>http://dx.doi.org/10.1080/1359866X.2023.2238952</v>
      </c>
      <c r="BG739" t="s">
        <v>74</v>
      </c>
      <c r="BH739" t="s">
        <v>12687</v>
      </c>
      <c r="BI739">
        <v>10</v>
      </c>
      <c r="BJ739" t="s">
        <v>271</v>
      </c>
      <c r="BK739" t="s">
        <v>272</v>
      </c>
      <c r="BL739" t="s">
        <v>271</v>
      </c>
      <c r="BM739" t="s">
        <v>13275</v>
      </c>
      <c r="BN739" t="s">
        <v>74</v>
      </c>
      <c r="BO739" t="s">
        <v>74</v>
      </c>
      <c r="BP739" t="s">
        <v>74</v>
      </c>
      <c r="BQ739" t="s">
        <v>74</v>
      </c>
      <c r="BR739" t="s">
        <v>105</v>
      </c>
      <c r="BS739" t="s">
        <v>13276</v>
      </c>
      <c r="BT739" t="str">
        <f>HYPERLINK("https%3A%2F%2Fwww.webofscience.com%2Fwos%2Fwoscc%2Ffull-record%2FWOS:001036828900001","View Full Record in Web of Science")</f>
        <v>View Full Record in Web of Science</v>
      </c>
    </row>
    <row r="740" spans="1:72" x14ac:dyDescent="0.15">
      <c r="A740" t="s">
        <v>72</v>
      </c>
      <c r="B740" t="s">
        <v>13277</v>
      </c>
      <c r="C740" t="s">
        <v>74</v>
      </c>
      <c r="D740" t="s">
        <v>74</v>
      </c>
      <c r="E740" t="s">
        <v>74</v>
      </c>
      <c r="F740" t="s">
        <v>13278</v>
      </c>
      <c r="G740" t="s">
        <v>74</v>
      </c>
      <c r="H740" t="s">
        <v>74</v>
      </c>
      <c r="I740" t="s">
        <v>13279</v>
      </c>
      <c r="J740" t="s">
        <v>12662</v>
      </c>
      <c r="K740" t="s">
        <v>74</v>
      </c>
      <c r="L740" t="s">
        <v>74</v>
      </c>
      <c r="M740" t="s">
        <v>78</v>
      </c>
      <c r="N740" t="s">
        <v>5492</v>
      </c>
      <c r="O740" t="s">
        <v>74</v>
      </c>
      <c r="P740" t="s">
        <v>74</v>
      </c>
      <c r="Q740" t="s">
        <v>74</v>
      </c>
      <c r="R740" t="s">
        <v>74</v>
      </c>
      <c r="S740" t="s">
        <v>74</v>
      </c>
      <c r="T740" t="s">
        <v>13280</v>
      </c>
      <c r="U740" t="s">
        <v>13281</v>
      </c>
      <c r="V740" t="s">
        <v>13282</v>
      </c>
      <c r="W740" t="s">
        <v>13283</v>
      </c>
      <c r="X740" t="s">
        <v>13284</v>
      </c>
      <c r="Y740" t="s">
        <v>13285</v>
      </c>
      <c r="Z740" t="s">
        <v>13286</v>
      </c>
      <c r="AA740" t="s">
        <v>74</v>
      </c>
      <c r="AB740" t="s">
        <v>74</v>
      </c>
      <c r="AC740" t="s">
        <v>74</v>
      </c>
      <c r="AD740" t="s">
        <v>74</v>
      </c>
      <c r="AE740" t="s">
        <v>74</v>
      </c>
      <c r="AF740" t="s">
        <v>74</v>
      </c>
      <c r="AG740">
        <v>28</v>
      </c>
      <c r="AH740">
        <v>0</v>
      </c>
      <c r="AI740">
        <v>0</v>
      </c>
      <c r="AJ740">
        <v>0</v>
      </c>
      <c r="AK740">
        <v>0</v>
      </c>
      <c r="AL740" t="s">
        <v>92</v>
      </c>
      <c r="AM740" t="s">
        <v>93</v>
      </c>
      <c r="AN740" t="s">
        <v>94</v>
      </c>
      <c r="AO740" t="s">
        <v>12663</v>
      </c>
      <c r="AP740" t="s">
        <v>12664</v>
      </c>
      <c r="AQ740" t="s">
        <v>74</v>
      </c>
      <c r="AR740" t="s">
        <v>12665</v>
      </c>
      <c r="AS740" t="s">
        <v>12666</v>
      </c>
      <c r="AT740" t="s">
        <v>13209</v>
      </c>
      <c r="AU740">
        <v>2023</v>
      </c>
      <c r="AV740" t="s">
        <v>74</v>
      </c>
      <c r="AW740" t="s">
        <v>74</v>
      </c>
      <c r="AX740" t="s">
        <v>74</v>
      </c>
      <c r="AY740" t="s">
        <v>74</v>
      </c>
      <c r="AZ740" t="s">
        <v>74</v>
      </c>
      <c r="BA740" t="s">
        <v>74</v>
      </c>
      <c r="BB740" t="s">
        <v>74</v>
      </c>
      <c r="BC740" t="s">
        <v>74</v>
      </c>
      <c r="BD740" t="s">
        <v>74</v>
      </c>
      <c r="BE740" t="s">
        <v>13287</v>
      </c>
      <c r="BF740" t="str">
        <f>HYPERLINK("http://dx.doi.org/10.1080/08927022.2023.2238074","http://dx.doi.org/10.1080/08927022.2023.2238074")</f>
        <v>http://dx.doi.org/10.1080/08927022.2023.2238074</v>
      </c>
      <c r="BG740" t="s">
        <v>74</v>
      </c>
      <c r="BH740" t="s">
        <v>12687</v>
      </c>
      <c r="BI740">
        <v>10</v>
      </c>
      <c r="BJ740" t="s">
        <v>8973</v>
      </c>
      <c r="BK740" t="s">
        <v>102</v>
      </c>
      <c r="BL740" t="s">
        <v>8974</v>
      </c>
      <c r="BM740" t="s">
        <v>13288</v>
      </c>
      <c r="BN740" t="s">
        <v>74</v>
      </c>
      <c r="BO740" t="s">
        <v>74</v>
      </c>
      <c r="BP740" t="s">
        <v>74</v>
      </c>
      <c r="BQ740" t="s">
        <v>74</v>
      </c>
      <c r="BR740" t="s">
        <v>105</v>
      </c>
      <c r="BS740" t="s">
        <v>13289</v>
      </c>
      <c r="BT740" t="str">
        <f>HYPERLINK("https%3A%2F%2Fwww.webofscience.com%2Fwos%2Fwoscc%2Ffull-record%2FWOS:001037544200001","View Full Record in Web of Science")</f>
        <v>View Full Record in Web of Science</v>
      </c>
    </row>
    <row r="741" spans="1:72" x14ac:dyDescent="0.15">
      <c r="A741" t="s">
        <v>72</v>
      </c>
      <c r="B741" t="s">
        <v>13290</v>
      </c>
      <c r="C741" t="s">
        <v>74</v>
      </c>
      <c r="D741" t="s">
        <v>74</v>
      </c>
      <c r="E741" t="s">
        <v>74</v>
      </c>
      <c r="F741" t="s">
        <v>13291</v>
      </c>
      <c r="G741" t="s">
        <v>74</v>
      </c>
      <c r="H741" t="s">
        <v>74</v>
      </c>
      <c r="I741" t="s">
        <v>13292</v>
      </c>
      <c r="J741" t="s">
        <v>13293</v>
      </c>
      <c r="K741" t="s">
        <v>74</v>
      </c>
      <c r="L741" t="s">
        <v>74</v>
      </c>
      <c r="M741" t="s">
        <v>78</v>
      </c>
      <c r="N741" t="s">
        <v>5492</v>
      </c>
      <c r="O741" t="s">
        <v>74</v>
      </c>
      <c r="P741" t="s">
        <v>74</v>
      </c>
      <c r="Q741" t="s">
        <v>74</v>
      </c>
      <c r="R741" t="s">
        <v>74</v>
      </c>
      <c r="S741" t="s">
        <v>74</v>
      </c>
      <c r="T741" t="s">
        <v>13294</v>
      </c>
      <c r="U741" t="s">
        <v>13295</v>
      </c>
      <c r="V741" t="s">
        <v>13296</v>
      </c>
      <c r="W741" t="s">
        <v>13297</v>
      </c>
      <c r="X741" t="s">
        <v>13298</v>
      </c>
      <c r="Y741" t="s">
        <v>13299</v>
      </c>
      <c r="Z741" t="s">
        <v>13300</v>
      </c>
      <c r="AA741" t="s">
        <v>13301</v>
      </c>
      <c r="AB741" t="s">
        <v>13302</v>
      </c>
      <c r="AC741" t="s">
        <v>13303</v>
      </c>
      <c r="AD741" t="s">
        <v>13304</v>
      </c>
      <c r="AE741" t="s">
        <v>13305</v>
      </c>
      <c r="AF741" t="s">
        <v>74</v>
      </c>
      <c r="AG741">
        <v>86</v>
      </c>
      <c r="AH741">
        <v>0</v>
      </c>
      <c r="AI741">
        <v>0</v>
      </c>
      <c r="AJ741">
        <v>1</v>
      </c>
      <c r="AK741">
        <v>1</v>
      </c>
      <c r="AL741" t="s">
        <v>92</v>
      </c>
      <c r="AM741" t="s">
        <v>93</v>
      </c>
      <c r="AN741" t="s">
        <v>94</v>
      </c>
      <c r="AO741" t="s">
        <v>13306</v>
      </c>
      <c r="AP741" t="s">
        <v>13307</v>
      </c>
      <c r="AQ741" t="s">
        <v>74</v>
      </c>
      <c r="AR741" t="s">
        <v>13308</v>
      </c>
      <c r="AS741" t="s">
        <v>13309</v>
      </c>
      <c r="AT741" t="s">
        <v>13209</v>
      </c>
      <c r="AU741">
        <v>2023</v>
      </c>
      <c r="AV741" t="s">
        <v>74</v>
      </c>
      <c r="AW741" t="s">
        <v>74</v>
      </c>
      <c r="AX741" t="s">
        <v>74</v>
      </c>
      <c r="AY741" t="s">
        <v>74</v>
      </c>
      <c r="AZ741" t="s">
        <v>74</v>
      </c>
      <c r="BA741" t="s">
        <v>74</v>
      </c>
      <c r="BB741" t="s">
        <v>74</v>
      </c>
      <c r="BC741" t="s">
        <v>74</v>
      </c>
      <c r="BD741" t="s">
        <v>74</v>
      </c>
      <c r="BE741" t="s">
        <v>13310</v>
      </c>
      <c r="BF741" t="str">
        <f>HYPERLINK("http://dx.doi.org/10.1080/09593330.2023.2238928","http://dx.doi.org/10.1080/09593330.2023.2238928")</f>
        <v>http://dx.doi.org/10.1080/09593330.2023.2238928</v>
      </c>
      <c r="BG741" t="s">
        <v>74</v>
      </c>
      <c r="BH741" t="s">
        <v>12687</v>
      </c>
      <c r="BI741">
        <v>14</v>
      </c>
      <c r="BJ741" t="s">
        <v>7096</v>
      </c>
      <c r="BK741" t="s">
        <v>102</v>
      </c>
      <c r="BL741" t="s">
        <v>7097</v>
      </c>
      <c r="BM741" t="s">
        <v>13311</v>
      </c>
      <c r="BN741">
        <v>37469005</v>
      </c>
      <c r="BO741" t="s">
        <v>887</v>
      </c>
      <c r="BP741" t="s">
        <v>74</v>
      </c>
      <c r="BQ741" t="s">
        <v>74</v>
      </c>
      <c r="BR741" t="s">
        <v>105</v>
      </c>
      <c r="BS741" t="s">
        <v>13312</v>
      </c>
      <c r="BT741" t="str">
        <f>HYPERLINK("https%3A%2F%2Fwww.webofscience.com%2Fwos%2Fwoscc%2Ffull-record%2FWOS:001040328800001","View Full Record in Web of Science")</f>
        <v>View Full Record in Web of Science</v>
      </c>
    </row>
    <row r="742" spans="1:72" x14ac:dyDescent="0.15">
      <c r="A742" t="s">
        <v>72</v>
      </c>
      <c r="B742" t="s">
        <v>13313</v>
      </c>
      <c r="C742" t="s">
        <v>74</v>
      </c>
      <c r="D742" t="s">
        <v>74</v>
      </c>
      <c r="E742" t="s">
        <v>74</v>
      </c>
      <c r="F742" t="s">
        <v>13314</v>
      </c>
      <c r="G742" t="s">
        <v>74</v>
      </c>
      <c r="H742" t="s">
        <v>74</v>
      </c>
      <c r="I742" t="s">
        <v>13315</v>
      </c>
      <c r="J742" t="s">
        <v>13316</v>
      </c>
      <c r="K742" t="s">
        <v>74</v>
      </c>
      <c r="L742" t="s">
        <v>74</v>
      </c>
      <c r="M742" t="s">
        <v>78</v>
      </c>
      <c r="N742" t="s">
        <v>5492</v>
      </c>
      <c r="O742" t="s">
        <v>74</v>
      </c>
      <c r="P742" t="s">
        <v>74</v>
      </c>
      <c r="Q742" t="s">
        <v>74</v>
      </c>
      <c r="R742" t="s">
        <v>74</v>
      </c>
      <c r="S742" t="s">
        <v>74</v>
      </c>
      <c r="T742" t="s">
        <v>74</v>
      </c>
      <c r="U742" t="s">
        <v>13317</v>
      </c>
      <c r="V742" t="s">
        <v>13318</v>
      </c>
      <c r="W742" t="s">
        <v>13319</v>
      </c>
      <c r="X742" t="s">
        <v>13320</v>
      </c>
      <c r="Y742" t="s">
        <v>13321</v>
      </c>
      <c r="Z742" t="s">
        <v>13322</v>
      </c>
      <c r="AA742" t="s">
        <v>74</v>
      </c>
      <c r="AB742" t="s">
        <v>74</v>
      </c>
      <c r="AC742" t="s">
        <v>74</v>
      </c>
      <c r="AD742" t="s">
        <v>74</v>
      </c>
      <c r="AE742" t="s">
        <v>74</v>
      </c>
      <c r="AF742" t="s">
        <v>74</v>
      </c>
      <c r="AG742">
        <v>27</v>
      </c>
      <c r="AH742">
        <v>0</v>
      </c>
      <c r="AI742">
        <v>0</v>
      </c>
      <c r="AJ742">
        <v>3</v>
      </c>
      <c r="AK742">
        <v>3</v>
      </c>
      <c r="AL742" t="s">
        <v>92</v>
      </c>
      <c r="AM742" t="s">
        <v>93</v>
      </c>
      <c r="AN742" t="s">
        <v>94</v>
      </c>
      <c r="AO742" t="s">
        <v>13323</v>
      </c>
      <c r="AP742" t="s">
        <v>13324</v>
      </c>
      <c r="AQ742" t="s">
        <v>74</v>
      </c>
      <c r="AR742" t="s">
        <v>13316</v>
      </c>
      <c r="AS742" t="s">
        <v>13325</v>
      </c>
      <c r="AT742" t="s">
        <v>13209</v>
      </c>
      <c r="AU742">
        <v>2023</v>
      </c>
      <c r="AV742" t="s">
        <v>74</v>
      </c>
      <c r="AW742" t="s">
        <v>74</v>
      </c>
      <c r="AX742" t="s">
        <v>74</v>
      </c>
      <c r="AY742" t="s">
        <v>74</v>
      </c>
      <c r="AZ742" t="s">
        <v>74</v>
      </c>
      <c r="BA742" t="s">
        <v>74</v>
      </c>
      <c r="BB742" t="s">
        <v>74</v>
      </c>
      <c r="BC742" t="s">
        <v>74</v>
      </c>
      <c r="BD742" t="s">
        <v>74</v>
      </c>
      <c r="BE742" t="s">
        <v>13326</v>
      </c>
      <c r="BF742" t="str">
        <f>HYPERLINK("http://dx.doi.org/10.1080/00063657.2023.2237232","http://dx.doi.org/10.1080/00063657.2023.2237232")</f>
        <v>http://dx.doi.org/10.1080/00063657.2023.2237232</v>
      </c>
      <c r="BG742" t="s">
        <v>74</v>
      </c>
      <c r="BH742" t="s">
        <v>12687</v>
      </c>
      <c r="BI742">
        <v>8</v>
      </c>
      <c r="BJ742" t="s">
        <v>13327</v>
      </c>
      <c r="BK742" t="s">
        <v>102</v>
      </c>
      <c r="BL742" t="s">
        <v>13328</v>
      </c>
      <c r="BM742" t="s">
        <v>13329</v>
      </c>
      <c r="BN742" t="s">
        <v>74</v>
      </c>
      <c r="BO742" t="s">
        <v>74</v>
      </c>
      <c r="BP742" t="s">
        <v>74</v>
      </c>
      <c r="BQ742" t="s">
        <v>74</v>
      </c>
      <c r="BR742" t="s">
        <v>105</v>
      </c>
      <c r="BS742" t="s">
        <v>13330</v>
      </c>
      <c r="BT742" t="str">
        <f>HYPERLINK("https%3A%2F%2Fwww.webofscience.com%2Fwos%2Fwoscc%2Ffull-record%2FWOS:001037418100001","View Full Record in Web of Science")</f>
        <v>View Full Record in Web of Science</v>
      </c>
    </row>
    <row r="743" spans="1:72" x14ac:dyDescent="0.15">
      <c r="A743" t="s">
        <v>72</v>
      </c>
      <c r="B743" t="s">
        <v>13331</v>
      </c>
      <c r="C743" t="s">
        <v>74</v>
      </c>
      <c r="D743" t="s">
        <v>74</v>
      </c>
      <c r="E743" t="s">
        <v>74</v>
      </c>
      <c r="F743" t="s">
        <v>13332</v>
      </c>
      <c r="G743" t="s">
        <v>74</v>
      </c>
      <c r="H743" t="s">
        <v>74</v>
      </c>
      <c r="I743" t="s">
        <v>13333</v>
      </c>
      <c r="J743" t="s">
        <v>13334</v>
      </c>
      <c r="K743" t="s">
        <v>74</v>
      </c>
      <c r="L743" t="s">
        <v>74</v>
      </c>
      <c r="M743" t="s">
        <v>78</v>
      </c>
      <c r="N743" t="s">
        <v>79</v>
      </c>
      <c r="O743" t="s">
        <v>74</v>
      </c>
      <c r="P743" t="s">
        <v>74</v>
      </c>
      <c r="Q743" t="s">
        <v>74</v>
      </c>
      <c r="R743" t="s">
        <v>74</v>
      </c>
      <c r="S743" t="s">
        <v>74</v>
      </c>
      <c r="T743" t="s">
        <v>13335</v>
      </c>
      <c r="U743" t="s">
        <v>13336</v>
      </c>
      <c r="V743" t="s">
        <v>13337</v>
      </c>
      <c r="W743" t="s">
        <v>13338</v>
      </c>
      <c r="X743" t="s">
        <v>13339</v>
      </c>
      <c r="Y743" t="s">
        <v>13340</v>
      </c>
      <c r="Z743" t="s">
        <v>13341</v>
      </c>
      <c r="AA743" t="s">
        <v>74</v>
      </c>
      <c r="AB743" t="s">
        <v>13342</v>
      </c>
      <c r="AC743" t="s">
        <v>13343</v>
      </c>
      <c r="AD743" t="s">
        <v>13343</v>
      </c>
      <c r="AE743" t="s">
        <v>13344</v>
      </c>
      <c r="AF743" t="s">
        <v>74</v>
      </c>
      <c r="AG743">
        <v>53</v>
      </c>
      <c r="AH743">
        <v>0</v>
      </c>
      <c r="AI743">
        <v>0</v>
      </c>
      <c r="AJ743">
        <v>2</v>
      </c>
      <c r="AK743">
        <v>2</v>
      </c>
      <c r="AL743" t="s">
        <v>92</v>
      </c>
      <c r="AM743" t="s">
        <v>93</v>
      </c>
      <c r="AN743" t="s">
        <v>94</v>
      </c>
      <c r="AO743" t="s">
        <v>13345</v>
      </c>
      <c r="AP743" t="s">
        <v>13346</v>
      </c>
      <c r="AQ743" t="s">
        <v>74</v>
      </c>
      <c r="AR743" t="s">
        <v>13347</v>
      </c>
      <c r="AS743" t="s">
        <v>13348</v>
      </c>
      <c r="AT743" t="s">
        <v>7946</v>
      </c>
      <c r="AU743">
        <v>2023</v>
      </c>
      <c r="AV743">
        <v>37</v>
      </c>
      <c r="AW743">
        <v>9</v>
      </c>
      <c r="AX743" t="s">
        <v>74</v>
      </c>
      <c r="AY743" t="s">
        <v>74</v>
      </c>
      <c r="AZ743" t="s">
        <v>74</v>
      </c>
      <c r="BA743" t="s">
        <v>74</v>
      </c>
      <c r="BB743">
        <v>2020</v>
      </c>
      <c r="BC743">
        <v>2042</v>
      </c>
      <c r="BD743" t="s">
        <v>74</v>
      </c>
      <c r="BE743" t="s">
        <v>13349</v>
      </c>
      <c r="BF743" t="str">
        <f>HYPERLINK("http://dx.doi.org/10.1080/13658816.2023.2241144","http://dx.doi.org/10.1080/13658816.2023.2241144")</f>
        <v>http://dx.doi.org/10.1080/13658816.2023.2241144</v>
      </c>
      <c r="BG743" t="s">
        <v>74</v>
      </c>
      <c r="BH743" t="s">
        <v>12687</v>
      </c>
      <c r="BI743">
        <v>23</v>
      </c>
      <c r="BJ743" t="s">
        <v>13350</v>
      </c>
      <c r="BK743" t="s">
        <v>123</v>
      </c>
      <c r="BL743" t="s">
        <v>13351</v>
      </c>
      <c r="BM743" t="s">
        <v>13352</v>
      </c>
      <c r="BN743" t="s">
        <v>74</v>
      </c>
      <c r="BO743" t="s">
        <v>5486</v>
      </c>
      <c r="BP743" t="s">
        <v>74</v>
      </c>
      <c r="BQ743" t="s">
        <v>74</v>
      </c>
      <c r="BR743" t="s">
        <v>105</v>
      </c>
      <c r="BS743" t="s">
        <v>13353</v>
      </c>
      <c r="BT743" t="str">
        <f>HYPERLINK("https%3A%2F%2Fwww.webofscience.com%2Fwos%2Fwoscc%2Ffull-record%2FWOS:001036807600001","View Full Record in Web of Science")</f>
        <v>View Full Record in Web of Science</v>
      </c>
    </row>
    <row r="744" spans="1:72" x14ac:dyDescent="0.15">
      <c r="A744" t="s">
        <v>72</v>
      </c>
      <c r="B744" t="s">
        <v>13354</v>
      </c>
      <c r="C744" t="s">
        <v>74</v>
      </c>
      <c r="D744" t="s">
        <v>74</v>
      </c>
      <c r="E744" t="s">
        <v>74</v>
      </c>
      <c r="F744" t="s">
        <v>13355</v>
      </c>
      <c r="G744" t="s">
        <v>74</v>
      </c>
      <c r="H744" t="s">
        <v>74</v>
      </c>
      <c r="I744" t="s">
        <v>13356</v>
      </c>
      <c r="J744" t="s">
        <v>13357</v>
      </c>
      <c r="K744" t="s">
        <v>74</v>
      </c>
      <c r="L744" t="s">
        <v>74</v>
      </c>
      <c r="M744" t="s">
        <v>78</v>
      </c>
      <c r="N744" t="s">
        <v>5492</v>
      </c>
      <c r="O744" t="s">
        <v>74</v>
      </c>
      <c r="P744" t="s">
        <v>74</v>
      </c>
      <c r="Q744" t="s">
        <v>74</v>
      </c>
      <c r="R744" t="s">
        <v>74</v>
      </c>
      <c r="S744" t="s">
        <v>74</v>
      </c>
      <c r="T744" t="s">
        <v>13358</v>
      </c>
      <c r="U744" t="s">
        <v>74</v>
      </c>
      <c r="V744" t="s">
        <v>13359</v>
      </c>
      <c r="W744" t="s">
        <v>13360</v>
      </c>
      <c r="X744" t="s">
        <v>13361</v>
      </c>
      <c r="Y744" t="s">
        <v>13362</v>
      </c>
      <c r="Z744" t="s">
        <v>13363</v>
      </c>
      <c r="AA744" t="s">
        <v>13364</v>
      </c>
      <c r="AB744" t="s">
        <v>13365</v>
      </c>
      <c r="AC744" t="s">
        <v>13366</v>
      </c>
      <c r="AD744" t="s">
        <v>74</v>
      </c>
      <c r="AE744" t="s">
        <v>13367</v>
      </c>
      <c r="AF744" t="s">
        <v>74</v>
      </c>
      <c r="AG744">
        <v>21</v>
      </c>
      <c r="AH744">
        <v>0</v>
      </c>
      <c r="AI744">
        <v>0</v>
      </c>
      <c r="AJ744">
        <v>0</v>
      </c>
      <c r="AK744">
        <v>0</v>
      </c>
      <c r="AL744" t="s">
        <v>184</v>
      </c>
      <c r="AM744" t="s">
        <v>185</v>
      </c>
      <c r="AN744" t="s">
        <v>186</v>
      </c>
      <c r="AO744" t="s">
        <v>13368</v>
      </c>
      <c r="AP744" t="s">
        <v>13369</v>
      </c>
      <c r="AQ744" t="s">
        <v>74</v>
      </c>
      <c r="AR744" t="s">
        <v>13370</v>
      </c>
      <c r="AS744" t="s">
        <v>13371</v>
      </c>
      <c r="AT744" t="s">
        <v>13209</v>
      </c>
      <c r="AU744">
        <v>2023</v>
      </c>
      <c r="AV744" t="s">
        <v>74</v>
      </c>
      <c r="AW744" t="s">
        <v>74</v>
      </c>
      <c r="AX744" t="s">
        <v>74</v>
      </c>
      <c r="AY744" t="s">
        <v>74</v>
      </c>
      <c r="AZ744" t="s">
        <v>74</v>
      </c>
      <c r="BA744" t="s">
        <v>74</v>
      </c>
      <c r="BB744" t="s">
        <v>74</v>
      </c>
      <c r="BC744" t="s">
        <v>74</v>
      </c>
      <c r="BD744" t="s">
        <v>74</v>
      </c>
      <c r="BE744" t="s">
        <v>13372</v>
      </c>
      <c r="BF744" t="str">
        <f>HYPERLINK("http://dx.doi.org/10.1080/15583058.2023.2240268","http://dx.doi.org/10.1080/15583058.2023.2240268")</f>
        <v>http://dx.doi.org/10.1080/15583058.2023.2240268</v>
      </c>
      <c r="BG744" t="s">
        <v>74</v>
      </c>
      <c r="BH744" t="s">
        <v>12687</v>
      </c>
      <c r="BI744">
        <v>13</v>
      </c>
      <c r="BJ744" t="s">
        <v>13373</v>
      </c>
      <c r="BK744" t="s">
        <v>13374</v>
      </c>
      <c r="BL744" t="s">
        <v>13375</v>
      </c>
      <c r="BM744" t="s">
        <v>13376</v>
      </c>
      <c r="BN744" t="s">
        <v>74</v>
      </c>
      <c r="BO744" t="s">
        <v>74</v>
      </c>
      <c r="BP744" t="s">
        <v>74</v>
      </c>
      <c r="BQ744" t="s">
        <v>74</v>
      </c>
      <c r="BR744" t="s">
        <v>105</v>
      </c>
      <c r="BS744" t="s">
        <v>13377</v>
      </c>
      <c r="BT744" t="str">
        <f>HYPERLINK("https%3A%2F%2Fwww.webofscience.com%2Fwos%2Fwoscc%2Ffull-record%2FWOS:001032215800001","View Full Record in Web of Science")</f>
        <v>View Full Record in Web of Science</v>
      </c>
    </row>
    <row r="745" spans="1:72" x14ac:dyDescent="0.15">
      <c r="A745" t="s">
        <v>72</v>
      </c>
      <c r="B745" t="s">
        <v>13378</v>
      </c>
      <c r="C745" t="s">
        <v>74</v>
      </c>
      <c r="D745" t="s">
        <v>74</v>
      </c>
      <c r="E745" t="s">
        <v>74</v>
      </c>
      <c r="F745" t="s">
        <v>13379</v>
      </c>
      <c r="G745" t="s">
        <v>74</v>
      </c>
      <c r="H745" t="s">
        <v>74</v>
      </c>
      <c r="I745" t="s">
        <v>13380</v>
      </c>
      <c r="J745" t="s">
        <v>6011</v>
      </c>
      <c r="K745" t="s">
        <v>74</v>
      </c>
      <c r="L745" t="s">
        <v>74</v>
      </c>
      <c r="M745" t="s">
        <v>78</v>
      </c>
      <c r="N745" t="s">
        <v>5492</v>
      </c>
      <c r="O745" t="s">
        <v>74</v>
      </c>
      <c r="P745" t="s">
        <v>74</v>
      </c>
      <c r="Q745" t="s">
        <v>74</v>
      </c>
      <c r="R745" t="s">
        <v>74</v>
      </c>
      <c r="S745" t="s">
        <v>74</v>
      </c>
      <c r="T745" t="s">
        <v>13381</v>
      </c>
      <c r="U745" t="s">
        <v>13382</v>
      </c>
      <c r="V745" t="s">
        <v>13383</v>
      </c>
      <c r="W745" t="s">
        <v>13384</v>
      </c>
      <c r="X745" t="s">
        <v>74</v>
      </c>
      <c r="Y745" t="s">
        <v>13385</v>
      </c>
      <c r="Z745" t="s">
        <v>13386</v>
      </c>
      <c r="AA745" t="s">
        <v>74</v>
      </c>
      <c r="AB745" t="s">
        <v>74</v>
      </c>
      <c r="AC745" t="s">
        <v>74</v>
      </c>
      <c r="AD745" t="s">
        <v>74</v>
      </c>
      <c r="AE745" t="s">
        <v>74</v>
      </c>
      <c r="AF745" t="s">
        <v>74</v>
      </c>
      <c r="AG745">
        <v>36</v>
      </c>
      <c r="AH745">
        <v>0</v>
      </c>
      <c r="AI745">
        <v>0</v>
      </c>
      <c r="AJ745">
        <v>0</v>
      </c>
      <c r="AK745">
        <v>0</v>
      </c>
      <c r="AL745" t="s">
        <v>184</v>
      </c>
      <c r="AM745" t="s">
        <v>185</v>
      </c>
      <c r="AN745" t="s">
        <v>186</v>
      </c>
      <c r="AO745" t="s">
        <v>6018</v>
      </c>
      <c r="AP745" t="s">
        <v>6019</v>
      </c>
      <c r="AQ745" t="s">
        <v>74</v>
      </c>
      <c r="AR745" t="s">
        <v>6020</v>
      </c>
      <c r="AS745" t="s">
        <v>6021</v>
      </c>
      <c r="AT745" t="s">
        <v>13209</v>
      </c>
      <c r="AU745">
        <v>2023</v>
      </c>
      <c r="AV745" t="s">
        <v>74</v>
      </c>
      <c r="AW745" t="s">
        <v>74</v>
      </c>
      <c r="AX745" t="s">
        <v>74</v>
      </c>
      <c r="AY745" t="s">
        <v>74</v>
      </c>
      <c r="AZ745" t="s">
        <v>74</v>
      </c>
      <c r="BA745" t="s">
        <v>74</v>
      </c>
      <c r="BB745" t="s">
        <v>74</v>
      </c>
      <c r="BC745" t="s">
        <v>74</v>
      </c>
      <c r="BD745" t="s">
        <v>74</v>
      </c>
      <c r="BE745" t="s">
        <v>13387</v>
      </c>
      <c r="BF745" t="str">
        <f>HYPERLINK("http://dx.doi.org/10.1080/00927872.2023.2237575","http://dx.doi.org/10.1080/00927872.2023.2237575")</f>
        <v>http://dx.doi.org/10.1080/00927872.2023.2237575</v>
      </c>
      <c r="BG745" t="s">
        <v>74</v>
      </c>
      <c r="BH745" t="s">
        <v>12687</v>
      </c>
      <c r="BI745">
        <v>17</v>
      </c>
      <c r="BJ745" t="s">
        <v>5435</v>
      </c>
      <c r="BK745" t="s">
        <v>102</v>
      </c>
      <c r="BL745" t="s">
        <v>5435</v>
      </c>
      <c r="BM745" t="s">
        <v>13388</v>
      </c>
      <c r="BN745" t="s">
        <v>74</v>
      </c>
      <c r="BO745" t="s">
        <v>74</v>
      </c>
      <c r="BP745" t="s">
        <v>74</v>
      </c>
      <c r="BQ745" t="s">
        <v>74</v>
      </c>
      <c r="BR745" t="s">
        <v>105</v>
      </c>
      <c r="BS745" t="s">
        <v>13389</v>
      </c>
      <c r="BT745" t="str">
        <f>HYPERLINK("https%3A%2F%2Fwww.webofscience.com%2Fwos%2Fwoscc%2Ffull-record%2FWOS:001038811900001","View Full Record in Web of Science")</f>
        <v>View Full Record in Web of Science</v>
      </c>
    </row>
    <row r="746" spans="1:72" x14ac:dyDescent="0.15">
      <c r="A746" t="s">
        <v>72</v>
      </c>
      <c r="B746" t="s">
        <v>13390</v>
      </c>
      <c r="C746" t="s">
        <v>74</v>
      </c>
      <c r="D746" t="s">
        <v>74</v>
      </c>
      <c r="E746" t="s">
        <v>74</v>
      </c>
      <c r="F746" t="s">
        <v>13391</v>
      </c>
      <c r="G746" t="s">
        <v>74</v>
      </c>
      <c r="H746" t="s">
        <v>74</v>
      </c>
      <c r="I746" t="s">
        <v>13392</v>
      </c>
      <c r="J746" t="s">
        <v>13393</v>
      </c>
      <c r="K746" t="s">
        <v>74</v>
      </c>
      <c r="L746" t="s">
        <v>74</v>
      </c>
      <c r="M746" t="s">
        <v>78</v>
      </c>
      <c r="N746" t="s">
        <v>5492</v>
      </c>
      <c r="O746" t="s">
        <v>74</v>
      </c>
      <c r="P746" t="s">
        <v>74</v>
      </c>
      <c r="Q746" t="s">
        <v>74</v>
      </c>
      <c r="R746" t="s">
        <v>74</v>
      </c>
      <c r="S746" t="s">
        <v>74</v>
      </c>
      <c r="T746" t="s">
        <v>13394</v>
      </c>
      <c r="U746" t="s">
        <v>13395</v>
      </c>
      <c r="V746" t="s">
        <v>13396</v>
      </c>
      <c r="W746" t="s">
        <v>13397</v>
      </c>
      <c r="X746" t="s">
        <v>13398</v>
      </c>
      <c r="Y746" t="s">
        <v>13399</v>
      </c>
      <c r="Z746" t="s">
        <v>13400</v>
      </c>
      <c r="AA746" t="s">
        <v>13401</v>
      </c>
      <c r="AB746" t="s">
        <v>74</v>
      </c>
      <c r="AC746" t="s">
        <v>74</v>
      </c>
      <c r="AD746" t="s">
        <v>74</v>
      </c>
      <c r="AE746" t="s">
        <v>74</v>
      </c>
      <c r="AF746" t="s">
        <v>74</v>
      </c>
      <c r="AG746">
        <v>56</v>
      </c>
      <c r="AH746">
        <v>0</v>
      </c>
      <c r="AI746">
        <v>0</v>
      </c>
      <c r="AJ746">
        <v>1</v>
      </c>
      <c r="AK746">
        <v>1</v>
      </c>
      <c r="AL746" t="s">
        <v>287</v>
      </c>
      <c r="AM746" t="s">
        <v>288</v>
      </c>
      <c r="AN746" t="s">
        <v>289</v>
      </c>
      <c r="AO746" t="s">
        <v>13402</v>
      </c>
      <c r="AP746" t="s">
        <v>13403</v>
      </c>
      <c r="AQ746" t="s">
        <v>74</v>
      </c>
      <c r="AR746" t="s">
        <v>13404</v>
      </c>
      <c r="AS746" t="s">
        <v>13405</v>
      </c>
      <c r="AT746" t="s">
        <v>13209</v>
      </c>
      <c r="AU746">
        <v>2023</v>
      </c>
      <c r="AV746" t="s">
        <v>74</v>
      </c>
      <c r="AW746" t="s">
        <v>74</v>
      </c>
      <c r="AX746" t="s">
        <v>74</v>
      </c>
      <c r="AY746" t="s">
        <v>74</v>
      </c>
      <c r="AZ746" t="s">
        <v>74</v>
      </c>
      <c r="BA746" t="s">
        <v>74</v>
      </c>
      <c r="BB746" t="s">
        <v>74</v>
      </c>
      <c r="BC746" t="s">
        <v>74</v>
      </c>
      <c r="BD746" t="s">
        <v>74</v>
      </c>
      <c r="BE746" t="s">
        <v>13406</v>
      </c>
      <c r="BF746" t="str">
        <f>HYPERLINK("http://dx.doi.org/10.1080/17451000.2023.2235571","http://dx.doi.org/10.1080/17451000.2023.2235571")</f>
        <v>http://dx.doi.org/10.1080/17451000.2023.2235571</v>
      </c>
      <c r="BG746" t="s">
        <v>74</v>
      </c>
      <c r="BH746" t="s">
        <v>12687</v>
      </c>
      <c r="BI746">
        <v>10</v>
      </c>
      <c r="BJ746" t="s">
        <v>13407</v>
      </c>
      <c r="BK746" t="s">
        <v>102</v>
      </c>
      <c r="BL746" t="s">
        <v>13408</v>
      </c>
      <c r="BM746" t="s">
        <v>13409</v>
      </c>
      <c r="BN746" t="s">
        <v>74</v>
      </c>
      <c r="BO746" t="s">
        <v>74</v>
      </c>
      <c r="BP746" t="s">
        <v>74</v>
      </c>
      <c r="BQ746" t="s">
        <v>74</v>
      </c>
      <c r="BR746" t="s">
        <v>105</v>
      </c>
      <c r="BS746" t="s">
        <v>13410</v>
      </c>
      <c r="BT746" t="str">
        <f>HYPERLINK("https%3A%2F%2Fwww.webofscience.com%2Fwos%2Fwoscc%2Ffull-record%2FWOS:001033962600001","View Full Record in Web of Science")</f>
        <v>View Full Record in Web of Science</v>
      </c>
    </row>
    <row r="747" spans="1:72" x14ac:dyDescent="0.15">
      <c r="A747" t="s">
        <v>72</v>
      </c>
      <c r="B747" t="s">
        <v>13411</v>
      </c>
      <c r="C747" t="s">
        <v>74</v>
      </c>
      <c r="D747" t="s">
        <v>74</v>
      </c>
      <c r="E747" t="s">
        <v>74</v>
      </c>
      <c r="F747" t="s">
        <v>13412</v>
      </c>
      <c r="G747" t="s">
        <v>74</v>
      </c>
      <c r="H747" t="s">
        <v>74</v>
      </c>
      <c r="I747" t="s">
        <v>13413</v>
      </c>
      <c r="J747" t="s">
        <v>13414</v>
      </c>
      <c r="K747" t="s">
        <v>74</v>
      </c>
      <c r="L747" t="s">
        <v>74</v>
      </c>
      <c r="M747" t="s">
        <v>78</v>
      </c>
      <c r="N747" t="s">
        <v>5492</v>
      </c>
      <c r="O747" t="s">
        <v>74</v>
      </c>
      <c r="P747" t="s">
        <v>74</v>
      </c>
      <c r="Q747" t="s">
        <v>74</v>
      </c>
      <c r="R747" t="s">
        <v>74</v>
      </c>
      <c r="S747" t="s">
        <v>74</v>
      </c>
      <c r="T747" t="s">
        <v>13415</v>
      </c>
      <c r="U747" t="s">
        <v>74</v>
      </c>
      <c r="V747" t="s">
        <v>13416</v>
      </c>
      <c r="W747" t="s">
        <v>13417</v>
      </c>
      <c r="X747" t="s">
        <v>13418</v>
      </c>
      <c r="Y747" t="s">
        <v>13419</v>
      </c>
      <c r="Z747" t="s">
        <v>13420</v>
      </c>
      <c r="AA747" t="s">
        <v>74</v>
      </c>
      <c r="AB747" t="s">
        <v>74</v>
      </c>
      <c r="AC747" t="s">
        <v>13421</v>
      </c>
      <c r="AD747" t="s">
        <v>13422</v>
      </c>
      <c r="AE747" t="s">
        <v>13423</v>
      </c>
      <c r="AF747" t="s">
        <v>74</v>
      </c>
      <c r="AG747">
        <v>21</v>
      </c>
      <c r="AH747">
        <v>0</v>
      </c>
      <c r="AI747">
        <v>0</v>
      </c>
      <c r="AJ747">
        <v>1</v>
      </c>
      <c r="AK747">
        <v>1</v>
      </c>
      <c r="AL747" t="s">
        <v>184</v>
      </c>
      <c r="AM747" t="s">
        <v>185</v>
      </c>
      <c r="AN747" t="s">
        <v>186</v>
      </c>
      <c r="AO747" t="s">
        <v>13424</v>
      </c>
      <c r="AP747" t="s">
        <v>13425</v>
      </c>
      <c r="AQ747" t="s">
        <v>74</v>
      </c>
      <c r="AR747" t="s">
        <v>13426</v>
      </c>
      <c r="AS747" t="s">
        <v>13427</v>
      </c>
      <c r="AT747" t="s">
        <v>13209</v>
      </c>
      <c r="AU747">
        <v>2023</v>
      </c>
      <c r="AV747" t="s">
        <v>74</v>
      </c>
      <c r="AW747" t="s">
        <v>74</v>
      </c>
      <c r="AX747" t="s">
        <v>74</v>
      </c>
      <c r="AY747" t="s">
        <v>74</v>
      </c>
      <c r="AZ747" t="s">
        <v>74</v>
      </c>
      <c r="BA747" t="s">
        <v>74</v>
      </c>
      <c r="BB747" t="s">
        <v>74</v>
      </c>
      <c r="BC747" t="s">
        <v>74</v>
      </c>
      <c r="BD747" t="s">
        <v>74</v>
      </c>
      <c r="BE747" t="s">
        <v>13428</v>
      </c>
      <c r="BF747" t="str">
        <f>HYPERLINK("http://dx.doi.org/10.1080/03610918.2023.2240047","http://dx.doi.org/10.1080/03610918.2023.2240047")</f>
        <v>http://dx.doi.org/10.1080/03610918.2023.2240047</v>
      </c>
      <c r="BG747" t="s">
        <v>74</v>
      </c>
      <c r="BH747" t="s">
        <v>12687</v>
      </c>
      <c r="BI747">
        <v>12</v>
      </c>
      <c r="BJ747" t="s">
        <v>5630</v>
      </c>
      <c r="BK747" t="s">
        <v>102</v>
      </c>
      <c r="BL747" t="s">
        <v>5435</v>
      </c>
      <c r="BM747" t="s">
        <v>13429</v>
      </c>
      <c r="BN747" t="s">
        <v>74</v>
      </c>
      <c r="BO747" t="s">
        <v>74</v>
      </c>
      <c r="BP747" t="s">
        <v>74</v>
      </c>
      <c r="BQ747" t="s">
        <v>74</v>
      </c>
      <c r="BR747" t="s">
        <v>105</v>
      </c>
      <c r="BS747" t="s">
        <v>13430</v>
      </c>
      <c r="BT747" t="str">
        <f>HYPERLINK("https%3A%2F%2Fwww.webofscience.com%2Fwos%2Fwoscc%2Ffull-record%2FWOS:001039610200001","View Full Record in Web of Science")</f>
        <v>View Full Record in Web of Science</v>
      </c>
    </row>
    <row r="748" spans="1:72" x14ac:dyDescent="0.15">
      <c r="A748" t="s">
        <v>72</v>
      </c>
      <c r="B748" t="s">
        <v>13431</v>
      </c>
      <c r="C748" t="s">
        <v>74</v>
      </c>
      <c r="D748" t="s">
        <v>74</v>
      </c>
      <c r="E748" t="s">
        <v>74</v>
      </c>
      <c r="F748" t="s">
        <v>13432</v>
      </c>
      <c r="G748" t="s">
        <v>74</v>
      </c>
      <c r="H748" t="s">
        <v>74</v>
      </c>
      <c r="I748" t="s">
        <v>13433</v>
      </c>
      <c r="J748" t="s">
        <v>13434</v>
      </c>
      <c r="K748" t="s">
        <v>74</v>
      </c>
      <c r="L748" t="s">
        <v>74</v>
      </c>
      <c r="M748" t="s">
        <v>78</v>
      </c>
      <c r="N748" t="s">
        <v>5492</v>
      </c>
      <c r="O748" t="s">
        <v>74</v>
      </c>
      <c r="P748" t="s">
        <v>74</v>
      </c>
      <c r="Q748" t="s">
        <v>74</v>
      </c>
      <c r="R748" t="s">
        <v>74</v>
      </c>
      <c r="S748" t="s">
        <v>74</v>
      </c>
      <c r="T748" t="s">
        <v>74</v>
      </c>
      <c r="U748" t="s">
        <v>13435</v>
      </c>
      <c r="V748" t="s">
        <v>13436</v>
      </c>
      <c r="W748" t="s">
        <v>13437</v>
      </c>
      <c r="X748" t="s">
        <v>13438</v>
      </c>
      <c r="Y748" t="s">
        <v>13439</v>
      </c>
      <c r="Z748" t="s">
        <v>13440</v>
      </c>
      <c r="AA748" t="s">
        <v>13441</v>
      </c>
      <c r="AB748" t="s">
        <v>13442</v>
      </c>
      <c r="AC748" t="s">
        <v>74</v>
      </c>
      <c r="AD748" t="s">
        <v>74</v>
      </c>
      <c r="AE748" t="s">
        <v>74</v>
      </c>
      <c r="AF748" t="s">
        <v>74</v>
      </c>
      <c r="AG748">
        <v>66</v>
      </c>
      <c r="AH748">
        <v>1</v>
      </c>
      <c r="AI748">
        <v>1</v>
      </c>
      <c r="AJ748">
        <v>6</v>
      </c>
      <c r="AK748">
        <v>6</v>
      </c>
      <c r="AL748" t="s">
        <v>1188</v>
      </c>
      <c r="AM748" t="s">
        <v>93</v>
      </c>
      <c r="AN748" t="s">
        <v>1189</v>
      </c>
      <c r="AO748" t="s">
        <v>13443</v>
      </c>
      <c r="AP748" t="s">
        <v>13444</v>
      </c>
      <c r="AQ748" t="s">
        <v>74</v>
      </c>
      <c r="AR748" t="s">
        <v>13445</v>
      </c>
      <c r="AS748" t="s">
        <v>13446</v>
      </c>
      <c r="AT748" t="s">
        <v>13447</v>
      </c>
      <c r="AU748">
        <v>2023</v>
      </c>
      <c r="AV748" t="s">
        <v>74</v>
      </c>
      <c r="AW748" t="s">
        <v>74</v>
      </c>
      <c r="AX748" t="s">
        <v>74</v>
      </c>
      <c r="AY748" t="s">
        <v>74</v>
      </c>
      <c r="AZ748" t="s">
        <v>74</v>
      </c>
      <c r="BA748" t="s">
        <v>74</v>
      </c>
      <c r="BB748" t="s">
        <v>74</v>
      </c>
      <c r="BC748" t="s">
        <v>74</v>
      </c>
      <c r="BD748" t="s">
        <v>74</v>
      </c>
      <c r="BE748" t="s">
        <v>13448</v>
      </c>
      <c r="BF748" t="str">
        <f>HYPERLINK("http://dx.doi.org/10.1080/09644008.2023.2231353","http://dx.doi.org/10.1080/09644008.2023.2231353")</f>
        <v>http://dx.doi.org/10.1080/09644008.2023.2231353</v>
      </c>
      <c r="BG748" t="s">
        <v>74</v>
      </c>
      <c r="BH748" t="s">
        <v>12687</v>
      </c>
      <c r="BI748">
        <v>28</v>
      </c>
      <c r="BJ748" t="s">
        <v>6893</v>
      </c>
      <c r="BK748" t="s">
        <v>272</v>
      </c>
      <c r="BL748" t="s">
        <v>6894</v>
      </c>
      <c r="BM748" t="s">
        <v>13449</v>
      </c>
      <c r="BN748" t="s">
        <v>74</v>
      </c>
      <c r="BO748" t="s">
        <v>74</v>
      </c>
      <c r="BP748" t="s">
        <v>74</v>
      </c>
      <c r="BQ748" t="s">
        <v>74</v>
      </c>
      <c r="BR748" t="s">
        <v>105</v>
      </c>
      <c r="BS748" t="s">
        <v>13450</v>
      </c>
      <c r="BT748" t="str">
        <f>HYPERLINK("https%3A%2F%2Fwww.webofscience.com%2Fwos%2Fwoscc%2Ffull-record%2FWOS:001032842400001","View Full Record in Web of Science")</f>
        <v>View Full Record in Web of Science</v>
      </c>
    </row>
    <row r="749" spans="1:72" x14ac:dyDescent="0.15">
      <c r="A749" t="s">
        <v>72</v>
      </c>
      <c r="B749" t="s">
        <v>13451</v>
      </c>
      <c r="C749" t="s">
        <v>74</v>
      </c>
      <c r="D749" t="s">
        <v>74</v>
      </c>
      <c r="E749" t="s">
        <v>74</v>
      </c>
      <c r="F749" t="s">
        <v>13452</v>
      </c>
      <c r="G749" t="s">
        <v>74</v>
      </c>
      <c r="H749" t="s">
        <v>74</v>
      </c>
      <c r="I749" t="s">
        <v>13453</v>
      </c>
      <c r="J749" t="s">
        <v>13454</v>
      </c>
      <c r="K749" t="s">
        <v>74</v>
      </c>
      <c r="L749" t="s">
        <v>74</v>
      </c>
      <c r="M749" t="s">
        <v>78</v>
      </c>
      <c r="N749" t="s">
        <v>5492</v>
      </c>
      <c r="O749" t="s">
        <v>74</v>
      </c>
      <c r="P749" t="s">
        <v>74</v>
      </c>
      <c r="Q749" t="s">
        <v>74</v>
      </c>
      <c r="R749" t="s">
        <v>74</v>
      </c>
      <c r="S749" t="s">
        <v>74</v>
      </c>
      <c r="T749" t="s">
        <v>13455</v>
      </c>
      <c r="U749" t="s">
        <v>12195</v>
      </c>
      <c r="V749" t="s">
        <v>13456</v>
      </c>
      <c r="W749" t="s">
        <v>13457</v>
      </c>
      <c r="X749" t="s">
        <v>13458</v>
      </c>
      <c r="Y749" t="s">
        <v>13459</v>
      </c>
      <c r="Z749" t="s">
        <v>13460</v>
      </c>
      <c r="AA749" t="s">
        <v>74</v>
      </c>
      <c r="AB749" t="s">
        <v>74</v>
      </c>
      <c r="AC749" t="s">
        <v>74</v>
      </c>
      <c r="AD749" t="s">
        <v>74</v>
      </c>
      <c r="AE749" t="s">
        <v>74</v>
      </c>
      <c r="AF749" t="s">
        <v>74</v>
      </c>
      <c r="AG749">
        <v>109</v>
      </c>
      <c r="AH749">
        <v>1</v>
      </c>
      <c r="AI749">
        <v>1</v>
      </c>
      <c r="AJ749">
        <v>1</v>
      </c>
      <c r="AK749">
        <v>1</v>
      </c>
      <c r="AL749" t="s">
        <v>1188</v>
      </c>
      <c r="AM749" t="s">
        <v>93</v>
      </c>
      <c r="AN749" t="s">
        <v>1189</v>
      </c>
      <c r="AO749" t="s">
        <v>13461</v>
      </c>
      <c r="AP749" t="s">
        <v>13462</v>
      </c>
      <c r="AQ749" t="s">
        <v>74</v>
      </c>
      <c r="AR749" t="s">
        <v>13463</v>
      </c>
      <c r="AS749" t="s">
        <v>13464</v>
      </c>
      <c r="AT749" t="s">
        <v>13447</v>
      </c>
      <c r="AU749">
        <v>2023</v>
      </c>
      <c r="AV749" t="s">
        <v>74</v>
      </c>
      <c r="AW749" t="s">
        <v>74</v>
      </c>
      <c r="AX749" t="s">
        <v>74</v>
      </c>
      <c r="AY749" t="s">
        <v>74</v>
      </c>
      <c r="AZ749" t="s">
        <v>74</v>
      </c>
      <c r="BA749" t="s">
        <v>74</v>
      </c>
      <c r="BB749" t="s">
        <v>74</v>
      </c>
      <c r="BC749" t="s">
        <v>74</v>
      </c>
      <c r="BD749" t="s">
        <v>74</v>
      </c>
      <c r="BE749" t="s">
        <v>13465</v>
      </c>
      <c r="BF749" t="str">
        <f>HYPERLINK("http://dx.doi.org/10.1080/13501763.2023.2235380","http://dx.doi.org/10.1080/13501763.2023.2235380")</f>
        <v>http://dx.doi.org/10.1080/13501763.2023.2235380</v>
      </c>
      <c r="BG749" t="s">
        <v>74</v>
      </c>
      <c r="BH749" t="s">
        <v>12687</v>
      </c>
      <c r="BI749">
        <v>27</v>
      </c>
      <c r="BJ749" t="s">
        <v>13466</v>
      </c>
      <c r="BK749" t="s">
        <v>272</v>
      </c>
      <c r="BL749" t="s">
        <v>13467</v>
      </c>
      <c r="BM749" t="s">
        <v>13468</v>
      </c>
      <c r="BN749" t="s">
        <v>74</v>
      </c>
      <c r="BO749" t="s">
        <v>887</v>
      </c>
      <c r="BP749" t="s">
        <v>74</v>
      </c>
      <c r="BQ749" t="s">
        <v>74</v>
      </c>
      <c r="BR749" t="s">
        <v>105</v>
      </c>
      <c r="BS749" t="s">
        <v>13469</v>
      </c>
      <c r="BT749" t="str">
        <f>HYPERLINK("https%3A%2F%2Fwww.webofscience.com%2Fwos%2Fwoscc%2Ffull-record%2FWOS:001034584200001","View Full Record in Web of Science")</f>
        <v>View Full Record in Web of Science</v>
      </c>
    </row>
    <row r="750" spans="1:72" x14ac:dyDescent="0.15">
      <c r="A750" t="s">
        <v>72</v>
      </c>
      <c r="B750" t="s">
        <v>13470</v>
      </c>
      <c r="C750" t="s">
        <v>74</v>
      </c>
      <c r="D750" t="s">
        <v>74</v>
      </c>
      <c r="E750" t="s">
        <v>74</v>
      </c>
      <c r="F750" t="s">
        <v>13471</v>
      </c>
      <c r="G750" t="s">
        <v>74</v>
      </c>
      <c r="H750" t="s">
        <v>74</v>
      </c>
      <c r="I750" t="s">
        <v>13472</v>
      </c>
      <c r="J750" t="s">
        <v>13473</v>
      </c>
      <c r="K750" t="s">
        <v>74</v>
      </c>
      <c r="L750" t="s">
        <v>74</v>
      </c>
      <c r="M750" t="s">
        <v>78</v>
      </c>
      <c r="N750" t="s">
        <v>5492</v>
      </c>
      <c r="O750" t="s">
        <v>74</v>
      </c>
      <c r="P750" t="s">
        <v>74</v>
      </c>
      <c r="Q750" t="s">
        <v>74</v>
      </c>
      <c r="R750" t="s">
        <v>74</v>
      </c>
      <c r="S750" t="s">
        <v>74</v>
      </c>
      <c r="T750" t="s">
        <v>13474</v>
      </c>
      <c r="U750" t="s">
        <v>13475</v>
      </c>
      <c r="V750" t="s">
        <v>13476</v>
      </c>
      <c r="W750" t="s">
        <v>13477</v>
      </c>
      <c r="X750" t="s">
        <v>13478</v>
      </c>
      <c r="Y750" t="s">
        <v>13479</v>
      </c>
      <c r="Z750" t="s">
        <v>13480</v>
      </c>
      <c r="AA750" t="s">
        <v>13481</v>
      </c>
      <c r="AB750" t="s">
        <v>13482</v>
      </c>
      <c r="AC750" t="s">
        <v>74</v>
      </c>
      <c r="AD750" t="s">
        <v>74</v>
      </c>
      <c r="AE750" t="s">
        <v>74</v>
      </c>
      <c r="AF750" t="s">
        <v>74</v>
      </c>
      <c r="AG750">
        <v>68</v>
      </c>
      <c r="AH750">
        <v>0</v>
      </c>
      <c r="AI750">
        <v>0</v>
      </c>
      <c r="AJ750">
        <v>2</v>
      </c>
      <c r="AK750">
        <v>2</v>
      </c>
      <c r="AL750" t="s">
        <v>184</v>
      </c>
      <c r="AM750" t="s">
        <v>185</v>
      </c>
      <c r="AN750" t="s">
        <v>186</v>
      </c>
      <c r="AO750" t="s">
        <v>13483</v>
      </c>
      <c r="AP750" t="s">
        <v>13484</v>
      </c>
      <c r="AQ750" t="s">
        <v>74</v>
      </c>
      <c r="AR750" t="s">
        <v>13485</v>
      </c>
      <c r="AS750" t="s">
        <v>13486</v>
      </c>
      <c r="AT750" t="s">
        <v>13447</v>
      </c>
      <c r="AU750">
        <v>2023</v>
      </c>
      <c r="AV750" t="s">
        <v>74</v>
      </c>
      <c r="AW750" t="s">
        <v>74</v>
      </c>
      <c r="AX750" t="s">
        <v>74</v>
      </c>
      <c r="AY750" t="s">
        <v>74</v>
      </c>
      <c r="AZ750" t="s">
        <v>74</v>
      </c>
      <c r="BA750" t="s">
        <v>74</v>
      </c>
      <c r="BB750" t="s">
        <v>74</v>
      </c>
      <c r="BC750" t="s">
        <v>74</v>
      </c>
      <c r="BD750" t="s">
        <v>74</v>
      </c>
      <c r="BE750" t="s">
        <v>13487</v>
      </c>
      <c r="BF750" t="str">
        <f>HYPERLINK("http://dx.doi.org/10.1080/13657305.2023.2239184","http://dx.doi.org/10.1080/13657305.2023.2239184")</f>
        <v>http://dx.doi.org/10.1080/13657305.2023.2239184</v>
      </c>
      <c r="BG750" t="s">
        <v>74</v>
      </c>
      <c r="BH750" t="s">
        <v>12687</v>
      </c>
      <c r="BI750">
        <v>24</v>
      </c>
      <c r="BJ750" t="s">
        <v>13488</v>
      </c>
      <c r="BK750" t="s">
        <v>102</v>
      </c>
      <c r="BL750" t="s">
        <v>13489</v>
      </c>
      <c r="BM750" t="s">
        <v>13490</v>
      </c>
      <c r="BN750" t="s">
        <v>74</v>
      </c>
      <c r="BO750" t="s">
        <v>74</v>
      </c>
      <c r="BP750" t="s">
        <v>74</v>
      </c>
      <c r="BQ750" t="s">
        <v>74</v>
      </c>
      <c r="BR750" t="s">
        <v>105</v>
      </c>
      <c r="BS750" t="s">
        <v>13491</v>
      </c>
      <c r="BT750" t="str">
        <f>HYPERLINK("https%3A%2F%2Fwww.webofscience.com%2Fwos%2Fwoscc%2Ffull-record%2FWOS:001037840200001","View Full Record in Web of Science")</f>
        <v>View Full Record in Web of Science</v>
      </c>
    </row>
    <row r="751" spans="1:72" x14ac:dyDescent="0.15">
      <c r="A751" t="s">
        <v>72</v>
      </c>
      <c r="B751" t="s">
        <v>13492</v>
      </c>
      <c r="C751" t="s">
        <v>74</v>
      </c>
      <c r="D751" t="s">
        <v>74</v>
      </c>
      <c r="E751" t="s">
        <v>74</v>
      </c>
      <c r="F751" t="s">
        <v>13493</v>
      </c>
      <c r="G751" t="s">
        <v>74</v>
      </c>
      <c r="H751" t="s">
        <v>74</v>
      </c>
      <c r="I751" t="s">
        <v>13494</v>
      </c>
      <c r="J751" t="s">
        <v>13334</v>
      </c>
      <c r="K751" t="s">
        <v>74</v>
      </c>
      <c r="L751" t="s">
        <v>74</v>
      </c>
      <c r="M751" t="s">
        <v>78</v>
      </c>
      <c r="N751" t="s">
        <v>79</v>
      </c>
      <c r="O751" t="s">
        <v>74</v>
      </c>
      <c r="P751" t="s">
        <v>74</v>
      </c>
      <c r="Q751" t="s">
        <v>74</v>
      </c>
      <c r="R751" t="s">
        <v>74</v>
      </c>
      <c r="S751" t="s">
        <v>74</v>
      </c>
      <c r="T751" t="s">
        <v>13495</v>
      </c>
      <c r="U751" t="s">
        <v>13496</v>
      </c>
      <c r="V751" t="s">
        <v>13497</v>
      </c>
      <c r="W751" t="s">
        <v>13498</v>
      </c>
      <c r="X751" t="s">
        <v>13499</v>
      </c>
      <c r="Y751" t="s">
        <v>13500</v>
      </c>
      <c r="Z751" t="s">
        <v>13501</v>
      </c>
      <c r="AA751" t="s">
        <v>74</v>
      </c>
      <c r="AB751" t="s">
        <v>13502</v>
      </c>
      <c r="AC751" t="s">
        <v>74</v>
      </c>
      <c r="AD751" t="s">
        <v>74</v>
      </c>
      <c r="AE751" t="s">
        <v>74</v>
      </c>
      <c r="AF751" t="s">
        <v>74</v>
      </c>
      <c r="AG751">
        <v>42</v>
      </c>
      <c r="AH751">
        <v>0</v>
      </c>
      <c r="AI751">
        <v>0</v>
      </c>
      <c r="AJ751">
        <v>3</v>
      </c>
      <c r="AK751">
        <v>3</v>
      </c>
      <c r="AL751" t="s">
        <v>92</v>
      </c>
      <c r="AM751" t="s">
        <v>93</v>
      </c>
      <c r="AN751" t="s">
        <v>94</v>
      </c>
      <c r="AO751" t="s">
        <v>13345</v>
      </c>
      <c r="AP751" t="s">
        <v>13346</v>
      </c>
      <c r="AQ751" t="s">
        <v>74</v>
      </c>
      <c r="AR751" t="s">
        <v>13347</v>
      </c>
      <c r="AS751" t="s">
        <v>13348</v>
      </c>
      <c r="AT751" t="s">
        <v>7946</v>
      </c>
      <c r="AU751">
        <v>2023</v>
      </c>
      <c r="AV751">
        <v>37</v>
      </c>
      <c r="AW751">
        <v>9</v>
      </c>
      <c r="AX751" t="s">
        <v>74</v>
      </c>
      <c r="AY751" t="s">
        <v>74</v>
      </c>
      <c r="AZ751" t="s">
        <v>74</v>
      </c>
      <c r="BA751" t="s">
        <v>74</v>
      </c>
      <c r="BB751">
        <v>1998</v>
      </c>
      <c r="BC751">
        <v>2019</v>
      </c>
      <c r="BD751" t="s">
        <v>74</v>
      </c>
      <c r="BE751" t="s">
        <v>13503</v>
      </c>
      <c r="BF751" t="str">
        <f>HYPERLINK("http://dx.doi.org/10.1080/13658816.2023.2239307","http://dx.doi.org/10.1080/13658816.2023.2239307")</f>
        <v>http://dx.doi.org/10.1080/13658816.2023.2239307</v>
      </c>
      <c r="BG751" t="s">
        <v>74</v>
      </c>
      <c r="BH751" t="s">
        <v>12687</v>
      </c>
      <c r="BI751">
        <v>22</v>
      </c>
      <c r="BJ751" t="s">
        <v>13350</v>
      </c>
      <c r="BK751" t="s">
        <v>123</v>
      </c>
      <c r="BL751" t="s">
        <v>13351</v>
      </c>
      <c r="BM751" t="s">
        <v>13352</v>
      </c>
      <c r="BN751" t="s">
        <v>74</v>
      </c>
      <c r="BO751" t="s">
        <v>74</v>
      </c>
      <c r="BP751" t="s">
        <v>74</v>
      </c>
      <c r="BQ751" t="s">
        <v>74</v>
      </c>
      <c r="BR751" t="s">
        <v>105</v>
      </c>
      <c r="BS751" t="s">
        <v>13504</v>
      </c>
      <c r="BT751" t="str">
        <f>HYPERLINK("https%3A%2F%2Fwww.webofscience.com%2Fwos%2Fwoscc%2Ffull-record%2FWOS:001032855600001","View Full Record in Web of Science")</f>
        <v>View Full Record in Web of Science</v>
      </c>
    </row>
    <row r="752" spans="1:72" x14ac:dyDescent="0.15">
      <c r="A752" t="s">
        <v>72</v>
      </c>
      <c r="B752" t="s">
        <v>13505</v>
      </c>
      <c r="C752" t="s">
        <v>74</v>
      </c>
      <c r="D752" t="s">
        <v>74</v>
      </c>
      <c r="E752" t="s">
        <v>74</v>
      </c>
      <c r="F752" t="s">
        <v>13506</v>
      </c>
      <c r="G752" t="s">
        <v>74</v>
      </c>
      <c r="H752" t="s">
        <v>74</v>
      </c>
      <c r="I752" t="s">
        <v>13507</v>
      </c>
      <c r="J752" t="s">
        <v>13508</v>
      </c>
      <c r="K752" t="s">
        <v>74</v>
      </c>
      <c r="L752" t="s">
        <v>74</v>
      </c>
      <c r="M752" t="s">
        <v>78</v>
      </c>
      <c r="N752" t="s">
        <v>5492</v>
      </c>
      <c r="O752" t="s">
        <v>74</v>
      </c>
      <c r="P752" t="s">
        <v>74</v>
      </c>
      <c r="Q752" t="s">
        <v>74</v>
      </c>
      <c r="R752" t="s">
        <v>74</v>
      </c>
      <c r="S752" t="s">
        <v>74</v>
      </c>
      <c r="T752" t="s">
        <v>13509</v>
      </c>
      <c r="U752" t="s">
        <v>13510</v>
      </c>
      <c r="V752" t="s">
        <v>13511</v>
      </c>
      <c r="W752" t="s">
        <v>13512</v>
      </c>
      <c r="X752" t="s">
        <v>13513</v>
      </c>
      <c r="Y752" t="s">
        <v>13514</v>
      </c>
      <c r="Z752" t="s">
        <v>13515</v>
      </c>
      <c r="AA752" t="s">
        <v>13516</v>
      </c>
      <c r="AB752" t="s">
        <v>13517</v>
      </c>
      <c r="AC752" t="s">
        <v>74</v>
      </c>
      <c r="AD752" t="s">
        <v>74</v>
      </c>
      <c r="AE752" t="s">
        <v>74</v>
      </c>
      <c r="AF752" t="s">
        <v>74</v>
      </c>
      <c r="AG752">
        <v>28</v>
      </c>
      <c r="AH752">
        <v>0</v>
      </c>
      <c r="AI752">
        <v>0</v>
      </c>
      <c r="AJ752">
        <v>0</v>
      </c>
      <c r="AK752">
        <v>0</v>
      </c>
      <c r="AL752" t="s">
        <v>1188</v>
      </c>
      <c r="AM752" t="s">
        <v>93</v>
      </c>
      <c r="AN752" t="s">
        <v>1189</v>
      </c>
      <c r="AO752" t="s">
        <v>13518</v>
      </c>
      <c r="AP752" t="s">
        <v>13519</v>
      </c>
      <c r="AQ752" t="s">
        <v>74</v>
      </c>
      <c r="AR752" t="s">
        <v>13520</v>
      </c>
      <c r="AS752" t="s">
        <v>13521</v>
      </c>
      <c r="AT752" t="s">
        <v>13447</v>
      </c>
      <c r="AU752">
        <v>2023</v>
      </c>
      <c r="AV752" t="s">
        <v>74</v>
      </c>
      <c r="AW752" t="s">
        <v>74</v>
      </c>
      <c r="AX752" t="s">
        <v>74</v>
      </c>
      <c r="AY752" t="s">
        <v>74</v>
      </c>
      <c r="AZ752" t="s">
        <v>74</v>
      </c>
      <c r="BA752" t="s">
        <v>74</v>
      </c>
      <c r="BB752" t="s">
        <v>74</v>
      </c>
      <c r="BC752" t="s">
        <v>74</v>
      </c>
      <c r="BD752" t="s">
        <v>74</v>
      </c>
      <c r="BE752" t="s">
        <v>13522</v>
      </c>
      <c r="BF752" t="str">
        <f>HYPERLINK("http://dx.doi.org/10.1080/00987913.2023.2235665","http://dx.doi.org/10.1080/00987913.2023.2235665")</f>
        <v>http://dx.doi.org/10.1080/00987913.2023.2235665</v>
      </c>
      <c r="BG752" t="s">
        <v>74</v>
      </c>
      <c r="BH752" t="s">
        <v>12687</v>
      </c>
      <c r="BI752">
        <v>15</v>
      </c>
      <c r="BJ752" t="s">
        <v>13523</v>
      </c>
      <c r="BK752" t="s">
        <v>272</v>
      </c>
      <c r="BL752" t="s">
        <v>13523</v>
      </c>
      <c r="BM752" t="s">
        <v>13524</v>
      </c>
      <c r="BN752" t="s">
        <v>74</v>
      </c>
      <c r="BO752" t="s">
        <v>74</v>
      </c>
      <c r="BP752" t="s">
        <v>74</v>
      </c>
      <c r="BQ752" t="s">
        <v>74</v>
      </c>
      <c r="BR752" t="s">
        <v>105</v>
      </c>
      <c r="BS752" t="s">
        <v>13525</v>
      </c>
      <c r="BT752" t="str">
        <f>HYPERLINK("https%3A%2F%2Fwww.webofscience.com%2Fwos%2Fwoscc%2Ffull-record%2FWOS:001032844600001","View Full Record in Web of Science")</f>
        <v>View Full Record in Web of Science</v>
      </c>
    </row>
    <row r="753" spans="1:72" x14ac:dyDescent="0.15">
      <c r="A753" t="s">
        <v>72</v>
      </c>
      <c r="B753" t="s">
        <v>13526</v>
      </c>
      <c r="C753" t="s">
        <v>74</v>
      </c>
      <c r="D753" t="s">
        <v>74</v>
      </c>
      <c r="E753" t="s">
        <v>74</v>
      </c>
      <c r="F753" t="s">
        <v>13527</v>
      </c>
      <c r="G753" t="s">
        <v>74</v>
      </c>
      <c r="H753" t="s">
        <v>74</v>
      </c>
      <c r="I753" t="s">
        <v>13528</v>
      </c>
      <c r="J753" t="s">
        <v>7632</v>
      </c>
      <c r="K753" t="s">
        <v>74</v>
      </c>
      <c r="L753" t="s">
        <v>74</v>
      </c>
      <c r="M753" t="s">
        <v>78</v>
      </c>
      <c r="N753" t="s">
        <v>5492</v>
      </c>
      <c r="O753" t="s">
        <v>74</v>
      </c>
      <c r="P753" t="s">
        <v>74</v>
      </c>
      <c r="Q753" t="s">
        <v>74</v>
      </c>
      <c r="R753" t="s">
        <v>74</v>
      </c>
      <c r="S753" t="s">
        <v>74</v>
      </c>
      <c r="T753" t="s">
        <v>13529</v>
      </c>
      <c r="U753" t="s">
        <v>13530</v>
      </c>
      <c r="V753" t="s">
        <v>13531</v>
      </c>
      <c r="W753" t="s">
        <v>13532</v>
      </c>
      <c r="X753" t="s">
        <v>13533</v>
      </c>
      <c r="Y753" t="s">
        <v>13534</v>
      </c>
      <c r="Z753" t="s">
        <v>13535</v>
      </c>
      <c r="AA753" t="s">
        <v>74</v>
      </c>
      <c r="AB753" t="s">
        <v>74</v>
      </c>
      <c r="AC753" t="s">
        <v>13536</v>
      </c>
      <c r="AD753" t="s">
        <v>13536</v>
      </c>
      <c r="AE753" t="s">
        <v>13537</v>
      </c>
      <c r="AF753" t="s">
        <v>74</v>
      </c>
      <c r="AG753">
        <v>54</v>
      </c>
      <c r="AH753">
        <v>0</v>
      </c>
      <c r="AI753">
        <v>0</v>
      </c>
      <c r="AJ753">
        <v>1</v>
      </c>
      <c r="AK753">
        <v>1</v>
      </c>
      <c r="AL753" t="s">
        <v>184</v>
      </c>
      <c r="AM753" t="s">
        <v>185</v>
      </c>
      <c r="AN753" t="s">
        <v>186</v>
      </c>
      <c r="AO753" t="s">
        <v>7642</v>
      </c>
      <c r="AP753" t="s">
        <v>7643</v>
      </c>
      <c r="AQ753" t="s">
        <v>74</v>
      </c>
      <c r="AR753" t="s">
        <v>7644</v>
      </c>
      <c r="AS753" t="s">
        <v>7645</v>
      </c>
      <c r="AT753" t="s">
        <v>13538</v>
      </c>
      <c r="AU753">
        <v>2023</v>
      </c>
      <c r="AV753" t="s">
        <v>74</v>
      </c>
      <c r="AW753" t="s">
        <v>74</v>
      </c>
      <c r="AX753" t="s">
        <v>74</v>
      </c>
      <c r="AY753" t="s">
        <v>74</v>
      </c>
      <c r="AZ753" t="s">
        <v>74</v>
      </c>
      <c r="BA753" t="s">
        <v>74</v>
      </c>
      <c r="BB753" t="s">
        <v>74</v>
      </c>
      <c r="BC753" t="s">
        <v>74</v>
      </c>
      <c r="BD753" t="s">
        <v>74</v>
      </c>
      <c r="BE753" t="s">
        <v>13539</v>
      </c>
      <c r="BF753" t="str">
        <f>HYPERLINK("http://dx.doi.org/10.1080/07391102.2023.2238062","http://dx.doi.org/10.1080/07391102.2023.2238062")</f>
        <v>http://dx.doi.org/10.1080/07391102.2023.2238062</v>
      </c>
      <c r="BG753" t="s">
        <v>74</v>
      </c>
      <c r="BH753" t="s">
        <v>12687</v>
      </c>
      <c r="BI753">
        <v>16</v>
      </c>
      <c r="BJ753" t="s">
        <v>7647</v>
      </c>
      <c r="BK753" t="s">
        <v>102</v>
      </c>
      <c r="BL753" t="s">
        <v>7647</v>
      </c>
      <c r="BM753" t="s">
        <v>13540</v>
      </c>
      <c r="BN753">
        <v>37498130</v>
      </c>
      <c r="BO753" t="s">
        <v>5486</v>
      </c>
      <c r="BP753" t="s">
        <v>74</v>
      </c>
      <c r="BQ753" t="s">
        <v>74</v>
      </c>
      <c r="BR753" t="s">
        <v>105</v>
      </c>
      <c r="BS753" t="s">
        <v>13541</v>
      </c>
      <c r="BT753" t="str">
        <f>HYPERLINK("https%3A%2F%2Fwww.webofscience.com%2Fwos%2Fwoscc%2Ffull-record%2FWOS:001038812900001","View Full Record in Web of Science")</f>
        <v>View Full Record in Web of Science</v>
      </c>
    </row>
    <row r="754" spans="1:72" x14ac:dyDescent="0.15">
      <c r="A754" t="s">
        <v>72</v>
      </c>
      <c r="B754" t="s">
        <v>13542</v>
      </c>
      <c r="C754" t="s">
        <v>74</v>
      </c>
      <c r="D754" t="s">
        <v>74</v>
      </c>
      <c r="E754" t="s">
        <v>74</v>
      </c>
      <c r="F754" t="s">
        <v>13543</v>
      </c>
      <c r="G754" t="s">
        <v>74</v>
      </c>
      <c r="H754" t="s">
        <v>74</v>
      </c>
      <c r="I754" t="s">
        <v>13544</v>
      </c>
      <c r="J754" t="s">
        <v>7632</v>
      </c>
      <c r="K754" t="s">
        <v>74</v>
      </c>
      <c r="L754" t="s">
        <v>74</v>
      </c>
      <c r="M754" t="s">
        <v>78</v>
      </c>
      <c r="N754" t="s">
        <v>5492</v>
      </c>
      <c r="O754" t="s">
        <v>74</v>
      </c>
      <c r="P754" t="s">
        <v>74</v>
      </c>
      <c r="Q754" t="s">
        <v>74</v>
      </c>
      <c r="R754" t="s">
        <v>74</v>
      </c>
      <c r="S754" t="s">
        <v>74</v>
      </c>
      <c r="T754" t="s">
        <v>13545</v>
      </c>
      <c r="U754" t="s">
        <v>13546</v>
      </c>
      <c r="V754" t="s">
        <v>13547</v>
      </c>
      <c r="W754" t="s">
        <v>13548</v>
      </c>
      <c r="X754" t="s">
        <v>13549</v>
      </c>
      <c r="Y754" t="s">
        <v>13550</v>
      </c>
      <c r="Z754" t="s">
        <v>13551</v>
      </c>
      <c r="AA754" t="s">
        <v>13552</v>
      </c>
      <c r="AB754" t="s">
        <v>13553</v>
      </c>
      <c r="AC754" t="s">
        <v>74</v>
      </c>
      <c r="AD754" t="s">
        <v>74</v>
      </c>
      <c r="AE754" t="s">
        <v>74</v>
      </c>
      <c r="AF754" t="s">
        <v>74</v>
      </c>
      <c r="AG754">
        <v>48</v>
      </c>
      <c r="AH754">
        <v>0</v>
      </c>
      <c r="AI754">
        <v>0</v>
      </c>
      <c r="AJ754">
        <v>1</v>
      </c>
      <c r="AK754">
        <v>1</v>
      </c>
      <c r="AL754" t="s">
        <v>184</v>
      </c>
      <c r="AM754" t="s">
        <v>185</v>
      </c>
      <c r="AN754" t="s">
        <v>186</v>
      </c>
      <c r="AO754" t="s">
        <v>7642</v>
      </c>
      <c r="AP754" t="s">
        <v>7643</v>
      </c>
      <c r="AQ754" t="s">
        <v>74</v>
      </c>
      <c r="AR754" t="s">
        <v>7644</v>
      </c>
      <c r="AS754" t="s">
        <v>7645</v>
      </c>
      <c r="AT754" t="s">
        <v>13538</v>
      </c>
      <c r="AU754">
        <v>2023</v>
      </c>
      <c r="AV754" t="s">
        <v>74</v>
      </c>
      <c r="AW754" t="s">
        <v>74</v>
      </c>
      <c r="AX754" t="s">
        <v>74</v>
      </c>
      <c r="AY754" t="s">
        <v>74</v>
      </c>
      <c r="AZ754" t="s">
        <v>74</v>
      </c>
      <c r="BA754" t="s">
        <v>74</v>
      </c>
      <c r="BB754" t="s">
        <v>74</v>
      </c>
      <c r="BC754" t="s">
        <v>74</v>
      </c>
      <c r="BD754" t="s">
        <v>74</v>
      </c>
      <c r="BE754" t="s">
        <v>13554</v>
      </c>
      <c r="BF754" t="str">
        <f>HYPERLINK("http://dx.doi.org/10.1080/07391102.2023.2239912","http://dx.doi.org/10.1080/07391102.2023.2239912")</f>
        <v>http://dx.doi.org/10.1080/07391102.2023.2239912</v>
      </c>
      <c r="BG754" t="s">
        <v>74</v>
      </c>
      <c r="BH754" t="s">
        <v>12687</v>
      </c>
      <c r="BI754">
        <v>17</v>
      </c>
      <c r="BJ754" t="s">
        <v>7647</v>
      </c>
      <c r="BK754" t="s">
        <v>102</v>
      </c>
      <c r="BL754" t="s">
        <v>7647</v>
      </c>
      <c r="BM754" t="s">
        <v>13555</v>
      </c>
      <c r="BN754">
        <v>37529915</v>
      </c>
      <c r="BO754" t="s">
        <v>5486</v>
      </c>
      <c r="BP754" t="s">
        <v>74</v>
      </c>
      <c r="BQ754" t="s">
        <v>74</v>
      </c>
      <c r="BR754" t="s">
        <v>105</v>
      </c>
      <c r="BS754" t="s">
        <v>13556</v>
      </c>
      <c r="BT754" t="str">
        <f>HYPERLINK("https%3A%2F%2Fwww.webofscience.com%2Fwos%2Fwoscc%2Ffull-record%2FWOS:001039624700001","View Full Record in Web of Science")</f>
        <v>View Full Record in Web of Science</v>
      </c>
    </row>
    <row r="755" spans="1:72" x14ac:dyDescent="0.15">
      <c r="A755" t="s">
        <v>72</v>
      </c>
      <c r="B755" t="s">
        <v>13557</v>
      </c>
      <c r="C755" t="s">
        <v>74</v>
      </c>
      <c r="D755" t="s">
        <v>74</v>
      </c>
      <c r="E755" t="s">
        <v>74</v>
      </c>
      <c r="F755" t="s">
        <v>13558</v>
      </c>
      <c r="G755" t="s">
        <v>74</v>
      </c>
      <c r="H755" t="s">
        <v>74</v>
      </c>
      <c r="I755" t="s">
        <v>13559</v>
      </c>
      <c r="J755" t="s">
        <v>13560</v>
      </c>
      <c r="K755" t="s">
        <v>74</v>
      </c>
      <c r="L755" t="s">
        <v>74</v>
      </c>
      <c r="M755" t="s">
        <v>78</v>
      </c>
      <c r="N755" t="s">
        <v>6754</v>
      </c>
      <c r="O755" t="s">
        <v>74</v>
      </c>
      <c r="P755" t="s">
        <v>74</v>
      </c>
      <c r="Q755" t="s">
        <v>74</v>
      </c>
      <c r="R755" t="s">
        <v>74</v>
      </c>
      <c r="S755" t="s">
        <v>74</v>
      </c>
      <c r="T755" t="s">
        <v>13561</v>
      </c>
      <c r="U755" t="s">
        <v>13562</v>
      </c>
      <c r="V755" t="s">
        <v>13563</v>
      </c>
      <c r="W755" t="s">
        <v>13564</v>
      </c>
      <c r="X755" t="s">
        <v>13565</v>
      </c>
      <c r="Y755" t="s">
        <v>13566</v>
      </c>
      <c r="Z755" t="s">
        <v>13567</v>
      </c>
      <c r="AA755" t="s">
        <v>13568</v>
      </c>
      <c r="AB755" t="s">
        <v>13569</v>
      </c>
      <c r="AC755" t="s">
        <v>74</v>
      </c>
      <c r="AD755" t="s">
        <v>74</v>
      </c>
      <c r="AE755" t="s">
        <v>74</v>
      </c>
      <c r="AF755" t="s">
        <v>74</v>
      </c>
      <c r="AG755">
        <v>38</v>
      </c>
      <c r="AH755">
        <v>0</v>
      </c>
      <c r="AI755">
        <v>0</v>
      </c>
      <c r="AJ755">
        <v>0</v>
      </c>
      <c r="AK755">
        <v>0</v>
      </c>
      <c r="AL755" t="s">
        <v>92</v>
      </c>
      <c r="AM755" t="s">
        <v>93</v>
      </c>
      <c r="AN755" t="s">
        <v>94</v>
      </c>
      <c r="AO755" t="s">
        <v>13570</v>
      </c>
      <c r="AP755" t="s">
        <v>13571</v>
      </c>
      <c r="AQ755" t="s">
        <v>74</v>
      </c>
      <c r="AR755" t="s">
        <v>13572</v>
      </c>
      <c r="AS755" t="s">
        <v>13573</v>
      </c>
      <c r="AT755" t="s">
        <v>13538</v>
      </c>
      <c r="AU755">
        <v>2023</v>
      </c>
      <c r="AV755" t="s">
        <v>74</v>
      </c>
      <c r="AW755" t="s">
        <v>74</v>
      </c>
      <c r="AX755" t="s">
        <v>74</v>
      </c>
      <c r="AY755" t="s">
        <v>74</v>
      </c>
      <c r="AZ755" t="s">
        <v>74</v>
      </c>
      <c r="BA755" t="s">
        <v>74</v>
      </c>
      <c r="BB755" t="s">
        <v>74</v>
      </c>
      <c r="BC755" t="s">
        <v>74</v>
      </c>
      <c r="BD755" t="s">
        <v>74</v>
      </c>
      <c r="BE755" t="s">
        <v>13574</v>
      </c>
      <c r="BF755" t="str">
        <f>HYPERLINK("http://dx.doi.org/10.1080/17549507.2023.2205061","http://dx.doi.org/10.1080/17549507.2023.2205061")</f>
        <v>http://dx.doi.org/10.1080/17549507.2023.2205061</v>
      </c>
      <c r="BG755" t="s">
        <v>74</v>
      </c>
      <c r="BH755" t="s">
        <v>12687</v>
      </c>
      <c r="BI755">
        <v>13</v>
      </c>
      <c r="BJ755" t="s">
        <v>13575</v>
      </c>
      <c r="BK755" t="s">
        <v>123</v>
      </c>
      <c r="BL755" t="s">
        <v>13575</v>
      </c>
      <c r="BM755" t="s">
        <v>13576</v>
      </c>
      <c r="BN755">
        <v>37490012</v>
      </c>
      <c r="BO755" t="s">
        <v>74</v>
      </c>
      <c r="BP755" t="s">
        <v>74</v>
      </c>
      <c r="BQ755" t="s">
        <v>74</v>
      </c>
      <c r="BR755" t="s">
        <v>105</v>
      </c>
      <c r="BS755" t="s">
        <v>13577</v>
      </c>
      <c r="BT755" t="str">
        <f>HYPERLINK("https%3A%2F%2Fwww.webofscience.com%2Fwos%2Fwoscc%2Ffull-record%2FWOS:001032836900001","View Full Record in Web of Science")</f>
        <v>View Full Record in Web of Science</v>
      </c>
    </row>
    <row r="756" spans="1:72" x14ac:dyDescent="0.15">
      <c r="A756" t="s">
        <v>72</v>
      </c>
      <c r="B756" t="s">
        <v>13578</v>
      </c>
      <c r="C756" t="s">
        <v>74</v>
      </c>
      <c r="D756" t="s">
        <v>74</v>
      </c>
      <c r="E756" t="s">
        <v>74</v>
      </c>
      <c r="F756" t="s">
        <v>13579</v>
      </c>
      <c r="G756" t="s">
        <v>74</v>
      </c>
      <c r="H756" t="s">
        <v>74</v>
      </c>
      <c r="I756" t="s">
        <v>13580</v>
      </c>
      <c r="J756" t="s">
        <v>6587</v>
      </c>
      <c r="K756" t="s">
        <v>74</v>
      </c>
      <c r="L756" t="s">
        <v>74</v>
      </c>
      <c r="M756" t="s">
        <v>78</v>
      </c>
      <c r="N756" t="s">
        <v>5492</v>
      </c>
      <c r="O756" t="s">
        <v>74</v>
      </c>
      <c r="P756" t="s">
        <v>74</v>
      </c>
      <c r="Q756" t="s">
        <v>74</v>
      </c>
      <c r="R756" t="s">
        <v>74</v>
      </c>
      <c r="S756" t="s">
        <v>74</v>
      </c>
      <c r="T756" t="s">
        <v>13581</v>
      </c>
      <c r="U756" t="s">
        <v>13582</v>
      </c>
      <c r="V756" t="s">
        <v>13583</v>
      </c>
      <c r="W756" t="s">
        <v>13584</v>
      </c>
      <c r="X756" t="s">
        <v>13585</v>
      </c>
      <c r="Y756" t="s">
        <v>13586</v>
      </c>
      <c r="Z756" t="s">
        <v>13587</v>
      </c>
      <c r="AA756" t="s">
        <v>74</v>
      </c>
      <c r="AB756" t="s">
        <v>74</v>
      </c>
      <c r="AC756" t="s">
        <v>74</v>
      </c>
      <c r="AD756" t="s">
        <v>74</v>
      </c>
      <c r="AE756" t="s">
        <v>74</v>
      </c>
      <c r="AF756" t="s">
        <v>74</v>
      </c>
      <c r="AG756">
        <v>101</v>
      </c>
      <c r="AH756">
        <v>0</v>
      </c>
      <c r="AI756">
        <v>0</v>
      </c>
      <c r="AJ756">
        <v>1</v>
      </c>
      <c r="AK756">
        <v>1</v>
      </c>
      <c r="AL756" t="s">
        <v>92</v>
      </c>
      <c r="AM756" t="s">
        <v>93</v>
      </c>
      <c r="AN756" t="s">
        <v>94</v>
      </c>
      <c r="AO756" t="s">
        <v>6598</v>
      </c>
      <c r="AP756" t="s">
        <v>6599</v>
      </c>
      <c r="AQ756" t="s">
        <v>74</v>
      </c>
      <c r="AR756" t="s">
        <v>6600</v>
      </c>
      <c r="AS756" t="s">
        <v>6601</v>
      </c>
      <c r="AT756" t="s">
        <v>13538</v>
      </c>
      <c r="AU756">
        <v>2023</v>
      </c>
      <c r="AV756" t="s">
        <v>74</v>
      </c>
      <c r="AW756" t="s">
        <v>74</v>
      </c>
      <c r="AX756" t="s">
        <v>74</v>
      </c>
      <c r="AY756" t="s">
        <v>74</v>
      </c>
      <c r="AZ756" t="s">
        <v>74</v>
      </c>
      <c r="BA756" t="s">
        <v>74</v>
      </c>
      <c r="BB756" t="s">
        <v>74</v>
      </c>
      <c r="BC756" t="s">
        <v>74</v>
      </c>
      <c r="BD756" t="s">
        <v>74</v>
      </c>
      <c r="BE756" t="s">
        <v>13588</v>
      </c>
      <c r="BF756" t="str">
        <f>HYPERLINK("http://dx.doi.org/10.1080/14498596.2023.2226672","http://dx.doi.org/10.1080/14498596.2023.2226672")</f>
        <v>http://dx.doi.org/10.1080/14498596.2023.2226672</v>
      </c>
      <c r="BG756" t="s">
        <v>74</v>
      </c>
      <c r="BH756" t="s">
        <v>12687</v>
      </c>
      <c r="BI756">
        <v>21</v>
      </c>
      <c r="BJ756" t="s">
        <v>542</v>
      </c>
      <c r="BK756" t="s">
        <v>102</v>
      </c>
      <c r="BL756" t="s">
        <v>543</v>
      </c>
      <c r="BM756" t="s">
        <v>13589</v>
      </c>
      <c r="BN756" t="s">
        <v>74</v>
      </c>
      <c r="BO756" t="s">
        <v>74</v>
      </c>
      <c r="BP756" t="s">
        <v>74</v>
      </c>
      <c r="BQ756" t="s">
        <v>74</v>
      </c>
      <c r="BR756" t="s">
        <v>105</v>
      </c>
      <c r="BS756" t="s">
        <v>13590</v>
      </c>
      <c r="BT756" t="str">
        <f>HYPERLINK("https%3A%2F%2Fwww.webofscience.com%2Fwos%2Fwoscc%2Ffull-record%2FWOS:001034386800001","View Full Record in Web of Science")</f>
        <v>View Full Record in Web of Science</v>
      </c>
    </row>
    <row r="757" spans="1:72" x14ac:dyDescent="0.15">
      <c r="A757" t="s">
        <v>72</v>
      </c>
      <c r="B757" t="s">
        <v>13591</v>
      </c>
      <c r="C757" t="s">
        <v>74</v>
      </c>
      <c r="D757" t="s">
        <v>74</v>
      </c>
      <c r="E757" t="s">
        <v>74</v>
      </c>
      <c r="F757" t="s">
        <v>13592</v>
      </c>
      <c r="G757" t="s">
        <v>74</v>
      </c>
      <c r="H757" t="s">
        <v>74</v>
      </c>
      <c r="I757" t="s">
        <v>13593</v>
      </c>
      <c r="J757" t="s">
        <v>9267</v>
      </c>
      <c r="K757" t="s">
        <v>74</v>
      </c>
      <c r="L757" t="s">
        <v>74</v>
      </c>
      <c r="M757" t="s">
        <v>78</v>
      </c>
      <c r="N757" t="s">
        <v>9926</v>
      </c>
      <c r="O757" t="s">
        <v>74</v>
      </c>
      <c r="P757" t="s">
        <v>74</v>
      </c>
      <c r="Q757" t="s">
        <v>74</v>
      </c>
      <c r="R757" t="s">
        <v>74</v>
      </c>
      <c r="S757" t="s">
        <v>74</v>
      </c>
      <c r="T757" t="s">
        <v>74</v>
      </c>
      <c r="U757" t="s">
        <v>74</v>
      </c>
      <c r="V757" t="s">
        <v>74</v>
      </c>
      <c r="W757" t="s">
        <v>74</v>
      </c>
      <c r="X757" t="s">
        <v>74</v>
      </c>
      <c r="Y757" t="s">
        <v>74</v>
      </c>
      <c r="Z757" t="s">
        <v>74</v>
      </c>
      <c r="AA757" t="s">
        <v>74</v>
      </c>
      <c r="AB757" t="s">
        <v>74</v>
      </c>
      <c r="AC757" t="s">
        <v>74</v>
      </c>
      <c r="AD757" t="s">
        <v>74</v>
      </c>
      <c r="AE757" t="s">
        <v>74</v>
      </c>
      <c r="AF757" t="s">
        <v>74</v>
      </c>
      <c r="AG757">
        <v>1</v>
      </c>
      <c r="AH757">
        <v>0</v>
      </c>
      <c r="AI757">
        <v>0</v>
      </c>
      <c r="AJ757">
        <v>0</v>
      </c>
      <c r="AK757">
        <v>0</v>
      </c>
      <c r="AL757" t="s">
        <v>92</v>
      </c>
      <c r="AM757" t="s">
        <v>93</v>
      </c>
      <c r="AN757" t="s">
        <v>94</v>
      </c>
      <c r="AO757" t="s">
        <v>9278</v>
      </c>
      <c r="AP757" t="s">
        <v>9279</v>
      </c>
      <c r="AQ757" t="s">
        <v>74</v>
      </c>
      <c r="AR757" t="s">
        <v>9280</v>
      </c>
      <c r="AS757" t="s">
        <v>9281</v>
      </c>
      <c r="AT757" t="s">
        <v>13538</v>
      </c>
      <c r="AU757">
        <v>2023</v>
      </c>
      <c r="AV757" t="s">
        <v>74</v>
      </c>
      <c r="AW757" t="s">
        <v>74</v>
      </c>
      <c r="AX757" t="s">
        <v>74</v>
      </c>
      <c r="AY757" t="s">
        <v>74</v>
      </c>
      <c r="AZ757" t="s">
        <v>74</v>
      </c>
      <c r="BA757" t="s">
        <v>74</v>
      </c>
      <c r="BB757" t="s">
        <v>74</v>
      </c>
      <c r="BC757" t="s">
        <v>74</v>
      </c>
      <c r="BD757" t="s">
        <v>74</v>
      </c>
      <c r="BE757" t="s">
        <v>13594</v>
      </c>
      <c r="BF757" t="str">
        <f>HYPERLINK("http://dx.doi.org/10.1080/13588265.2023.2241001","http://dx.doi.org/10.1080/13588265.2023.2241001")</f>
        <v>http://dx.doi.org/10.1080/13588265.2023.2241001</v>
      </c>
      <c r="BG757" t="s">
        <v>74</v>
      </c>
      <c r="BH757" t="s">
        <v>12687</v>
      </c>
      <c r="BI757">
        <v>1</v>
      </c>
      <c r="BJ757" t="s">
        <v>9283</v>
      </c>
      <c r="BK757" t="s">
        <v>102</v>
      </c>
      <c r="BL757" t="s">
        <v>1095</v>
      </c>
      <c r="BM757" t="s">
        <v>13595</v>
      </c>
      <c r="BN757" t="s">
        <v>74</v>
      </c>
      <c r="BO757" t="s">
        <v>5391</v>
      </c>
      <c r="BP757" t="s">
        <v>74</v>
      </c>
      <c r="BQ757" t="s">
        <v>74</v>
      </c>
      <c r="BR757" t="s">
        <v>105</v>
      </c>
      <c r="BS757" t="s">
        <v>13596</v>
      </c>
      <c r="BT757" t="str">
        <f>HYPERLINK("https%3A%2F%2Fwww.webofscience.com%2Fwos%2Fwoscc%2Ffull-record%2FWOS:001048487000001","View Full Record in Web of Science")</f>
        <v>View Full Record in Web of Science</v>
      </c>
    </row>
    <row r="758" spans="1:72" x14ac:dyDescent="0.15">
      <c r="A758" t="s">
        <v>72</v>
      </c>
      <c r="B758" t="s">
        <v>13597</v>
      </c>
      <c r="C758" t="s">
        <v>74</v>
      </c>
      <c r="D758" t="s">
        <v>74</v>
      </c>
      <c r="E758" t="s">
        <v>74</v>
      </c>
      <c r="F758" t="s">
        <v>13598</v>
      </c>
      <c r="G758" t="s">
        <v>74</v>
      </c>
      <c r="H758" t="s">
        <v>74</v>
      </c>
      <c r="I758" t="s">
        <v>13599</v>
      </c>
      <c r="J758" t="s">
        <v>13600</v>
      </c>
      <c r="K758" t="s">
        <v>74</v>
      </c>
      <c r="L758" t="s">
        <v>74</v>
      </c>
      <c r="M758" t="s">
        <v>78</v>
      </c>
      <c r="N758" t="s">
        <v>6754</v>
      </c>
      <c r="O758" t="s">
        <v>74</v>
      </c>
      <c r="P758" t="s">
        <v>74</v>
      </c>
      <c r="Q758" t="s">
        <v>74</v>
      </c>
      <c r="R758" t="s">
        <v>74</v>
      </c>
      <c r="S758" t="s">
        <v>74</v>
      </c>
      <c r="T758" t="s">
        <v>13601</v>
      </c>
      <c r="U758" t="s">
        <v>13602</v>
      </c>
      <c r="V758" t="s">
        <v>13603</v>
      </c>
      <c r="W758" t="s">
        <v>13604</v>
      </c>
      <c r="X758" t="s">
        <v>13605</v>
      </c>
      <c r="Y758" t="s">
        <v>13606</v>
      </c>
      <c r="Z758" t="s">
        <v>13607</v>
      </c>
      <c r="AA758" t="s">
        <v>74</v>
      </c>
      <c r="AB758" t="s">
        <v>74</v>
      </c>
      <c r="AC758" t="s">
        <v>13608</v>
      </c>
      <c r="AD758" t="s">
        <v>13608</v>
      </c>
      <c r="AE758" t="s">
        <v>13609</v>
      </c>
      <c r="AF758" t="s">
        <v>74</v>
      </c>
      <c r="AG758">
        <v>129</v>
      </c>
      <c r="AH758">
        <v>0</v>
      </c>
      <c r="AI758">
        <v>0</v>
      </c>
      <c r="AJ758">
        <v>10</v>
      </c>
      <c r="AK758">
        <v>10</v>
      </c>
      <c r="AL758" t="s">
        <v>287</v>
      </c>
      <c r="AM758" t="s">
        <v>288</v>
      </c>
      <c r="AN758" t="s">
        <v>289</v>
      </c>
      <c r="AO758" t="s">
        <v>13610</v>
      </c>
      <c r="AP758" t="s">
        <v>13611</v>
      </c>
      <c r="AQ758" t="s">
        <v>74</v>
      </c>
      <c r="AR758" t="s">
        <v>13612</v>
      </c>
      <c r="AS758" t="s">
        <v>13613</v>
      </c>
      <c r="AT758" t="s">
        <v>13538</v>
      </c>
      <c r="AU758">
        <v>2023</v>
      </c>
      <c r="AV758" t="s">
        <v>74</v>
      </c>
      <c r="AW758" t="s">
        <v>74</v>
      </c>
      <c r="AX758" t="s">
        <v>74</v>
      </c>
      <c r="AY758" t="s">
        <v>74</v>
      </c>
      <c r="AZ758" t="s">
        <v>74</v>
      </c>
      <c r="BA758" t="s">
        <v>74</v>
      </c>
      <c r="BB758" t="s">
        <v>74</v>
      </c>
      <c r="BC758" t="s">
        <v>74</v>
      </c>
      <c r="BD758" t="s">
        <v>74</v>
      </c>
      <c r="BE758" t="s">
        <v>13614</v>
      </c>
      <c r="BF758" t="str">
        <f>HYPERLINK("http://dx.doi.org/10.1080/00914037.2023.2239421","http://dx.doi.org/10.1080/00914037.2023.2239421")</f>
        <v>http://dx.doi.org/10.1080/00914037.2023.2239421</v>
      </c>
      <c r="BG758" t="s">
        <v>74</v>
      </c>
      <c r="BH758" t="s">
        <v>12687</v>
      </c>
      <c r="BI758">
        <v>23</v>
      </c>
      <c r="BJ758" t="s">
        <v>13615</v>
      </c>
      <c r="BK758" t="s">
        <v>102</v>
      </c>
      <c r="BL758" t="s">
        <v>13616</v>
      </c>
      <c r="BM758" t="s">
        <v>13617</v>
      </c>
      <c r="BN758" t="s">
        <v>74</v>
      </c>
      <c r="BO758" t="s">
        <v>74</v>
      </c>
      <c r="BP758" t="s">
        <v>74</v>
      </c>
      <c r="BQ758" t="s">
        <v>74</v>
      </c>
      <c r="BR758" t="s">
        <v>105</v>
      </c>
      <c r="BS758" t="s">
        <v>13618</v>
      </c>
      <c r="BT758" t="str">
        <f>HYPERLINK("https%3A%2F%2Fwww.webofscience.com%2Fwos%2Fwoscc%2Ffull-record%2FWOS:001035458500001","View Full Record in Web of Science")</f>
        <v>View Full Record in Web of Science</v>
      </c>
    </row>
    <row r="759" spans="1:72" x14ac:dyDescent="0.15">
      <c r="A759" t="s">
        <v>72</v>
      </c>
      <c r="B759" t="s">
        <v>13619</v>
      </c>
      <c r="C759" t="s">
        <v>74</v>
      </c>
      <c r="D759" t="s">
        <v>74</v>
      </c>
      <c r="E759" t="s">
        <v>74</v>
      </c>
      <c r="F759" t="s">
        <v>13620</v>
      </c>
      <c r="G759" t="s">
        <v>74</v>
      </c>
      <c r="H759" t="s">
        <v>74</v>
      </c>
      <c r="I759" t="s">
        <v>13621</v>
      </c>
      <c r="J759" t="s">
        <v>13622</v>
      </c>
      <c r="K759" t="s">
        <v>74</v>
      </c>
      <c r="L759" t="s">
        <v>74</v>
      </c>
      <c r="M759" t="s">
        <v>78</v>
      </c>
      <c r="N759" t="s">
        <v>5492</v>
      </c>
      <c r="O759" t="s">
        <v>74</v>
      </c>
      <c r="P759" t="s">
        <v>74</v>
      </c>
      <c r="Q759" t="s">
        <v>74</v>
      </c>
      <c r="R759" t="s">
        <v>74</v>
      </c>
      <c r="S759" t="s">
        <v>74</v>
      </c>
      <c r="T759" t="s">
        <v>13623</v>
      </c>
      <c r="U759" t="s">
        <v>13624</v>
      </c>
      <c r="V759" t="s">
        <v>13625</v>
      </c>
      <c r="W759" t="s">
        <v>13626</v>
      </c>
      <c r="X759" t="s">
        <v>13627</v>
      </c>
      <c r="Y759" t="s">
        <v>13628</v>
      </c>
      <c r="Z759" t="s">
        <v>13629</v>
      </c>
      <c r="AA759" t="s">
        <v>74</v>
      </c>
      <c r="AB759" t="s">
        <v>74</v>
      </c>
      <c r="AC759" t="s">
        <v>74</v>
      </c>
      <c r="AD759" t="s">
        <v>74</v>
      </c>
      <c r="AE759" t="s">
        <v>74</v>
      </c>
      <c r="AF759" t="s">
        <v>74</v>
      </c>
      <c r="AG759">
        <v>46</v>
      </c>
      <c r="AH759">
        <v>0</v>
      </c>
      <c r="AI759">
        <v>0</v>
      </c>
      <c r="AJ759">
        <v>0</v>
      </c>
      <c r="AK759">
        <v>0</v>
      </c>
      <c r="AL759" t="s">
        <v>92</v>
      </c>
      <c r="AM759" t="s">
        <v>93</v>
      </c>
      <c r="AN759" t="s">
        <v>94</v>
      </c>
      <c r="AO759" t="s">
        <v>13630</v>
      </c>
      <c r="AP759" t="s">
        <v>13631</v>
      </c>
      <c r="AQ759" t="s">
        <v>74</v>
      </c>
      <c r="AR759" t="s">
        <v>13632</v>
      </c>
      <c r="AS759" t="s">
        <v>13633</v>
      </c>
      <c r="AT759" t="s">
        <v>13538</v>
      </c>
      <c r="AU759">
        <v>2023</v>
      </c>
      <c r="AV759" t="s">
        <v>74</v>
      </c>
      <c r="AW759" t="s">
        <v>74</v>
      </c>
      <c r="AX759" t="s">
        <v>74</v>
      </c>
      <c r="AY759" t="s">
        <v>74</v>
      </c>
      <c r="AZ759" t="s">
        <v>74</v>
      </c>
      <c r="BA759" t="s">
        <v>74</v>
      </c>
      <c r="BB759" t="s">
        <v>74</v>
      </c>
      <c r="BC759" t="s">
        <v>74</v>
      </c>
      <c r="BD759" t="s">
        <v>74</v>
      </c>
      <c r="BE759" t="s">
        <v>13634</v>
      </c>
      <c r="BF759" t="str">
        <f>HYPERLINK("http://dx.doi.org/10.1080/00365521.2023.2239973","http://dx.doi.org/10.1080/00365521.2023.2239973")</f>
        <v>http://dx.doi.org/10.1080/00365521.2023.2239973</v>
      </c>
      <c r="BG759" t="s">
        <v>74</v>
      </c>
      <c r="BH759" t="s">
        <v>12687</v>
      </c>
      <c r="BI759">
        <v>8</v>
      </c>
      <c r="BJ759" t="s">
        <v>6967</v>
      </c>
      <c r="BK759" t="s">
        <v>102</v>
      </c>
      <c r="BL759" t="s">
        <v>6967</v>
      </c>
      <c r="BM759" t="s">
        <v>13635</v>
      </c>
      <c r="BN759" t="s">
        <v>74</v>
      </c>
      <c r="BO759" t="s">
        <v>74</v>
      </c>
      <c r="BP759" t="s">
        <v>74</v>
      </c>
      <c r="BQ759" t="s">
        <v>74</v>
      </c>
      <c r="BR759" t="s">
        <v>105</v>
      </c>
      <c r="BS759" t="s">
        <v>13636</v>
      </c>
      <c r="BT759" t="str">
        <f>HYPERLINK("https%3A%2F%2Fwww.webofscience.com%2Fwos%2Fwoscc%2Ffull-record%2FWOS:001032843100001","View Full Record in Web of Science")</f>
        <v>View Full Record in Web of Science</v>
      </c>
    </row>
    <row r="760" spans="1:72" x14ac:dyDescent="0.15">
      <c r="A760" t="s">
        <v>72</v>
      </c>
      <c r="B760" t="s">
        <v>13637</v>
      </c>
      <c r="C760" t="s">
        <v>74</v>
      </c>
      <c r="D760" t="s">
        <v>74</v>
      </c>
      <c r="E760" t="s">
        <v>74</v>
      </c>
      <c r="F760" t="s">
        <v>13638</v>
      </c>
      <c r="G760" t="s">
        <v>74</v>
      </c>
      <c r="H760" t="s">
        <v>74</v>
      </c>
      <c r="I760" t="s">
        <v>13639</v>
      </c>
      <c r="J760" t="s">
        <v>13640</v>
      </c>
      <c r="K760" t="s">
        <v>74</v>
      </c>
      <c r="L760" t="s">
        <v>74</v>
      </c>
      <c r="M760" t="s">
        <v>78</v>
      </c>
      <c r="N760" t="s">
        <v>5492</v>
      </c>
      <c r="O760" t="s">
        <v>74</v>
      </c>
      <c r="P760" t="s">
        <v>74</v>
      </c>
      <c r="Q760" t="s">
        <v>74</v>
      </c>
      <c r="R760" t="s">
        <v>74</v>
      </c>
      <c r="S760" t="s">
        <v>74</v>
      </c>
      <c r="T760" t="s">
        <v>13641</v>
      </c>
      <c r="U760" t="s">
        <v>13642</v>
      </c>
      <c r="V760" t="s">
        <v>13643</v>
      </c>
      <c r="W760" t="s">
        <v>13644</v>
      </c>
      <c r="X760" t="s">
        <v>13645</v>
      </c>
      <c r="Y760" t="s">
        <v>13646</v>
      </c>
      <c r="Z760" t="s">
        <v>13647</v>
      </c>
      <c r="AA760" t="s">
        <v>74</v>
      </c>
      <c r="AB760" t="s">
        <v>74</v>
      </c>
      <c r="AC760" t="s">
        <v>74</v>
      </c>
      <c r="AD760" t="s">
        <v>74</v>
      </c>
      <c r="AE760" t="s">
        <v>74</v>
      </c>
      <c r="AF760" t="s">
        <v>74</v>
      </c>
      <c r="AG760">
        <v>57</v>
      </c>
      <c r="AH760">
        <v>0</v>
      </c>
      <c r="AI760">
        <v>0</v>
      </c>
      <c r="AJ760">
        <v>3</v>
      </c>
      <c r="AK760">
        <v>3</v>
      </c>
      <c r="AL760" t="s">
        <v>92</v>
      </c>
      <c r="AM760" t="s">
        <v>93</v>
      </c>
      <c r="AN760" t="s">
        <v>94</v>
      </c>
      <c r="AO760" t="s">
        <v>13648</v>
      </c>
      <c r="AP760" t="s">
        <v>13649</v>
      </c>
      <c r="AQ760" t="s">
        <v>74</v>
      </c>
      <c r="AR760" t="s">
        <v>13650</v>
      </c>
      <c r="AS760" t="s">
        <v>13651</v>
      </c>
      <c r="AT760" t="s">
        <v>13538</v>
      </c>
      <c r="AU760">
        <v>2023</v>
      </c>
      <c r="AV760" t="s">
        <v>74</v>
      </c>
      <c r="AW760" t="s">
        <v>74</v>
      </c>
      <c r="AX760" t="s">
        <v>74</v>
      </c>
      <c r="AY760" t="s">
        <v>74</v>
      </c>
      <c r="AZ760" t="s">
        <v>74</v>
      </c>
      <c r="BA760" t="s">
        <v>74</v>
      </c>
      <c r="BB760" t="s">
        <v>74</v>
      </c>
      <c r="BC760" t="s">
        <v>74</v>
      </c>
      <c r="BD760" t="s">
        <v>74</v>
      </c>
      <c r="BE760" t="s">
        <v>13652</v>
      </c>
      <c r="BF760" t="str">
        <f>HYPERLINK("http://dx.doi.org/10.1080/01605682.2023.2239868","http://dx.doi.org/10.1080/01605682.2023.2239868")</f>
        <v>http://dx.doi.org/10.1080/01605682.2023.2239868</v>
      </c>
      <c r="BG760" t="s">
        <v>74</v>
      </c>
      <c r="BH760" t="s">
        <v>12687</v>
      </c>
      <c r="BI760">
        <v>16</v>
      </c>
      <c r="BJ760" t="s">
        <v>13653</v>
      </c>
      <c r="BK760" t="s">
        <v>123</v>
      </c>
      <c r="BL760" t="s">
        <v>13654</v>
      </c>
      <c r="BM760" t="s">
        <v>13655</v>
      </c>
      <c r="BN760" t="s">
        <v>74</v>
      </c>
      <c r="BO760" t="s">
        <v>74</v>
      </c>
      <c r="BP760" t="s">
        <v>74</v>
      </c>
      <c r="BQ760" t="s">
        <v>74</v>
      </c>
      <c r="BR760" t="s">
        <v>105</v>
      </c>
      <c r="BS760" t="s">
        <v>13656</v>
      </c>
      <c r="BT760" t="str">
        <f>HYPERLINK("https%3A%2F%2Fwww.webofscience.com%2Fwos%2Fwoscc%2Ffull-record%2FWOS:001039516400001","View Full Record in Web of Science")</f>
        <v>View Full Record in Web of Science</v>
      </c>
    </row>
    <row r="761" spans="1:72" x14ac:dyDescent="0.15">
      <c r="A761" t="s">
        <v>72</v>
      </c>
      <c r="B761" t="s">
        <v>13657</v>
      </c>
      <c r="C761" t="s">
        <v>74</v>
      </c>
      <c r="D761" t="s">
        <v>74</v>
      </c>
      <c r="E761" t="s">
        <v>74</v>
      </c>
      <c r="F761" t="s">
        <v>13658</v>
      </c>
      <c r="G761" t="s">
        <v>74</v>
      </c>
      <c r="H761" t="s">
        <v>74</v>
      </c>
      <c r="I761" t="s">
        <v>13659</v>
      </c>
      <c r="J761" t="s">
        <v>13660</v>
      </c>
      <c r="K761" t="s">
        <v>74</v>
      </c>
      <c r="L761" t="s">
        <v>74</v>
      </c>
      <c r="M761" t="s">
        <v>78</v>
      </c>
      <c r="N761" t="s">
        <v>5492</v>
      </c>
      <c r="O761" t="s">
        <v>74</v>
      </c>
      <c r="P761" t="s">
        <v>74</v>
      </c>
      <c r="Q761" t="s">
        <v>74</v>
      </c>
      <c r="R761" t="s">
        <v>74</v>
      </c>
      <c r="S761" t="s">
        <v>74</v>
      </c>
      <c r="T761" t="s">
        <v>13661</v>
      </c>
      <c r="U761" t="s">
        <v>13662</v>
      </c>
      <c r="V761" t="s">
        <v>13663</v>
      </c>
      <c r="W761" t="s">
        <v>13664</v>
      </c>
      <c r="X761" t="s">
        <v>74</v>
      </c>
      <c r="Y761" t="s">
        <v>13665</v>
      </c>
      <c r="Z761" t="s">
        <v>13666</v>
      </c>
      <c r="AA761" t="s">
        <v>74</v>
      </c>
      <c r="AB761" t="s">
        <v>74</v>
      </c>
      <c r="AC761" t="s">
        <v>74</v>
      </c>
      <c r="AD761" t="s">
        <v>74</v>
      </c>
      <c r="AE761" t="s">
        <v>74</v>
      </c>
      <c r="AF761" t="s">
        <v>74</v>
      </c>
      <c r="AG761">
        <v>43</v>
      </c>
      <c r="AH761">
        <v>0</v>
      </c>
      <c r="AI761">
        <v>0</v>
      </c>
      <c r="AJ761">
        <v>1</v>
      </c>
      <c r="AK761">
        <v>1</v>
      </c>
      <c r="AL761" t="s">
        <v>92</v>
      </c>
      <c r="AM761" t="s">
        <v>93</v>
      </c>
      <c r="AN761" t="s">
        <v>94</v>
      </c>
      <c r="AO761" t="s">
        <v>13667</v>
      </c>
      <c r="AP761" t="s">
        <v>13668</v>
      </c>
      <c r="AQ761" t="s">
        <v>74</v>
      </c>
      <c r="AR761" t="s">
        <v>13669</v>
      </c>
      <c r="AS761" t="s">
        <v>13670</v>
      </c>
      <c r="AT761" t="s">
        <v>13538</v>
      </c>
      <c r="AU761">
        <v>2023</v>
      </c>
      <c r="AV761" t="s">
        <v>74</v>
      </c>
      <c r="AW761" t="s">
        <v>74</v>
      </c>
      <c r="AX761" t="s">
        <v>74</v>
      </c>
      <c r="AY761" t="s">
        <v>74</v>
      </c>
      <c r="AZ761" t="s">
        <v>74</v>
      </c>
      <c r="BA761" t="s">
        <v>74</v>
      </c>
      <c r="BB761" t="s">
        <v>74</v>
      </c>
      <c r="BC761" t="s">
        <v>74</v>
      </c>
      <c r="BD761" t="s">
        <v>74</v>
      </c>
      <c r="BE761" t="s">
        <v>13671</v>
      </c>
      <c r="BF761" t="str">
        <f>HYPERLINK("http://dx.doi.org/10.1080/21624887.2023.2239009","http://dx.doi.org/10.1080/21624887.2023.2239009")</f>
        <v>http://dx.doi.org/10.1080/21624887.2023.2239009</v>
      </c>
      <c r="BG761" t="s">
        <v>74</v>
      </c>
      <c r="BH761" t="s">
        <v>12687</v>
      </c>
      <c r="BI761">
        <v>21</v>
      </c>
      <c r="BJ761" t="s">
        <v>8001</v>
      </c>
      <c r="BK761" t="s">
        <v>211</v>
      </c>
      <c r="BL761" t="s">
        <v>8002</v>
      </c>
      <c r="BM761" t="s">
        <v>13672</v>
      </c>
      <c r="BN761" t="s">
        <v>74</v>
      </c>
      <c r="BO761" t="s">
        <v>74</v>
      </c>
      <c r="BP761" t="s">
        <v>74</v>
      </c>
      <c r="BQ761" t="s">
        <v>74</v>
      </c>
      <c r="BR761" t="s">
        <v>105</v>
      </c>
      <c r="BS761" t="s">
        <v>13673</v>
      </c>
      <c r="BT761" t="str">
        <f>HYPERLINK("https%3A%2F%2Fwww.webofscience.com%2Fwos%2Fwoscc%2Ffull-record%2FWOS:001032861800001","View Full Record in Web of Science")</f>
        <v>View Full Record in Web of Science</v>
      </c>
    </row>
    <row r="762" spans="1:72" x14ac:dyDescent="0.15">
      <c r="A762" t="s">
        <v>72</v>
      </c>
      <c r="B762" t="s">
        <v>13674</v>
      </c>
      <c r="C762" t="s">
        <v>74</v>
      </c>
      <c r="D762" t="s">
        <v>74</v>
      </c>
      <c r="E762" t="s">
        <v>74</v>
      </c>
      <c r="F762" t="s">
        <v>13675</v>
      </c>
      <c r="G762" t="s">
        <v>74</v>
      </c>
      <c r="H762" t="s">
        <v>74</v>
      </c>
      <c r="I762" t="s">
        <v>13676</v>
      </c>
      <c r="J762" t="s">
        <v>13031</v>
      </c>
      <c r="K762" t="s">
        <v>74</v>
      </c>
      <c r="L762" t="s">
        <v>74</v>
      </c>
      <c r="M762" t="s">
        <v>78</v>
      </c>
      <c r="N762" t="s">
        <v>79</v>
      </c>
      <c r="O762" t="s">
        <v>74</v>
      </c>
      <c r="P762" t="s">
        <v>74</v>
      </c>
      <c r="Q762" t="s">
        <v>74</v>
      </c>
      <c r="R762" t="s">
        <v>74</v>
      </c>
      <c r="S762" t="s">
        <v>74</v>
      </c>
      <c r="T762" t="s">
        <v>13677</v>
      </c>
      <c r="U762" t="s">
        <v>74</v>
      </c>
      <c r="V762" t="s">
        <v>13678</v>
      </c>
      <c r="W762" t="s">
        <v>13679</v>
      </c>
      <c r="X762" t="s">
        <v>74</v>
      </c>
      <c r="Y762" t="s">
        <v>13680</v>
      </c>
      <c r="Z762" t="s">
        <v>13681</v>
      </c>
      <c r="AA762" t="s">
        <v>13682</v>
      </c>
      <c r="AB762" t="s">
        <v>13683</v>
      </c>
      <c r="AC762" t="s">
        <v>74</v>
      </c>
      <c r="AD762" t="s">
        <v>74</v>
      </c>
      <c r="AE762" t="s">
        <v>74</v>
      </c>
      <c r="AF762" t="s">
        <v>74</v>
      </c>
      <c r="AG762">
        <v>15</v>
      </c>
      <c r="AH762">
        <v>0</v>
      </c>
      <c r="AI762">
        <v>0</v>
      </c>
      <c r="AJ762">
        <v>0</v>
      </c>
      <c r="AK762">
        <v>0</v>
      </c>
      <c r="AL762" t="s">
        <v>184</v>
      </c>
      <c r="AM762" t="s">
        <v>185</v>
      </c>
      <c r="AN762" t="s">
        <v>186</v>
      </c>
      <c r="AO762" t="s">
        <v>13041</v>
      </c>
      <c r="AP762" t="s">
        <v>13042</v>
      </c>
      <c r="AQ762" t="s">
        <v>74</v>
      </c>
      <c r="AR762" t="s">
        <v>13031</v>
      </c>
      <c r="AS762" t="s">
        <v>13043</v>
      </c>
      <c r="AT762" t="s">
        <v>8098</v>
      </c>
      <c r="AU762">
        <v>2023</v>
      </c>
      <c r="AV762">
        <v>115</v>
      </c>
      <c r="AW762">
        <v>5</v>
      </c>
      <c r="AX762" t="s">
        <v>74</v>
      </c>
      <c r="AY762" t="s">
        <v>74</v>
      </c>
      <c r="AZ762" t="s">
        <v>74</v>
      </c>
      <c r="BA762" t="s">
        <v>74</v>
      </c>
      <c r="BB762">
        <v>648</v>
      </c>
      <c r="BC762">
        <v>660</v>
      </c>
      <c r="BD762" t="s">
        <v>74</v>
      </c>
      <c r="BE762" t="s">
        <v>13684</v>
      </c>
      <c r="BF762" t="str">
        <f>HYPERLINK("http://dx.doi.org/10.1080/00275514.2023.2227553","http://dx.doi.org/10.1080/00275514.2023.2227553")</f>
        <v>http://dx.doi.org/10.1080/00275514.2023.2227553</v>
      </c>
      <c r="BG762" t="s">
        <v>74</v>
      </c>
      <c r="BH762" t="s">
        <v>12687</v>
      </c>
      <c r="BI762">
        <v>13</v>
      </c>
      <c r="BJ762" t="s">
        <v>13045</v>
      </c>
      <c r="BK762" t="s">
        <v>102</v>
      </c>
      <c r="BL762" t="s">
        <v>13045</v>
      </c>
      <c r="BM762" t="s">
        <v>13046</v>
      </c>
      <c r="BN762">
        <v>37478014</v>
      </c>
      <c r="BO762" t="s">
        <v>887</v>
      </c>
      <c r="BP762" t="s">
        <v>74</v>
      </c>
      <c r="BQ762" t="s">
        <v>74</v>
      </c>
      <c r="BR762" t="s">
        <v>105</v>
      </c>
      <c r="BS762" t="s">
        <v>13685</v>
      </c>
      <c r="BT762" t="str">
        <f>HYPERLINK("https%3A%2F%2Fwww.webofscience.com%2Fwos%2Fwoscc%2Ffull-record%2FWOS:001032273100001","View Full Record in Web of Science")</f>
        <v>View Full Record in Web of Science</v>
      </c>
    </row>
    <row r="763" spans="1:72" x14ac:dyDescent="0.15">
      <c r="A763" t="s">
        <v>72</v>
      </c>
      <c r="B763" t="s">
        <v>13686</v>
      </c>
      <c r="C763" t="s">
        <v>74</v>
      </c>
      <c r="D763" t="s">
        <v>74</v>
      </c>
      <c r="E763" t="s">
        <v>74</v>
      </c>
      <c r="F763" t="s">
        <v>13687</v>
      </c>
      <c r="G763" t="s">
        <v>74</v>
      </c>
      <c r="H763" t="s">
        <v>74</v>
      </c>
      <c r="I763" t="s">
        <v>13688</v>
      </c>
      <c r="J763" t="s">
        <v>13689</v>
      </c>
      <c r="K763" t="s">
        <v>74</v>
      </c>
      <c r="L763" t="s">
        <v>74</v>
      </c>
      <c r="M763" t="s">
        <v>78</v>
      </c>
      <c r="N763" t="s">
        <v>6754</v>
      </c>
      <c r="O763" t="s">
        <v>74</v>
      </c>
      <c r="P763" t="s">
        <v>74</v>
      </c>
      <c r="Q763" t="s">
        <v>74</v>
      </c>
      <c r="R763" t="s">
        <v>74</v>
      </c>
      <c r="S763" t="s">
        <v>74</v>
      </c>
      <c r="T763" t="s">
        <v>13690</v>
      </c>
      <c r="U763" t="s">
        <v>74</v>
      </c>
      <c r="V763" t="s">
        <v>13691</v>
      </c>
      <c r="W763" t="s">
        <v>74</v>
      </c>
      <c r="X763" t="s">
        <v>74</v>
      </c>
      <c r="Y763" t="s">
        <v>74</v>
      </c>
      <c r="Z763" t="s">
        <v>13692</v>
      </c>
      <c r="AA763" t="s">
        <v>74</v>
      </c>
      <c r="AB763" t="s">
        <v>13693</v>
      </c>
      <c r="AC763" t="s">
        <v>74</v>
      </c>
      <c r="AD763" t="s">
        <v>74</v>
      </c>
      <c r="AE763" t="s">
        <v>74</v>
      </c>
      <c r="AF763" t="s">
        <v>74</v>
      </c>
      <c r="AG763">
        <v>61</v>
      </c>
      <c r="AH763">
        <v>0</v>
      </c>
      <c r="AI763">
        <v>0</v>
      </c>
      <c r="AJ763">
        <v>0</v>
      </c>
      <c r="AK763">
        <v>0</v>
      </c>
      <c r="AL763" t="s">
        <v>1188</v>
      </c>
      <c r="AM763" t="s">
        <v>93</v>
      </c>
      <c r="AN763" t="s">
        <v>1189</v>
      </c>
      <c r="AO763" t="s">
        <v>13694</v>
      </c>
      <c r="AP763" t="s">
        <v>13695</v>
      </c>
      <c r="AQ763" t="s">
        <v>74</v>
      </c>
      <c r="AR763" t="s">
        <v>13696</v>
      </c>
      <c r="AS763" t="s">
        <v>13697</v>
      </c>
      <c r="AT763" t="s">
        <v>13698</v>
      </c>
      <c r="AU763">
        <v>2023</v>
      </c>
      <c r="AV763" t="s">
        <v>74</v>
      </c>
      <c r="AW763" t="s">
        <v>74</v>
      </c>
      <c r="AX763" t="s">
        <v>74</v>
      </c>
      <c r="AY763" t="s">
        <v>74</v>
      </c>
      <c r="AZ763" t="s">
        <v>74</v>
      </c>
      <c r="BA763" t="s">
        <v>74</v>
      </c>
      <c r="BB763" t="s">
        <v>74</v>
      </c>
      <c r="BC763" t="s">
        <v>74</v>
      </c>
      <c r="BD763" t="s">
        <v>74</v>
      </c>
      <c r="BE763" t="s">
        <v>13699</v>
      </c>
      <c r="BF763" t="str">
        <f>HYPERLINK("http://dx.doi.org/10.1080/02667363.2023.2237879","http://dx.doi.org/10.1080/02667363.2023.2237879")</f>
        <v>http://dx.doi.org/10.1080/02667363.2023.2237879</v>
      </c>
      <c r="BG763" t="s">
        <v>74</v>
      </c>
      <c r="BH763" t="s">
        <v>12687</v>
      </c>
      <c r="BI763">
        <v>18</v>
      </c>
      <c r="BJ763" t="s">
        <v>13700</v>
      </c>
      <c r="BK763" t="s">
        <v>211</v>
      </c>
      <c r="BL763" t="s">
        <v>1691</v>
      </c>
      <c r="BM763" t="s">
        <v>13701</v>
      </c>
      <c r="BN763" t="s">
        <v>74</v>
      </c>
      <c r="BO763" t="s">
        <v>74</v>
      </c>
      <c r="BP763" t="s">
        <v>74</v>
      </c>
      <c r="BQ763" t="s">
        <v>74</v>
      </c>
      <c r="BR763" t="s">
        <v>105</v>
      </c>
      <c r="BS763" t="s">
        <v>13702</v>
      </c>
      <c r="BT763" t="str">
        <f>HYPERLINK("https%3A%2F%2Fwww.webofscience.com%2Fwos%2Fwoscc%2Ffull-record%2FWOS:001034417800001","View Full Record in Web of Science")</f>
        <v>View Full Record in Web of Science</v>
      </c>
    </row>
    <row r="764" spans="1:72" x14ac:dyDescent="0.15">
      <c r="A764" t="s">
        <v>72</v>
      </c>
      <c r="B764" t="s">
        <v>13703</v>
      </c>
      <c r="C764" t="s">
        <v>74</v>
      </c>
      <c r="D764" t="s">
        <v>74</v>
      </c>
      <c r="E764" t="s">
        <v>74</v>
      </c>
      <c r="F764" t="s">
        <v>13704</v>
      </c>
      <c r="G764" t="s">
        <v>74</v>
      </c>
      <c r="H764" t="s">
        <v>74</v>
      </c>
      <c r="I764" t="s">
        <v>13705</v>
      </c>
      <c r="J764" t="s">
        <v>13706</v>
      </c>
      <c r="K764" t="s">
        <v>74</v>
      </c>
      <c r="L764" t="s">
        <v>74</v>
      </c>
      <c r="M764" t="s">
        <v>78</v>
      </c>
      <c r="N764" t="s">
        <v>5492</v>
      </c>
      <c r="O764" t="s">
        <v>74</v>
      </c>
      <c r="P764" t="s">
        <v>74</v>
      </c>
      <c r="Q764" t="s">
        <v>74</v>
      </c>
      <c r="R764" t="s">
        <v>74</v>
      </c>
      <c r="S764" t="s">
        <v>74</v>
      </c>
      <c r="T764" t="s">
        <v>13707</v>
      </c>
      <c r="U764" t="s">
        <v>13708</v>
      </c>
      <c r="V764" t="s">
        <v>13709</v>
      </c>
      <c r="W764" t="s">
        <v>13710</v>
      </c>
      <c r="X764" t="s">
        <v>13711</v>
      </c>
      <c r="Y764" t="s">
        <v>13712</v>
      </c>
      <c r="Z764" t="s">
        <v>13713</v>
      </c>
      <c r="AA764" t="s">
        <v>13714</v>
      </c>
      <c r="AB764" t="s">
        <v>13715</v>
      </c>
      <c r="AC764" t="s">
        <v>13716</v>
      </c>
      <c r="AD764" t="s">
        <v>13717</v>
      </c>
      <c r="AE764" t="s">
        <v>13718</v>
      </c>
      <c r="AF764" t="s">
        <v>74</v>
      </c>
      <c r="AG764">
        <v>53</v>
      </c>
      <c r="AH764">
        <v>0</v>
      </c>
      <c r="AI764">
        <v>0</v>
      </c>
      <c r="AJ764">
        <v>1</v>
      </c>
      <c r="AK764">
        <v>1</v>
      </c>
      <c r="AL764" t="s">
        <v>184</v>
      </c>
      <c r="AM764" t="s">
        <v>185</v>
      </c>
      <c r="AN764" t="s">
        <v>186</v>
      </c>
      <c r="AO764" t="s">
        <v>13719</v>
      </c>
      <c r="AP764" t="s">
        <v>13720</v>
      </c>
      <c r="AQ764" t="s">
        <v>74</v>
      </c>
      <c r="AR764" t="s">
        <v>13721</v>
      </c>
      <c r="AS764" t="s">
        <v>13722</v>
      </c>
      <c r="AT764" t="s">
        <v>13698</v>
      </c>
      <c r="AU764">
        <v>2023</v>
      </c>
      <c r="AV764" t="s">
        <v>74</v>
      </c>
      <c r="AW764" t="s">
        <v>74</v>
      </c>
      <c r="AX764" t="s">
        <v>74</v>
      </c>
      <c r="AY764" t="s">
        <v>74</v>
      </c>
      <c r="AZ764" t="s">
        <v>74</v>
      </c>
      <c r="BA764" t="s">
        <v>74</v>
      </c>
      <c r="BB764" t="s">
        <v>74</v>
      </c>
      <c r="BC764" t="s">
        <v>74</v>
      </c>
      <c r="BD764" t="s">
        <v>74</v>
      </c>
      <c r="BE764" t="s">
        <v>13723</v>
      </c>
      <c r="BF764" t="str">
        <f>HYPERLINK("http://dx.doi.org/10.1080/00102202.2023.2239465","http://dx.doi.org/10.1080/00102202.2023.2239465")</f>
        <v>http://dx.doi.org/10.1080/00102202.2023.2239465</v>
      </c>
      <c r="BG764" t="s">
        <v>74</v>
      </c>
      <c r="BH764" t="s">
        <v>12687</v>
      </c>
      <c r="BI764">
        <v>13</v>
      </c>
      <c r="BJ764" t="s">
        <v>13724</v>
      </c>
      <c r="BK764" t="s">
        <v>102</v>
      </c>
      <c r="BL764" t="s">
        <v>13725</v>
      </c>
      <c r="BM764" t="s">
        <v>13726</v>
      </c>
      <c r="BN764" t="s">
        <v>74</v>
      </c>
      <c r="BO764" t="s">
        <v>74</v>
      </c>
      <c r="BP764" t="s">
        <v>74</v>
      </c>
      <c r="BQ764" t="s">
        <v>74</v>
      </c>
      <c r="BR764" t="s">
        <v>105</v>
      </c>
      <c r="BS764" t="s">
        <v>13727</v>
      </c>
      <c r="BT764" t="str">
        <f>HYPERLINK("https%3A%2F%2Fwww.webofscience.com%2Fwos%2Fwoscc%2Ffull-record%2FWOS:001033682100001","View Full Record in Web of Science")</f>
        <v>View Full Record in Web of Science</v>
      </c>
    </row>
    <row r="765" spans="1:72" x14ac:dyDescent="0.15">
      <c r="A765" t="s">
        <v>72</v>
      </c>
      <c r="B765" t="s">
        <v>13728</v>
      </c>
      <c r="C765" t="s">
        <v>74</v>
      </c>
      <c r="D765" t="s">
        <v>74</v>
      </c>
      <c r="E765" t="s">
        <v>74</v>
      </c>
      <c r="F765" t="s">
        <v>13729</v>
      </c>
      <c r="G765" t="s">
        <v>74</v>
      </c>
      <c r="H765" t="s">
        <v>74</v>
      </c>
      <c r="I765" t="s">
        <v>13730</v>
      </c>
      <c r="J765" t="s">
        <v>9965</v>
      </c>
      <c r="K765" t="s">
        <v>74</v>
      </c>
      <c r="L765" t="s">
        <v>74</v>
      </c>
      <c r="M765" t="s">
        <v>78</v>
      </c>
      <c r="N765" t="s">
        <v>79</v>
      </c>
      <c r="O765" t="s">
        <v>74</v>
      </c>
      <c r="P765" t="s">
        <v>74</v>
      </c>
      <c r="Q765" t="s">
        <v>74</v>
      </c>
      <c r="R765" t="s">
        <v>74</v>
      </c>
      <c r="S765" t="s">
        <v>74</v>
      </c>
      <c r="T765" t="s">
        <v>13731</v>
      </c>
      <c r="U765" t="s">
        <v>13732</v>
      </c>
      <c r="V765" t="s">
        <v>13733</v>
      </c>
      <c r="W765" t="s">
        <v>13734</v>
      </c>
      <c r="X765" t="s">
        <v>13735</v>
      </c>
      <c r="Y765" t="s">
        <v>13736</v>
      </c>
      <c r="Z765" t="s">
        <v>13737</v>
      </c>
      <c r="AA765" t="s">
        <v>74</v>
      </c>
      <c r="AB765" t="s">
        <v>74</v>
      </c>
      <c r="AC765" t="s">
        <v>74</v>
      </c>
      <c r="AD765" t="s">
        <v>74</v>
      </c>
      <c r="AE765" t="s">
        <v>74</v>
      </c>
      <c r="AF765" t="s">
        <v>74</v>
      </c>
      <c r="AG765">
        <v>50</v>
      </c>
      <c r="AH765">
        <v>0</v>
      </c>
      <c r="AI765">
        <v>0</v>
      </c>
      <c r="AJ765">
        <v>3</v>
      </c>
      <c r="AK765">
        <v>3</v>
      </c>
      <c r="AL765" t="s">
        <v>184</v>
      </c>
      <c r="AM765" t="s">
        <v>185</v>
      </c>
      <c r="AN765" t="s">
        <v>186</v>
      </c>
      <c r="AO765" t="s">
        <v>9975</v>
      </c>
      <c r="AP765" t="s">
        <v>9976</v>
      </c>
      <c r="AQ765" t="s">
        <v>74</v>
      </c>
      <c r="AR765" t="s">
        <v>9977</v>
      </c>
      <c r="AS765" t="s">
        <v>9978</v>
      </c>
      <c r="AT765" t="s">
        <v>12289</v>
      </c>
      <c r="AU765">
        <v>2023</v>
      </c>
      <c r="AV765">
        <v>21</v>
      </c>
      <c r="AW765">
        <v>3</v>
      </c>
      <c r="AX765" t="s">
        <v>74</v>
      </c>
      <c r="AY765" t="s">
        <v>74</v>
      </c>
      <c r="AZ765" t="s">
        <v>74</v>
      </c>
      <c r="BA765" t="s">
        <v>74</v>
      </c>
      <c r="BB765">
        <v>293</v>
      </c>
      <c r="BC765">
        <v>305</v>
      </c>
      <c r="BD765" t="s">
        <v>74</v>
      </c>
      <c r="BE765" t="s">
        <v>13738</v>
      </c>
      <c r="BF765" t="str">
        <f>HYPERLINK("http://dx.doi.org/10.1080/1539445X.2023.2235329","http://dx.doi.org/10.1080/1539445X.2023.2235329")</f>
        <v>http://dx.doi.org/10.1080/1539445X.2023.2235329</v>
      </c>
      <c r="BG765" t="s">
        <v>74</v>
      </c>
      <c r="BH765" t="s">
        <v>12687</v>
      </c>
      <c r="BI765">
        <v>13</v>
      </c>
      <c r="BJ765" t="s">
        <v>1593</v>
      </c>
      <c r="BK765" t="s">
        <v>102</v>
      </c>
      <c r="BL765" t="s">
        <v>1594</v>
      </c>
      <c r="BM765" t="s">
        <v>13739</v>
      </c>
      <c r="BN765" t="s">
        <v>74</v>
      </c>
      <c r="BO765" t="s">
        <v>74</v>
      </c>
      <c r="BP765" t="s">
        <v>74</v>
      </c>
      <c r="BQ765" t="s">
        <v>74</v>
      </c>
      <c r="BR765" t="s">
        <v>105</v>
      </c>
      <c r="BS765" t="s">
        <v>13740</v>
      </c>
      <c r="BT765" t="str">
        <f>HYPERLINK("https%3A%2F%2Fwww.webofscience.com%2Fwos%2Fwoscc%2Ffull-record%2FWOS:001031476700001","View Full Record in Web of Science")</f>
        <v>View Full Record in Web of Science</v>
      </c>
    </row>
    <row r="766" spans="1:72" x14ac:dyDescent="0.15">
      <c r="A766" t="s">
        <v>72</v>
      </c>
      <c r="B766" t="s">
        <v>13741</v>
      </c>
      <c r="C766" t="s">
        <v>74</v>
      </c>
      <c r="D766" t="s">
        <v>74</v>
      </c>
      <c r="E766" t="s">
        <v>74</v>
      </c>
      <c r="F766" t="s">
        <v>13742</v>
      </c>
      <c r="G766" t="s">
        <v>74</v>
      </c>
      <c r="H766" t="s">
        <v>74</v>
      </c>
      <c r="I766" t="s">
        <v>13743</v>
      </c>
      <c r="J766" t="s">
        <v>13744</v>
      </c>
      <c r="K766" t="s">
        <v>74</v>
      </c>
      <c r="L766" t="s">
        <v>74</v>
      </c>
      <c r="M766" t="s">
        <v>78</v>
      </c>
      <c r="N766" t="s">
        <v>79</v>
      </c>
      <c r="O766" t="s">
        <v>74</v>
      </c>
      <c r="P766" t="s">
        <v>74</v>
      </c>
      <c r="Q766" t="s">
        <v>74</v>
      </c>
      <c r="R766" t="s">
        <v>74</v>
      </c>
      <c r="S766" t="s">
        <v>74</v>
      </c>
      <c r="T766" t="s">
        <v>13745</v>
      </c>
      <c r="U766" t="s">
        <v>13746</v>
      </c>
      <c r="V766" t="s">
        <v>13747</v>
      </c>
      <c r="W766" t="s">
        <v>13748</v>
      </c>
      <c r="X766" t="s">
        <v>13749</v>
      </c>
      <c r="Y766" t="s">
        <v>13750</v>
      </c>
      <c r="Z766" t="s">
        <v>13751</v>
      </c>
      <c r="AA766" t="s">
        <v>74</v>
      </c>
      <c r="AB766" t="s">
        <v>74</v>
      </c>
      <c r="AC766" t="s">
        <v>74</v>
      </c>
      <c r="AD766" t="s">
        <v>74</v>
      </c>
      <c r="AE766" t="s">
        <v>74</v>
      </c>
      <c r="AF766" t="s">
        <v>74</v>
      </c>
      <c r="AG766">
        <v>69</v>
      </c>
      <c r="AH766">
        <v>0</v>
      </c>
      <c r="AI766">
        <v>0</v>
      </c>
      <c r="AJ766">
        <v>0</v>
      </c>
      <c r="AK766">
        <v>0</v>
      </c>
      <c r="AL766" t="s">
        <v>1188</v>
      </c>
      <c r="AM766" t="s">
        <v>93</v>
      </c>
      <c r="AN766" t="s">
        <v>1189</v>
      </c>
      <c r="AO766" t="s">
        <v>13752</v>
      </c>
      <c r="AP766" t="s">
        <v>13753</v>
      </c>
      <c r="AQ766" t="s">
        <v>74</v>
      </c>
      <c r="AR766" t="s">
        <v>13754</v>
      </c>
      <c r="AS766" t="s">
        <v>13755</v>
      </c>
      <c r="AT766" t="s">
        <v>12289</v>
      </c>
      <c r="AU766">
        <v>2023</v>
      </c>
      <c r="AV766">
        <v>41</v>
      </c>
      <c r="AW766">
        <v>3</v>
      </c>
      <c r="AX766" t="s">
        <v>74</v>
      </c>
      <c r="AY766" t="s">
        <v>74</v>
      </c>
      <c r="AZ766" t="s">
        <v>74</v>
      </c>
      <c r="BA766" t="s">
        <v>74</v>
      </c>
      <c r="BB766">
        <v>230</v>
      </c>
      <c r="BC766">
        <v>258</v>
      </c>
      <c r="BD766" t="s">
        <v>74</v>
      </c>
      <c r="BE766" t="s">
        <v>13756</v>
      </c>
      <c r="BF766" t="str">
        <f>HYPERLINK("http://dx.doi.org/10.1080/15228835.2023.2240382","http://dx.doi.org/10.1080/15228835.2023.2240382")</f>
        <v>http://dx.doi.org/10.1080/15228835.2023.2240382</v>
      </c>
      <c r="BG766" t="s">
        <v>74</v>
      </c>
      <c r="BH766" t="s">
        <v>12687</v>
      </c>
      <c r="BI766">
        <v>29</v>
      </c>
      <c r="BJ766" t="s">
        <v>5869</v>
      </c>
      <c r="BK766" t="s">
        <v>211</v>
      </c>
      <c r="BL766" t="s">
        <v>5869</v>
      </c>
      <c r="BM766" t="s">
        <v>13757</v>
      </c>
      <c r="BN766" t="s">
        <v>74</v>
      </c>
      <c r="BO766" t="s">
        <v>74</v>
      </c>
      <c r="BP766" t="s">
        <v>74</v>
      </c>
      <c r="BQ766" t="s">
        <v>74</v>
      </c>
      <c r="BR766" t="s">
        <v>105</v>
      </c>
      <c r="BS766" t="s">
        <v>13758</v>
      </c>
      <c r="BT766" t="str">
        <f>HYPERLINK("https%3A%2F%2Fwww.webofscience.com%2Fwos%2Fwoscc%2Ffull-record%2FWOS:001040371400001","View Full Record in Web of Science")</f>
        <v>View Full Record in Web of Science</v>
      </c>
    </row>
    <row r="767" spans="1:72" x14ac:dyDescent="0.15">
      <c r="A767" t="s">
        <v>72</v>
      </c>
      <c r="B767" t="s">
        <v>13759</v>
      </c>
      <c r="C767" t="s">
        <v>74</v>
      </c>
      <c r="D767" t="s">
        <v>74</v>
      </c>
      <c r="E767" t="s">
        <v>74</v>
      </c>
      <c r="F767" t="s">
        <v>13760</v>
      </c>
      <c r="G767" t="s">
        <v>74</v>
      </c>
      <c r="H767" t="s">
        <v>74</v>
      </c>
      <c r="I767" t="s">
        <v>13761</v>
      </c>
      <c r="J767" t="s">
        <v>13762</v>
      </c>
      <c r="K767" t="s">
        <v>74</v>
      </c>
      <c r="L767" t="s">
        <v>74</v>
      </c>
      <c r="M767" t="s">
        <v>78</v>
      </c>
      <c r="N767" t="s">
        <v>5492</v>
      </c>
      <c r="O767" t="s">
        <v>74</v>
      </c>
      <c r="P767" t="s">
        <v>74</v>
      </c>
      <c r="Q767" t="s">
        <v>74</v>
      </c>
      <c r="R767" t="s">
        <v>74</v>
      </c>
      <c r="S767" t="s">
        <v>74</v>
      </c>
      <c r="T767" t="s">
        <v>13763</v>
      </c>
      <c r="U767" t="s">
        <v>13764</v>
      </c>
      <c r="V767" t="s">
        <v>13765</v>
      </c>
      <c r="W767" t="s">
        <v>13766</v>
      </c>
      <c r="X767" t="s">
        <v>13767</v>
      </c>
      <c r="Y767" t="s">
        <v>13768</v>
      </c>
      <c r="Z767" t="s">
        <v>13769</v>
      </c>
      <c r="AA767" t="s">
        <v>74</v>
      </c>
      <c r="AB767" t="s">
        <v>13770</v>
      </c>
      <c r="AC767" t="s">
        <v>13771</v>
      </c>
      <c r="AD767" t="s">
        <v>13772</v>
      </c>
      <c r="AE767" t="s">
        <v>13773</v>
      </c>
      <c r="AF767" t="s">
        <v>74</v>
      </c>
      <c r="AG767">
        <v>45</v>
      </c>
      <c r="AH767">
        <v>0</v>
      </c>
      <c r="AI767">
        <v>0</v>
      </c>
      <c r="AJ767">
        <v>2</v>
      </c>
      <c r="AK767">
        <v>2</v>
      </c>
      <c r="AL767" t="s">
        <v>92</v>
      </c>
      <c r="AM767" t="s">
        <v>93</v>
      </c>
      <c r="AN767" t="s">
        <v>94</v>
      </c>
      <c r="AO767" t="s">
        <v>13774</v>
      </c>
      <c r="AP767" t="s">
        <v>13775</v>
      </c>
      <c r="AQ767" t="s">
        <v>74</v>
      </c>
      <c r="AR767" t="s">
        <v>13776</v>
      </c>
      <c r="AS767" t="s">
        <v>13777</v>
      </c>
      <c r="AT767" t="s">
        <v>13778</v>
      </c>
      <c r="AU767">
        <v>2023</v>
      </c>
      <c r="AV767" t="s">
        <v>74</v>
      </c>
      <c r="AW767" t="s">
        <v>74</v>
      </c>
      <c r="AX767" t="s">
        <v>74</v>
      </c>
      <c r="AY767" t="s">
        <v>74</v>
      </c>
      <c r="AZ767" t="s">
        <v>74</v>
      </c>
      <c r="BA767" t="s">
        <v>74</v>
      </c>
      <c r="BB767" t="s">
        <v>74</v>
      </c>
      <c r="BC767" t="s">
        <v>74</v>
      </c>
      <c r="BD767" t="s">
        <v>74</v>
      </c>
      <c r="BE767" t="s">
        <v>13779</v>
      </c>
      <c r="BF767" t="str">
        <f>HYPERLINK("http://dx.doi.org/10.1080/03650340.2023.2237899","http://dx.doi.org/10.1080/03650340.2023.2237899")</f>
        <v>http://dx.doi.org/10.1080/03650340.2023.2237899</v>
      </c>
      <c r="BG767" t="s">
        <v>74</v>
      </c>
      <c r="BH767" t="s">
        <v>12687</v>
      </c>
      <c r="BI767">
        <v>13</v>
      </c>
      <c r="BJ767" t="s">
        <v>13780</v>
      </c>
      <c r="BK767" t="s">
        <v>102</v>
      </c>
      <c r="BL767" t="s">
        <v>2517</v>
      </c>
      <c r="BM767" t="s">
        <v>13781</v>
      </c>
      <c r="BN767" t="s">
        <v>74</v>
      </c>
      <c r="BO767" t="s">
        <v>74</v>
      </c>
      <c r="BP767" t="s">
        <v>74</v>
      </c>
      <c r="BQ767" t="s">
        <v>74</v>
      </c>
      <c r="BR767" t="s">
        <v>105</v>
      </c>
      <c r="BS767" t="s">
        <v>13782</v>
      </c>
      <c r="BT767" t="str">
        <f>HYPERLINK("https%3A%2F%2Fwww.webofscience.com%2Fwos%2Fwoscc%2Ffull-record%2FWOS:001034308600001","View Full Record in Web of Science")</f>
        <v>View Full Record in Web of Science</v>
      </c>
    </row>
    <row r="768" spans="1:72" x14ac:dyDescent="0.15">
      <c r="A768" t="s">
        <v>72</v>
      </c>
      <c r="B768" t="s">
        <v>13783</v>
      </c>
      <c r="C768" t="s">
        <v>74</v>
      </c>
      <c r="D768" t="s">
        <v>74</v>
      </c>
      <c r="E768" t="s">
        <v>74</v>
      </c>
      <c r="F768" t="s">
        <v>13784</v>
      </c>
      <c r="G768" t="s">
        <v>74</v>
      </c>
      <c r="H768" t="s">
        <v>74</v>
      </c>
      <c r="I768" t="s">
        <v>13785</v>
      </c>
      <c r="J768" t="s">
        <v>13786</v>
      </c>
      <c r="K768" t="s">
        <v>74</v>
      </c>
      <c r="L768" t="s">
        <v>74</v>
      </c>
      <c r="M768" t="s">
        <v>78</v>
      </c>
      <c r="N768" t="s">
        <v>5492</v>
      </c>
      <c r="O768" t="s">
        <v>74</v>
      </c>
      <c r="P768" t="s">
        <v>74</v>
      </c>
      <c r="Q768" t="s">
        <v>74</v>
      </c>
      <c r="R768" t="s">
        <v>74</v>
      </c>
      <c r="S768" t="s">
        <v>74</v>
      </c>
      <c r="T768" t="s">
        <v>13787</v>
      </c>
      <c r="U768" t="s">
        <v>74</v>
      </c>
      <c r="V768" t="s">
        <v>13788</v>
      </c>
      <c r="W768" t="s">
        <v>13789</v>
      </c>
      <c r="X768" t="s">
        <v>13790</v>
      </c>
      <c r="Y768" t="s">
        <v>13791</v>
      </c>
      <c r="Z768" t="s">
        <v>13792</v>
      </c>
      <c r="AA768" t="s">
        <v>13793</v>
      </c>
      <c r="AB768" t="s">
        <v>13794</v>
      </c>
      <c r="AC768" t="s">
        <v>13795</v>
      </c>
      <c r="AD768" t="s">
        <v>13796</v>
      </c>
      <c r="AE768" t="s">
        <v>13797</v>
      </c>
      <c r="AF768" t="s">
        <v>74</v>
      </c>
      <c r="AG768">
        <v>26</v>
      </c>
      <c r="AH768">
        <v>0</v>
      </c>
      <c r="AI768">
        <v>0</v>
      </c>
      <c r="AJ768">
        <v>3</v>
      </c>
      <c r="AK768">
        <v>3</v>
      </c>
      <c r="AL768" t="s">
        <v>92</v>
      </c>
      <c r="AM768" t="s">
        <v>93</v>
      </c>
      <c r="AN768" t="s">
        <v>94</v>
      </c>
      <c r="AO768" t="s">
        <v>13798</v>
      </c>
      <c r="AP768" t="s">
        <v>13799</v>
      </c>
      <c r="AQ768" t="s">
        <v>74</v>
      </c>
      <c r="AR768" t="s">
        <v>13800</v>
      </c>
      <c r="AS768" t="s">
        <v>13801</v>
      </c>
      <c r="AT768" t="s">
        <v>13778</v>
      </c>
      <c r="AU768">
        <v>2023</v>
      </c>
      <c r="AV768" t="s">
        <v>74</v>
      </c>
      <c r="AW768" t="s">
        <v>74</v>
      </c>
      <c r="AX768" t="s">
        <v>74</v>
      </c>
      <c r="AY768" t="s">
        <v>74</v>
      </c>
      <c r="AZ768" t="s">
        <v>74</v>
      </c>
      <c r="BA768" t="s">
        <v>74</v>
      </c>
      <c r="BB768" t="s">
        <v>74</v>
      </c>
      <c r="BC768" t="s">
        <v>74</v>
      </c>
      <c r="BD768" t="s">
        <v>74</v>
      </c>
      <c r="BE768" t="s">
        <v>13802</v>
      </c>
      <c r="BF768" t="str">
        <f>HYPERLINK("http://dx.doi.org/10.1080/17489725.2023.2238663","http://dx.doi.org/10.1080/17489725.2023.2238663")</f>
        <v>http://dx.doi.org/10.1080/17489725.2023.2238663</v>
      </c>
      <c r="BG768" t="s">
        <v>74</v>
      </c>
      <c r="BH768" t="s">
        <v>12687</v>
      </c>
      <c r="BI768">
        <v>15</v>
      </c>
      <c r="BJ768" t="s">
        <v>13803</v>
      </c>
      <c r="BK768" t="s">
        <v>211</v>
      </c>
      <c r="BL768" t="s">
        <v>13803</v>
      </c>
      <c r="BM768" t="s">
        <v>13804</v>
      </c>
      <c r="BN768" t="s">
        <v>74</v>
      </c>
      <c r="BO768" t="s">
        <v>74</v>
      </c>
      <c r="BP768" t="s">
        <v>74</v>
      </c>
      <c r="BQ768" t="s">
        <v>74</v>
      </c>
      <c r="BR768" t="s">
        <v>105</v>
      </c>
      <c r="BS768" t="s">
        <v>13805</v>
      </c>
      <c r="BT768" t="str">
        <f>HYPERLINK("https%3A%2F%2Fwww.webofscience.com%2Fwos%2Fwoscc%2Ffull-record%2FWOS:001030038700001","View Full Record in Web of Science")</f>
        <v>View Full Record in Web of Science</v>
      </c>
    </row>
    <row r="769" spans="1:72" x14ac:dyDescent="0.15">
      <c r="A769" t="s">
        <v>72</v>
      </c>
      <c r="B769" t="s">
        <v>13806</v>
      </c>
      <c r="C769" t="s">
        <v>74</v>
      </c>
      <c r="D769" t="s">
        <v>74</v>
      </c>
      <c r="E769" t="s">
        <v>74</v>
      </c>
      <c r="F769" t="s">
        <v>13807</v>
      </c>
      <c r="G769" t="s">
        <v>74</v>
      </c>
      <c r="H769" t="s">
        <v>74</v>
      </c>
      <c r="I769" t="s">
        <v>13808</v>
      </c>
      <c r="J769" t="s">
        <v>10196</v>
      </c>
      <c r="K769" t="s">
        <v>74</v>
      </c>
      <c r="L769" t="s">
        <v>74</v>
      </c>
      <c r="M769" t="s">
        <v>78</v>
      </c>
      <c r="N769" t="s">
        <v>6754</v>
      </c>
      <c r="O769" t="s">
        <v>74</v>
      </c>
      <c r="P769" t="s">
        <v>74</v>
      </c>
      <c r="Q769" t="s">
        <v>74</v>
      </c>
      <c r="R769" t="s">
        <v>74</v>
      </c>
      <c r="S769" t="s">
        <v>74</v>
      </c>
      <c r="T769" t="s">
        <v>13809</v>
      </c>
      <c r="U769" t="s">
        <v>13810</v>
      </c>
      <c r="V769" t="s">
        <v>13811</v>
      </c>
      <c r="W769" t="s">
        <v>13812</v>
      </c>
      <c r="X769" t="s">
        <v>13813</v>
      </c>
      <c r="Y769" t="s">
        <v>13814</v>
      </c>
      <c r="Z769" t="s">
        <v>13815</v>
      </c>
      <c r="AA769" t="s">
        <v>74</v>
      </c>
      <c r="AB769" t="s">
        <v>13816</v>
      </c>
      <c r="AC769" t="s">
        <v>74</v>
      </c>
      <c r="AD769" t="s">
        <v>74</v>
      </c>
      <c r="AE769" t="s">
        <v>74</v>
      </c>
      <c r="AF769" t="s">
        <v>74</v>
      </c>
      <c r="AG769">
        <v>58</v>
      </c>
      <c r="AH769">
        <v>0</v>
      </c>
      <c r="AI769">
        <v>0</v>
      </c>
      <c r="AJ769">
        <v>1</v>
      </c>
      <c r="AK769">
        <v>1</v>
      </c>
      <c r="AL769" t="s">
        <v>92</v>
      </c>
      <c r="AM769" t="s">
        <v>93</v>
      </c>
      <c r="AN769" t="s">
        <v>94</v>
      </c>
      <c r="AO769" t="s">
        <v>10204</v>
      </c>
      <c r="AP769" t="s">
        <v>10205</v>
      </c>
      <c r="AQ769" t="s">
        <v>74</v>
      </c>
      <c r="AR769" t="s">
        <v>10206</v>
      </c>
      <c r="AS769" t="s">
        <v>10207</v>
      </c>
      <c r="AT769" t="s">
        <v>13778</v>
      </c>
      <c r="AU769">
        <v>2023</v>
      </c>
      <c r="AV769" t="s">
        <v>74</v>
      </c>
      <c r="AW769" t="s">
        <v>74</v>
      </c>
      <c r="AX769" t="s">
        <v>74</v>
      </c>
      <c r="AY769" t="s">
        <v>74</v>
      </c>
      <c r="AZ769" t="s">
        <v>74</v>
      </c>
      <c r="BA769" t="s">
        <v>74</v>
      </c>
      <c r="BB769" t="s">
        <v>74</v>
      </c>
      <c r="BC769" t="s">
        <v>74</v>
      </c>
      <c r="BD769" t="s">
        <v>74</v>
      </c>
      <c r="BE769" t="s">
        <v>13817</v>
      </c>
      <c r="BF769" t="str">
        <f>HYPERLINK("http://dx.doi.org/10.1080/17474086.2023.2233701","http://dx.doi.org/10.1080/17474086.2023.2233701")</f>
        <v>http://dx.doi.org/10.1080/17474086.2023.2233701</v>
      </c>
      <c r="BG769" t="s">
        <v>74</v>
      </c>
      <c r="BH769" t="s">
        <v>12687</v>
      </c>
      <c r="BI769">
        <v>14</v>
      </c>
      <c r="BJ769" t="s">
        <v>144</v>
      </c>
      <c r="BK769" t="s">
        <v>102</v>
      </c>
      <c r="BL769" t="s">
        <v>144</v>
      </c>
      <c r="BM769" t="s">
        <v>13818</v>
      </c>
      <c r="BN769">
        <v>37405412</v>
      </c>
      <c r="BO769" t="s">
        <v>887</v>
      </c>
      <c r="BP769" t="s">
        <v>74</v>
      </c>
      <c r="BQ769" t="s">
        <v>74</v>
      </c>
      <c r="BR769" t="s">
        <v>105</v>
      </c>
      <c r="BS769" t="s">
        <v>13819</v>
      </c>
      <c r="BT769" t="str">
        <f>HYPERLINK("https%3A%2F%2Fwww.webofscience.com%2Fwos%2Fwoscc%2Ffull-record%2FWOS:001031462800001","View Full Record in Web of Science")</f>
        <v>View Full Record in Web of Science</v>
      </c>
    </row>
    <row r="770" spans="1:72" x14ac:dyDescent="0.15">
      <c r="A770" t="s">
        <v>72</v>
      </c>
      <c r="B770" t="s">
        <v>13820</v>
      </c>
      <c r="C770" t="s">
        <v>74</v>
      </c>
      <c r="D770" t="s">
        <v>74</v>
      </c>
      <c r="E770" t="s">
        <v>74</v>
      </c>
      <c r="F770" t="s">
        <v>13821</v>
      </c>
      <c r="G770" t="s">
        <v>74</v>
      </c>
      <c r="H770" t="s">
        <v>74</v>
      </c>
      <c r="I770" t="s">
        <v>13822</v>
      </c>
      <c r="J770" t="s">
        <v>13823</v>
      </c>
      <c r="K770" t="s">
        <v>74</v>
      </c>
      <c r="L770" t="s">
        <v>74</v>
      </c>
      <c r="M770" t="s">
        <v>78</v>
      </c>
      <c r="N770" t="s">
        <v>5492</v>
      </c>
      <c r="O770" t="s">
        <v>74</v>
      </c>
      <c r="P770" t="s">
        <v>74</v>
      </c>
      <c r="Q770" t="s">
        <v>74</v>
      </c>
      <c r="R770" t="s">
        <v>74</v>
      </c>
      <c r="S770" t="s">
        <v>74</v>
      </c>
      <c r="T770" t="s">
        <v>13824</v>
      </c>
      <c r="U770" t="s">
        <v>13825</v>
      </c>
      <c r="V770" t="s">
        <v>13826</v>
      </c>
      <c r="W770" t="s">
        <v>13827</v>
      </c>
      <c r="X770" t="s">
        <v>13828</v>
      </c>
      <c r="Y770" t="s">
        <v>13829</v>
      </c>
      <c r="Z770" t="s">
        <v>13830</v>
      </c>
      <c r="AA770" t="s">
        <v>13831</v>
      </c>
      <c r="AB770" t="s">
        <v>13832</v>
      </c>
      <c r="AC770" t="s">
        <v>74</v>
      </c>
      <c r="AD770" t="s">
        <v>74</v>
      </c>
      <c r="AE770" t="s">
        <v>74</v>
      </c>
      <c r="AF770" t="s">
        <v>74</v>
      </c>
      <c r="AG770">
        <v>38</v>
      </c>
      <c r="AH770">
        <v>0</v>
      </c>
      <c r="AI770">
        <v>0</v>
      </c>
      <c r="AJ770">
        <v>0</v>
      </c>
      <c r="AK770">
        <v>0</v>
      </c>
      <c r="AL770" t="s">
        <v>92</v>
      </c>
      <c r="AM770" t="s">
        <v>93</v>
      </c>
      <c r="AN770" t="s">
        <v>94</v>
      </c>
      <c r="AO770" t="s">
        <v>13833</v>
      </c>
      <c r="AP770" t="s">
        <v>13834</v>
      </c>
      <c r="AQ770" t="s">
        <v>74</v>
      </c>
      <c r="AR770" t="s">
        <v>13835</v>
      </c>
      <c r="AS770" t="s">
        <v>13836</v>
      </c>
      <c r="AT770" t="s">
        <v>13778</v>
      </c>
      <c r="AU770">
        <v>2023</v>
      </c>
      <c r="AV770" t="s">
        <v>74</v>
      </c>
      <c r="AW770" t="s">
        <v>74</v>
      </c>
      <c r="AX770" t="s">
        <v>74</v>
      </c>
      <c r="AY770" t="s">
        <v>74</v>
      </c>
      <c r="AZ770" t="s">
        <v>74</v>
      </c>
      <c r="BA770" t="s">
        <v>74</v>
      </c>
      <c r="BB770" t="s">
        <v>74</v>
      </c>
      <c r="BC770" t="s">
        <v>74</v>
      </c>
      <c r="BD770" t="s">
        <v>74</v>
      </c>
      <c r="BE770" t="s">
        <v>13837</v>
      </c>
      <c r="BF770" t="str">
        <f>HYPERLINK("http://dx.doi.org/10.1080/13506129.2023.2235881","http://dx.doi.org/10.1080/13506129.2023.2235881")</f>
        <v>http://dx.doi.org/10.1080/13506129.2023.2235881</v>
      </c>
      <c r="BG770" t="s">
        <v>74</v>
      </c>
      <c r="BH770" t="s">
        <v>12687</v>
      </c>
      <c r="BI770">
        <v>10</v>
      </c>
      <c r="BJ770" t="s">
        <v>13838</v>
      </c>
      <c r="BK770" t="s">
        <v>102</v>
      </c>
      <c r="BL770" t="s">
        <v>13839</v>
      </c>
      <c r="BM770" t="s">
        <v>13840</v>
      </c>
      <c r="BN770">
        <v>37486102</v>
      </c>
      <c r="BO770" t="s">
        <v>5486</v>
      </c>
      <c r="BP770" t="s">
        <v>74</v>
      </c>
      <c r="BQ770" t="s">
        <v>74</v>
      </c>
      <c r="BR770" t="s">
        <v>105</v>
      </c>
      <c r="BS770" t="s">
        <v>13841</v>
      </c>
      <c r="BT770" t="str">
        <f>HYPERLINK("https%3A%2F%2Fwww.webofscience.com%2Fwos%2Fwoscc%2Ffull-record%2FWOS:001032203200001","View Full Record in Web of Science")</f>
        <v>View Full Record in Web of Science</v>
      </c>
    </row>
    <row r="771" spans="1:72" x14ac:dyDescent="0.15">
      <c r="A771" t="s">
        <v>72</v>
      </c>
      <c r="B771" t="s">
        <v>13842</v>
      </c>
      <c r="C771" t="s">
        <v>74</v>
      </c>
      <c r="D771" t="s">
        <v>74</v>
      </c>
      <c r="E771" t="s">
        <v>74</v>
      </c>
      <c r="F771" t="s">
        <v>13843</v>
      </c>
      <c r="G771" t="s">
        <v>74</v>
      </c>
      <c r="H771" t="s">
        <v>74</v>
      </c>
      <c r="I771" t="s">
        <v>13844</v>
      </c>
      <c r="J771" t="s">
        <v>13845</v>
      </c>
      <c r="K771" t="s">
        <v>74</v>
      </c>
      <c r="L771" t="s">
        <v>74</v>
      </c>
      <c r="M771" t="s">
        <v>78</v>
      </c>
      <c r="N771" t="s">
        <v>6253</v>
      </c>
      <c r="O771" t="s">
        <v>74</v>
      </c>
      <c r="P771" t="s">
        <v>74</v>
      </c>
      <c r="Q771" t="s">
        <v>74</v>
      </c>
      <c r="R771" t="s">
        <v>74</v>
      </c>
      <c r="S771" t="s">
        <v>74</v>
      </c>
      <c r="T771" t="s">
        <v>74</v>
      </c>
      <c r="U771" t="s">
        <v>74</v>
      </c>
      <c r="V771" t="s">
        <v>74</v>
      </c>
      <c r="W771" t="s">
        <v>13846</v>
      </c>
      <c r="X771" t="s">
        <v>13847</v>
      </c>
      <c r="Y771" t="s">
        <v>13848</v>
      </c>
      <c r="Z771" t="s">
        <v>13849</v>
      </c>
      <c r="AA771" t="s">
        <v>13850</v>
      </c>
      <c r="AB771" t="s">
        <v>13851</v>
      </c>
      <c r="AC771" t="s">
        <v>13852</v>
      </c>
      <c r="AD771" t="s">
        <v>13853</v>
      </c>
      <c r="AE771" t="s">
        <v>13854</v>
      </c>
      <c r="AF771" t="s">
        <v>74</v>
      </c>
      <c r="AG771">
        <v>3</v>
      </c>
      <c r="AH771">
        <v>0</v>
      </c>
      <c r="AI771">
        <v>0</v>
      </c>
      <c r="AJ771">
        <v>2</v>
      </c>
      <c r="AK771">
        <v>2</v>
      </c>
      <c r="AL771" t="s">
        <v>1188</v>
      </c>
      <c r="AM771" t="s">
        <v>93</v>
      </c>
      <c r="AN771" t="s">
        <v>1189</v>
      </c>
      <c r="AO771" t="s">
        <v>13855</v>
      </c>
      <c r="AP771" t="s">
        <v>13856</v>
      </c>
      <c r="AQ771" t="s">
        <v>74</v>
      </c>
      <c r="AR771" t="s">
        <v>13857</v>
      </c>
      <c r="AS771" t="s">
        <v>13858</v>
      </c>
      <c r="AT771" t="s">
        <v>13778</v>
      </c>
      <c r="AU771">
        <v>2023</v>
      </c>
      <c r="AV771" t="s">
        <v>74</v>
      </c>
      <c r="AW771" t="s">
        <v>74</v>
      </c>
      <c r="AX771" t="s">
        <v>74</v>
      </c>
      <c r="AY771" t="s">
        <v>74</v>
      </c>
      <c r="AZ771" t="s">
        <v>74</v>
      </c>
      <c r="BA771" t="s">
        <v>74</v>
      </c>
      <c r="BB771" t="s">
        <v>74</v>
      </c>
      <c r="BC771" t="s">
        <v>74</v>
      </c>
      <c r="BD771" t="s">
        <v>74</v>
      </c>
      <c r="BE771" t="s">
        <v>13859</v>
      </c>
      <c r="BF771" t="str">
        <f>HYPERLINK("http://dx.doi.org/10.1080/13670050.2023.2237644","http://dx.doi.org/10.1080/13670050.2023.2237644")</f>
        <v>http://dx.doi.org/10.1080/13670050.2023.2237644</v>
      </c>
      <c r="BG771" t="s">
        <v>74</v>
      </c>
      <c r="BH771" t="s">
        <v>12687</v>
      </c>
      <c r="BI771">
        <v>4</v>
      </c>
      <c r="BJ771" t="s">
        <v>8142</v>
      </c>
      <c r="BK771" t="s">
        <v>7170</v>
      </c>
      <c r="BL771" t="s">
        <v>8143</v>
      </c>
      <c r="BM771" t="s">
        <v>13860</v>
      </c>
      <c r="BN771" t="s">
        <v>74</v>
      </c>
      <c r="BO771" t="s">
        <v>74</v>
      </c>
      <c r="BP771" t="s">
        <v>74</v>
      </c>
      <c r="BQ771" t="s">
        <v>74</v>
      </c>
      <c r="BR771" t="s">
        <v>105</v>
      </c>
      <c r="BS771" t="s">
        <v>13861</v>
      </c>
      <c r="BT771" t="str">
        <f>HYPERLINK("https%3A%2F%2Fwww.webofscience.com%2Fwos%2Fwoscc%2Ffull-record%2FWOS:001035651500001","View Full Record in Web of Science")</f>
        <v>View Full Record in Web of Science</v>
      </c>
    </row>
    <row r="772" spans="1:72" x14ac:dyDescent="0.15">
      <c r="A772" t="s">
        <v>72</v>
      </c>
      <c r="B772" t="s">
        <v>13862</v>
      </c>
      <c r="C772" t="s">
        <v>74</v>
      </c>
      <c r="D772" t="s">
        <v>74</v>
      </c>
      <c r="E772" t="s">
        <v>74</v>
      </c>
      <c r="F772" t="s">
        <v>13863</v>
      </c>
      <c r="G772" t="s">
        <v>74</v>
      </c>
      <c r="H772" t="s">
        <v>74</v>
      </c>
      <c r="I772" t="s">
        <v>13864</v>
      </c>
      <c r="J772" t="s">
        <v>5441</v>
      </c>
      <c r="K772" t="s">
        <v>74</v>
      </c>
      <c r="L772" t="s">
        <v>74</v>
      </c>
      <c r="M772" t="s">
        <v>78</v>
      </c>
      <c r="N772" t="s">
        <v>5492</v>
      </c>
      <c r="O772" t="s">
        <v>74</v>
      </c>
      <c r="P772" t="s">
        <v>74</v>
      </c>
      <c r="Q772" t="s">
        <v>74</v>
      </c>
      <c r="R772" t="s">
        <v>74</v>
      </c>
      <c r="S772" t="s">
        <v>74</v>
      </c>
      <c r="T772" t="s">
        <v>13865</v>
      </c>
      <c r="U772" t="s">
        <v>13866</v>
      </c>
      <c r="V772" t="s">
        <v>13867</v>
      </c>
      <c r="W772" t="s">
        <v>13868</v>
      </c>
      <c r="X772" t="s">
        <v>13869</v>
      </c>
      <c r="Y772" t="s">
        <v>13870</v>
      </c>
      <c r="Z772" t="s">
        <v>13871</v>
      </c>
      <c r="AA772" t="s">
        <v>74</v>
      </c>
      <c r="AB772" t="s">
        <v>13872</v>
      </c>
      <c r="AC772" t="s">
        <v>74</v>
      </c>
      <c r="AD772" t="s">
        <v>74</v>
      </c>
      <c r="AE772" t="s">
        <v>74</v>
      </c>
      <c r="AF772" t="s">
        <v>74</v>
      </c>
      <c r="AG772">
        <v>46</v>
      </c>
      <c r="AH772">
        <v>0</v>
      </c>
      <c r="AI772">
        <v>0</v>
      </c>
      <c r="AJ772">
        <v>0</v>
      </c>
      <c r="AK772">
        <v>0</v>
      </c>
      <c r="AL772" t="s">
        <v>1188</v>
      </c>
      <c r="AM772" t="s">
        <v>93</v>
      </c>
      <c r="AN772" t="s">
        <v>1189</v>
      </c>
      <c r="AO772" t="s">
        <v>5442</v>
      </c>
      <c r="AP772" t="s">
        <v>5443</v>
      </c>
      <c r="AQ772" t="s">
        <v>74</v>
      </c>
      <c r="AR772" t="s">
        <v>5444</v>
      </c>
      <c r="AS772" t="s">
        <v>5445</v>
      </c>
      <c r="AT772" t="s">
        <v>13778</v>
      </c>
      <c r="AU772">
        <v>2023</v>
      </c>
      <c r="AV772" t="s">
        <v>74</v>
      </c>
      <c r="AW772" t="s">
        <v>74</v>
      </c>
      <c r="AX772" t="s">
        <v>74</v>
      </c>
      <c r="AY772" t="s">
        <v>74</v>
      </c>
      <c r="AZ772" t="s">
        <v>74</v>
      </c>
      <c r="BA772" t="s">
        <v>74</v>
      </c>
      <c r="BB772" t="s">
        <v>74</v>
      </c>
      <c r="BC772" t="s">
        <v>74</v>
      </c>
      <c r="BD772" t="s">
        <v>74</v>
      </c>
      <c r="BE772" t="s">
        <v>13873</v>
      </c>
      <c r="BF772" t="str">
        <f>HYPERLINK("http://dx.doi.org/10.1080/01419870.2023.2235419","http://dx.doi.org/10.1080/01419870.2023.2235419")</f>
        <v>http://dx.doi.org/10.1080/01419870.2023.2235419</v>
      </c>
      <c r="BG772" t="s">
        <v>74</v>
      </c>
      <c r="BH772" t="s">
        <v>12687</v>
      </c>
      <c r="BI772">
        <v>24</v>
      </c>
      <c r="BJ772" t="s">
        <v>5447</v>
      </c>
      <c r="BK772" t="s">
        <v>272</v>
      </c>
      <c r="BL772" t="s">
        <v>5447</v>
      </c>
      <c r="BM772" t="s">
        <v>13874</v>
      </c>
      <c r="BN772" t="s">
        <v>74</v>
      </c>
      <c r="BO772" t="s">
        <v>5486</v>
      </c>
      <c r="BP772" t="s">
        <v>74</v>
      </c>
      <c r="BQ772" t="s">
        <v>74</v>
      </c>
      <c r="BR772" t="s">
        <v>105</v>
      </c>
      <c r="BS772" t="s">
        <v>13875</v>
      </c>
      <c r="BT772" t="str">
        <f>HYPERLINK("https%3A%2F%2Fwww.webofscience.com%2Fwos%2Fwoscc%2Ffull-record%2FWOS:001034411200001","View Full Record in Web of Science")</f>
        <v>View Full Record in Web of Science</v>
      </c>
    </row>
    <row r="773" spans="1:72" x14ac:dyDescent="0.15">
      <c r="A773" t="s">
        <v>72</v>
      </c>
      <c r="B773" t="s">
        <v>13876</v>
      </c>
      <c r="C773" t="s">
        <v>74</v>
      </c>
      <c r="D773" t="s">
        <v>74</v>
      </c>
      <c r="E773" t="s">
        <v>74</v>
      </c>
      <c r="F773" t="s">
        <v>13877</v>
      </c>
      <c r="G773" t="s">
        <v>74</v>
      </c>
      <c r="H773" t="s">
        <v>74</v>
      </c>
      <c r="I773" t="s">
        <v>13878</v>
      </c>
      <c r="J773" t="s">
        <v>13879</v>
      </c>
      <c r="K773" t="s">
        <v>74</v>
      </c>
      <c r="L773" t="s">
        <v>74</v>
      </c>
      <c r="M773" t="s">
        <v>78</v>
      </c>
      <c r="N773" t="s">
        <v>5492</v>
      </c>
      <c r="O773" t="s">
        <v>74</v>
      </c>
      <c r="P773" t="s">
        <v>74</v>
      </c>
      <c r="Q773" t="s">
        <v>74</v>
      </c>
      <c r="R773" t="s">
        <v>74</v>
      </c>
      <c r="S773" t="s">
        <v>74</v>
      </c>
      <c r="T773" t="s">
        <v>13880</v>
      </c>
      <c r="U773" t="s">
        <v>13881</v>
      </c>
      <c r="V773" t="s">
        <v>13882</v>
      </c>
      <c r="W773" t="s">
        <v>13883</v>
      </c>
      <c r="X773" t="s">
        <v>13884</v>
      </c>
      <c r="Y773" t="s">
        <v>13885</v>
      </c>
      <c r="Z773" t="s">
        <v>13886</v>
      </c>
      <c r="AA773" t="s">
        <v>74</v>
      </c>
      <c r="AB773" t="s">
        <v>74</v>
      </c>
      <c r="AC773" t="s">
        <v>74</v>
      </c>
      <c r="AD773" t="s">
        <v>74</v>
      </c>
      <c r="AE773" t="s">
        <v>74</v>
      </c>
      <c r="AF773" t="s">
        <v>74</v>
      </c>
      <c r="AG773">
        <v>39</v>
      </c>
      <c r="AH773">
        <v>0</v>
      </c>
      <c r="AI773">
        <v>0</v>
      </c>
      <c r="AJ773">
        <v>1</v>
      </c>
      <c r="AK773">
        <v>1</v>
      </c>
      <c r="AL773" t="s">
        <v>92</v>
      </c>
      <c r="AM773" t="s">
        <v>93</v>
      </c>
      <c r="AN773" t="s">
        <v>94</v>
      </c>
      <c r="AO773" t="s">
        <v>13887</v>
      </c>
      <c r="AP773" t="s">
        <v>13888</v>
      </c>
      <c r="AQ773" t="s">
        <v>74</v>
      </c>
      <c r="AR773" t="s">
        <v>13889</v>
      </c>
      <c r="AS773" t="s">
        <v>13890</v>
      </c>
      <c r="AT773" t="s">
        <v>13778</v>
      </c>
      <c r="AU773">
        <v>2023</v>
      </c>
      <c r="AV773" t="s">
        <v>74</v>
      </c>
      <c r="AW773" t="s">
        <v>74</v>
      </c>
      <c r="AX773" t="s">
        <v>74</v>
      </c>
      <c r="AY773" t="s">
        <v>74</v>
      </c>
      <c r="AZ773" t="s">
        <v>74</v>
      </c>
      <c r="BA773" t="s">
        <v>74</v>
      </c>
      <c r="BB773" t="s">
        <v>74</v>
      </c>
      <c r="BC773" t="s">
        <v>74</v>
      </c>
      <c r="BD773" t="s">
        <v>74</v>
      </c>
      <c r="BE773" t="s">
        <v>13891</v>
      </c>
      <c r="BF773" t="str">
        <f>HYPERLINK("http://dx.doi.org/10.1080/10485252.2023.2238841","http://dx.doi.org/10.1080/10485252.2023.2238841")</f>
        <v>http://dx.doi.org/10.1080/10485252.2023.2238841</v>
      </c>
      <c r="BG773" t="s">
        <v>74</v>
      </c>
      <c r="BH773" t="s">
        <v>12687</v>
      </c>
      <c r="BI773">
        <v>33</v>
      </c>
      <c r="BJ773" t="s">
        <v>5630</v>
      </c>
      <c r="BK773" t="s">
        <v>102</v>
      </c>
      <c r="BL773" t="s">
        <v>5435</v>
      </c>
      <c r="BM773" t="s">
        <v>13892</v>
      </c>
      <c r="BN773" t="s">
        <v>74</v>
      </c>
      <c r="BO773" t="s">
        <v>74</v>
      </c>
      <c r="BP773" t="s">
        <v>74</v>
      </c>
      <c r="BQ773" t="s">
        <v>74</v>
      </c>
      <c r="BR773" t="s">
        <v>105</v>
      </c>
      <c r="BS773" t="s">
        <v>13893</v>
      </c>
      <c r="BT773" t="str">
        <f>HYPERLINK("https%3A%2F%2Fwww.webofscience.com%2Fwos%2Fwoscc%2Ffull-record%2FWOS:001032210500001","View Full Record in Web of Science")</f>
        <v>View Full Record in Web of Science</v>
      </c>
    </row>
    <row r="774" spans="1:72" x14ac:dyDescent="0.15">
      <c r="A774" t="s">
        <v>72</v>
      </c>
      <c r="B774" t="s">
        <v>13894</v>
      </c>
      <c r="C774" t="s">
        <v>74</v>
      </c>
      <c r="D774" t="s">
        <v>74</v>
      </c>
      <c r="E774" t="s">
        <v>74</v>
      </c>
      <c r="F774" t="s">
        <v>13895</v>
      </c>
      <c r="G774" t="s">
        <v>74</v>
      </c>
      <c r="H774" t="s">
        <v>74</v>
      </c>
      <c r="I774" t="s">
        <v>13896</v>
      </c>
      <c r="J774" t="s">
        <v>13897</v>
      </c>
      <c r="K774" t="s">
        <v>74</v>
      </c>
      <c r="L774" t="s">
        <v>74</v>
      </c>
      <c r="M774" t="s">
        <v>78</v>
      </c>
      <c r="N774" t="s">
        <v>5492</v>
      </c>
      <c r="O774" t="s">
        <v>74</v>
      </c>
      <c r="P774" t="s">
        <v>74</v>
      </c>
      <c r="Q774" t="s">
        <v>74</v>
      </c>
      <c r="R774" t="s">
        <v>74</v>
      </c>
      <c r="S774" t="s">
        <v>74</v>
      </c>
      <c r="T774" t="s">
        <v>13898</v>
      </c>
      <c r="U774" t="s">
        <v>13899</v>
      </c>
      <c r="V774" t="s">
        <v>13900</v>
      </c>
      <c r="W774" t="s">
        <v>13901</v>
      </c>
      <c r="X774" t="s">
        <v>13902</v>
      </c>
      <c r="Y774" t="s">
        <v>13903</v>
      </c>
      <c r="Z774" t="s">
        <v>13904</v>
      </c>
      <c r="AA774" t="s">
        <v>74</v>
      </c>
      <c r="AB774" t="s">
        <v>74</v>
      </c>
      <c r="AC774" t="s">
        <v>74</v>
      </c>
      <c r="AD774" t="s">
        <v>74</v>
      </c>
      <c r="AE774" t="s">
        <v>74</v>
      </c>
      <c r="AF774" t="s">
        <v>74</v>
      </c>
      <c r="AG774">
        <v>60</v>
      </c>
      <c r="AH774">
        <v>0</v>
      </c>
      <c r="AI774">
        <v>0</v>
      </c>
      <c r="AJ774">
        <v>0</v>
      </c>
      <c r="AK774">
        <v>0</v>
      </c>
      <c r="AL774" t="s">
        <v>1188</v>
      </c>
      <c r="AM774" t="s">
        <v>93</v>
      </c>
      <c r="AN774" t="s">
        <v>1189</v>
      </c>
      <c r="AO774" t="s">
        <v>13905</v>
      </c>
      <c r="AP774" t="s">
        <v>13906</v>
      </c>
      <c r="AQ774" t="s">
        <v>74</v>
      </c>
      <c r="AR774" t="s">
        <v>13907</v>
      </c>
      <c r="AS774" t="s">
        <v>13908</v>
      </c>
      <c r="AT774" t="s">
        <v>13909</v>
      </c>
      <c r="AU774">
        <v>2023</v>
      </c>
      <c r="AV774" t="s">
        <v>74</v>
      </c>
      <c r="AW774" t="s">
        <v>74</v>
      </c>
      <c r="AX774" t="s">
        <v>74</v>
      </c>
      <c r="AY774" t="s">
        <v>74</v>
      </c>
      <c r="AZ774" t="s">
        <v>74</v>
      </c>
      <c r="BA774" t="s">
        <v>74</v>
      </c>
      <c r="BB774" t="s">
        <v>74</v>
      </c>
      <c r="BC774" t="s">
        <v>74</v>
      </c>
      <c r="BD774" t="s">
        <v>74</v>
      </c>
      <c r="BE774" t="s">
        <v>13910</v>
      </c>
      <c r="BF774" t="str">
        <f>HYPERLINK("http://dx.doi.org/10.1080/13596748.2023.2221119","http://dx.doi.org/10.1080/13596748.2023.2221119")</f>
        <v>http://dx.doi.org/10.1080/13596748.2023.2221119</v>
      </c>
      <c r="BG774" t="s">
        <v>74</v>
      </c>
      <c r="BH774" t="s">
        <v>12687</v>
      </c>
      <c r="BI774">
        <v>21</v>
      </c>
      <c r="BJ774" t="s">
        <v>271</v>
      </c>
      <c r="BK774" t="s">
        <v>211</v>
      </c>
      <c r="BL774" t="s">
        <v>271</v>
      </c>
      <c r="BM774" t="s">
        <v>13911</v>
      </c>
      <c r="BN774" t="s">
        <v>74</v>
      </c>
      <c r="BO774" t="s">
        <v>74</v>
      </c>
      <c r="BP774" t="s">
        <v>74</v>
      </c>
      <c r="BQ774" t="s">
        <v>74</v>
      </c>
      <c r="BR774" t="s">
        <v>105</v>
      </c>
      <c r="BS774" t="s">
        <v>13912</v>
      </c>
      <c r="BT774" t="str">
        <f>HYPERLINK("https%3A%2F%2Fwww.webofscience.com%2Fwos%2Fwoscc%2Ffull-record%2FWOS:001032117600001","View Full Record in Web of Science")</f>
        <v>View Full Record in Web of Science</v>
      </c>
    </row>
    <row r="775" spans="1:72" x14ac:dyDescent="0.15">
      <c r="A775" t="s">
        <v>72</v>
      </c>
      <c r="B775" t="s">
        <v>13913</v>
      </c>
      <c r="C775" t="s">
        <v>74</v>
      </c>
      <c r="D775" t="s">
        <v>74</v>
      </c>
      <c r="E775" t="s">
        <v>74</v>
      </c>
      <c r="F775" t="s">
        <v>13914</v>
      </c>
      <c r="G775" t="s">
        <v>74</v>
      </c>
      <c r="H775" t="s">
        <v>74</v>
      </c>
      <c r="I775" t="s">
        <v>13915</v>
      </c>
      <c r="J775" t="s">
        <v>6753</v>
      </c>
      <c r="K775" t="s">
        <v>74</v>
      </c>
      <c r="L775" t="s">
        <v>74</v>
      </c>
      <c r="M775" t="s">
        <v>78</v>
      </c>
      <c r="N775" t="s">
        <v>5492</v>
      </c>
      <c r="O775" t="s">
        <v>74</v>
      </c>
      <c r="P775" t="s">
        <v>74</v>
      </c>
      <c r="Q775" t="s">
        <v>74</v>
      </c>
      <c r="R775" t="s">
        <v>74</v>
      </c>
      <c r="S775" t="s">
        <v>74</v>
      </c>
      <c r="T775" t="s">
        <v>13916</v>
      </c>
      <c r="U775" t="s">
        <v>13917</v>
      </c>
      <c r="V775" t="s">
        <v>13918</v>
      </c>
      <c r="W775" t="s">
        <v>13919</v>
      </c>
      <c r="X775" t="s">
        <v>10603</v>
      </c>
      <c r="Y775" t="s">
        <v>13920</v>
      </c>
      <c r="Z775" t="s">
        <v>13921</v>
      </c>
      <c r="AA775" t="s">
        <v>74</v>
      </c>
      <c r="AB775" t="s">
        <v>13922</v>
      </c>
      <c r="AC775" t="s">
        <v>74</v>
      </c>
      <c r="AD775" t="s">
        <v>74</v>
      </c>
      <c r="AE775" t="s">
        <v>74</v>
      </c>
      <c r="AF775" t="s">
        <v>74</v>
      </c>
      <c r="AG775">
        <v>103</v>
      </c>
      <c r="AH775">
        <v>0</v>
      </c>
      <c r="AI775">
        <v>0</v>
      </c>
      <c r="AJ775">
        <v>0</v>
      </c>
      <c r="AK775">
        <v>0</v>
      </c>
      <c r="AL775" t="s">
        <v>1188</v>
      </c>
      <c r="AM775" t="s">
        <v>93</v>
      </c>
      <c r="AN775" t="s">
        <v>1189</v>
      </c>
      <c r="AO775" t="s">
        <v>6763</v>
      </c>
      <c r="AP775" t="s">
        <v>6764</v>
      </c>
      <c r="AQ775" t="s">
        <v>74</v>
      </c>
      <c r="AR775" t="s">
        <v>6765</v>
      </c>
      <c r="AS775" t="s">
        <v>6766</v>
      </c>
      <c r="AT775" t="s">
        <v>13909</v>
      </c>
      <c r="AU775">
        <v>2023</v>
      </c>
      <c r="AV775" t="s">
        <v>74</v>
      </c>
      <c r="AW775" t="s">
        <v>74</v>
      </c>
      <c r="AX775" t="s">
        <v>74</v>
      </c>
      <c r="AY775" t="s">
        <v>74</v>
      </c>
      <c r="AZ775" t="s">
        <v>74</v>
      </c>
      <c r="BA775" t="s">
        <v>74</v>
      </c>
      <c r="BB775" t="s">
        <v>74</v>
      </c>
      <c r="BC775" t="s">
        <v>74</v>
      </c>
      <c r="BD775" t="s">
        <v>74</v>
      </c>
      <c r="BE775" t="s">
        <v>13923</v>
      </c>
      <c r="BF775" t="str">
        <f>HYPERLINK("http://dx.doi.org/10.1080/03323315.2023.2236597","http://dx.doi.org/10.1080/03323315.2023.2236597")</f>
        <v>http://dx.doi.org/10.1080/03323315.2023.2236597</v>
      </c>
      <c r="BG775" t="s">
        <v>74</v>
      </c>
      <c r="BH775" t="s">
        <v>12687</v>
      </c>
      <c r="BI775">
        <v>24</v>
      </c>
      <c r="BJ775" t="s">
        <v>271</v>
      </c>
      <c r="BK775" t="s">
        <v>272</v>
      </c>
      <c r="BL775" t="s">
        <v>271</v>
      </c>
      <c r="BM775" t="s">
        <v>13924</v>
      </c>
      <c r="BN775" t="s">
        <v>74</v>
      </c>
      <c r="BO775" t="s">
        <v>887</v>
      </c>
      <c r="BP775" t="s">
        <v>74</v>
      </c>
      <c r="BQ775" t="s">
        <v>74</v>
      </c>
      <c r="BR775" t="s">
        <v>105</v>
      </c>
      <c r="BS775" t="s">
        <v>13925</v>
      </c>
      <c r="BT775" t="str">
        <f>HYPERLINK("https%3A%2F%2Fwww.webofscience.com%2Fwos%2Fwoscc%2Ffull-record%2FWOS:001032227700001","View Full Record in Web of Science")</f>
        <v>View Full Record in Web of Science</v>
      </c>
    </row>
    <row r="776" spans="1:72" x14ac:dyDescent="0.15">
      <c r="A776" t="s">
        <v>72</v>
      </c>
      <c r="B776" t="s">
        <v>13926</v>
      </c>
      <c r="C776" t="s">
        <v>74</v>
      </c>
      <c r="D776" t="s">
        <v>74</v>
      </c>
      <c r="E776" t="s">
        <v>74</v>
      </c>
      <c r="F776" t="s">
        <v>13927</v>
      </c>
      <c r="G776" t="s">
        <v>74</v>
      </c>
      <c r="H776" t="s">
        <v>74</v>
      </c>
      <c r="I776" t="s">
        <v>13928</v>
      </c>
      <c r="J776" t="s">
        <v>11454</v>
      </c>
      <c r="K776" t="s">
        <v>74</v>
      </c>
      <c r="L776" t="s">
        <v>74</v>
      </c>
      <c r="M776" t="s">
        <v>78</v>
      </c>
      <c r="N776" t="s">
        <v>6754</v>
      </c>
      <c r="O776" t="s">
        <v>74</v>
      </c>
      <c r="P776" t="s">
        <v>74</v>
      </c>
      <c r="Q776" t="s">
        <v>74</v>
      </c>
      <c r="R776" t="s">
        <v>74</v>
      </c>
      <c r="S776" t="s">
        <v>74</v>
      </c>
      <c r="T776" t="s">
        <v>13929</v>
      </c>
      <c r="U776" t="s">
        <v>13930</v>
      </c>
      <c r="V776" t="s">
        <v>13931</v>
      </c>
      <c r="W776" t="s">
        <v>13932</v>
      </c>
      <c r="X776" t="s">
        <v>13933</v>
      </c>
      <c r="Y776" t="s">
        <v>13934</v>
      </c>
      <c r="Z776" t="s">
        <v>13935</v>
      </c>
      <c r="AA776" t="s">
        <v>74</v>
      </c>
      <c r="AB776" t="s">
        <v>74</v>
      </c>
      <c r="AC776" t="s">
        <v>13936</v>
      </c>
      <c r="AD776" t="s">
        <v>13937</v>
      </c>
      <c r="AE776" t="s">
        <v>13938</v>
      </c>
      <c r="AF776" t="s">
        <v>74</v>
      </c>
      <c r="AG776">
        <v>128</v>
      </c>
      <c r="AH776">
        <v>0</v>
      </c>
      <c r="AI776">
        <v>0</v>
      </c>
      <c r="AJ776">
        <v>21</v>
      </c>
      <c r="AK776">
        <v>21</v>
      </c>
      <c r="AL776" t="s">
        <v>184</v>
      </c>
      <c r="AM776" t="s">
        <v>185</v>
      </c>
      <c r="AN776" t="s">
        <v>186</v>
      </c>
      <c r="AO776" t="s">
        <v>11455</v>
      </c>
      <c r="AP776" t="s">
        <v>11456</v>
      </c>
      <c r="AQ776" t="s">
        <v>74</v>
      </c>
      <c r="AR776" t="s">
        <v>11457</v>
      </c>
      <c r="AS776" t="s">
        <v>11458</v>
      </c>
      <c r="AT776" t="s">
        <v>13909</v>
      </c>
      <c r="AU776">
        <v>2023</v>
      </c>
      <c r="AV776" t="s">
        <v>74</v>
      </c>
      <c r="AW776" t="s">
        <v>74</v>
      </c>
      <c r="AX776" t="s">
        <v>74</v>
      </c>
      <c r="AY776" t="s">
        <v>74</v>
      </c>
      <c r="AZ776" t="s">
        <v>74</v>
      </c>
      <c r="BA776" t="s">
        <v>74</v>
      </c>
      <c r="BB776" t="s">
        <v>74</v>
      </c>
      <c r="BC776" t="s">
        <v>74</v>
      </c>
      <c r="BD776" t="s">
        <v>74</v>
      </c>
      <c r="BE776" t="s">
        <v>13939</v>
      </c>
      <c r="BF776" t="str">
        <f>HYPERLINK("http://dx.doi.org/10.1080/10408398.2023.2240399","http://dx.doi.org/10.1080/10408398.2023.2240399")</f>
        <v>http://dx.doi.org/10.1080/10408398.2023.2240399</v>
      </c>
      <c r="BG776" t="s">
        <v>74</v>
      </c>
      <c r="BH776" t="s">
        <v>12687</v>
      </c>
      <c r="BI776">
        <v>13</v>
      </c>
      <c r="BJ776" t="s">
        <v>11461</v>
      </c>
      <c r="BK776" t="s">
        <v>102</v>
      </c>
      <c r="BL776" t="s">
        <v>11461</v>
      </c>
      <c r="BM776" t="s">
        <v>13940</v>
      </c>
      <c r="BN776">
        <v>37526321</v>
      </c>
      <c r="BO776" t="s">
        <v>74</v>
      </c>
      <c r="BP776" t="s">
        <v>74</v>
      </c>
      <c r="BQ776" t="s">
        <v>74</v>
      </c>
      <c r="BR776" t="s">
        <v>105</v>
      </c>
      <c r="BS776" t="s">
        <v>13941</v>
      </c>
      <c r="BT776" t="str">
        <f>HYPERLINK("https%3A%2F%2Fwww.webofscience.com%2Fwos%2Fwoscc%2Ffull-record%2FWOS:001040688800001","View Full Record in Web of Science")</f>
        <v>View Full Record in Web of Science</v>
      </c>
    </row>
    <row r="777" spans="1:72" x14ac:dyDescent="0.15">
      <c r="A777" t="s">
        <v>72</v>
      </c>
      <c r="B777" t="s">
        <v>13942</v>
      </c>
      <c r="C777" t="s">
        <v>74</v>
      </c>
      <c r="D777" t="s">
        <v>74</v>
      </c>
      <c r="E777" t="s">
        <v>74</v>
      </c>
      <c r="F777" t="s">
        <v>13943</v>
      </c>
      <c r="G777" t="s">
        <v>74</v>
      </c>
      <c r="H777" t="s">
        <v>74</v>
      </c>
      <c r="I777" t="s">
        <v>13944</v>
      </c>
      <c r="J777" t="s">
        <v>13945</v>
      </c>
      <c r="K777" t="s">
        <v>74</v>
      </c>
      <c r="L777" t="s">
        <v>74</v>
      </c>
      <c r="M777" t="s">
        <v>78</v>
      </c>
      <c r="N777" t="s">
        <v>5492</v>
      </c>
      <c r="O777" t="s">
        <v>74</v>
      </c>
      <c r="P777" t="s">
        <v>74</v>
      </c>
      <c r="Q777" t="s">
        <v>74</v>
      </c>
      <c r="R777" t="s">
        <v>74</v>
      </c>
      <c r="S777" t="s">
        <v>74</v>
      </c>
      <c r="T777" t="s">
        <v>13946</v>
      </c>
      <c r="U777" t="s">
        <v>13947</v>
      </c>
      <c r="V777" t="s">
        <v>13948</v>
      </c>
      <c r="W777" t="s">
        <v>13949</v>
      </c>
      <c r="X777" t="s">
        <v>13950</v>
      </c>
      <c r="Y777" t="s">
        <v>13951</v>
      </c>
      <c r="Z777" t="s">
        <v>13952</v>
      </c>
      <c r="AA777" t="s">
        <v>74</v>
      </c>
      <c r="AB777" t="s">
        <v>13953</v>
      </c>
      <c r="AC777" t="s">
        <v>13954</v>
      </c>
      <c r="AD777" t="s">
        <v>13955</v>
      </c>
      <c r="AE777" t="s">
        <v>13956</v>
      </c>
      <c r="AF777" t="s">
        <v>74</v>
      </c>
      <c r="AG777">
        <v>70</v>
      </c>
      <c r="AH777">
        <v>0</v>
      </c>
      <c r="AI777">
        <v>0</v>
      </c>
      <c r="AJ777">
        <v>1</v>
      </c>
      <c r="AK777">
        <v>1</v>
      </c>
      <c r="AL777" t="s">
        <v>1188</v>
      </c>
      <c r="AM777" t="s">
        <v>93</v>
      </c>
      <c r="AN777" t="s">
        <v>1189</v>
      </c>
      <c r="AO777" t="s">
        <v>13957</v>
      </c>
      <c r="AP777" t="s">
        <v>13958</v>
      </c>
      <c r="AQ777" t="s">
        <v>74</v>
      </c>
      <c r="AR777" t="s">
        <v>13945</v>
      </c>
      <c r="AS777" t="s">
        <v>13959</v>
      </c>
      <c r="AT777" t="s">
        <v>13909</v>
      </c>
      <c r="AU777">
        <v>2023</v>
      </c>
      <c r="AV777" t="s">
        <v>74</v>
      </c>
      <c r="AW777" t="s">
        <v>74</v>
      </c>
      <c r="AX777" t="s">
        <v>74</v>
      </c>
      <c r="AY777" t="s">
        <v>74</v>
      </c>
      <c r="AZ777" t="s">
        <v>74</v>
      </c>
      <c r="BA777" t="s">
        <v>74</v>
      </c>
      <c r="BB777" t="s">
        <v>74</v>
      </c>
      <c r="BC777" t="s">
        <v>74</v>
      </c>
      <c r="BD777" t="s">
        <v>74</v>
      </c>
      <c r="BE777" t="s">
        <v>13960</v>
      </c>
      <c r="BF777" t="str">
        <f>HYPERLINK("http://dx.doi.org/10.1080/14747731.2023.2236886","http://dx.doi.org/10.1080/14747731.2023.2236886")</f>
        <v>http://dx.doi.org/10.1080/14747731.2023.2236886</v>
      </c>
      <c r="BG777" t="s">
        <v>74</v>
      </c>
      <c r="BH777" t="s">
        <v>12687</v>
      </c>
      <c r="BI777">
        <v>22</v>
      </c>
      <c r="BJ777" t="s">
        <v>13961</v>
      </c>
      <c r="BK777" t="s">
        <v>272</v>
      </c>
      <c r="BL777" t="s">
        <v>13962</v>
      </c>
      <c r="BM777" t="s">
        <v>13963</v>
      </c>
      <c r="BN777" t="s">
        <v>74</v>
      </c>
      <c r="BO777" t="s">
        <v>74</v>
      </c>
      <c r="BP777" t="s">
        <v>74</v>
      </c>
      <c r="BQ777" t="s">
        <v>74</v>
      </c>
      <c r="BR777" t="s">
        <v>105</v>
      </c>
      <c r="BS777" t="s">
        <v>13964</v>
      </c>
      <c r="BT777" t="str">
        <f>HYPERLINK("https%3A%2F%2Fwww.webofscience.com%2Fwos%2Fwoscc%2Ffull-record%2FWOS:001036923700001","View Full Record in Web of Science")</f>
        <v>View Full Record in Web of Science</v>
      </c>
    </row>
    <row r="778" spans="1:72" x14ac:dyDescent="0.15">
      <c r="A778" t="s">
        <v>72</v>
      </c>
      <c r="B778" t="s">
        <v>13965</v>
      </c>
      <c r="C778" t="s">
        <v>74</v>
      </c>
      <c r="D778" t="s">
        <v>74</v>
      </c>
      <c r="E778" t="s">
        <v>74</v>
      </c>
      <c r="F778" t="s">
        <v>13966</v>
      </c>
      <c r="G778" t="s">
        <v>74</v>
      </c>
      <c r="H778" t="s">
        <v>74</v>
      </c>
      <c r="I778" t="s">
        <v>13967</v>
      </c>
      <c r="J778" t="s">
        <v>13968</v>
      </c>
      <c r="K778" t="s">
        <v>74</v>
      </c>
      <c r="L778" t="s">
        <v>74</v>
      </c>
      <c r="M778" t="s">
        <v>78</v>
      </c>
      <c r="N778" t="s">
        <v>5492</v>
      </c>
      <c r="O778" t="s">
        <v>74</v>
      </c>
      <c r="P778" t="s">
        <v>74</v>
      </c>
      <c r="Q778" t="s">
        <v>74</v>
      </c>
      <c r="R778" t="s">
        <v>74</v>
      </c>
      <c r="S778" t="s">
        <v>74</v>
      </c>
      <c r="T778" t="s">
        <v>13969</v>
      </c>
      <c r="U778" t="s">
        <v>13970</v>
      </c>
      <c r="V778" t="s">
        <v>13971</v>
      </c>
      <c r="W778" t="s">
        <v>13972</v>
      </c>
      <c r="X778" t="s">
        <v>13973</v>
      </c>
      <c r="Y778" t="s">
        <v>13974</v>
      </c>
      <c r="Z778" t="s">
        <v>13975</v>
      </c>
      <c r="AA778" t="s">
        <v>74</v>
      </c>
      <c r="AB778" t="s">
        <v>13976</v>
      </c>
      <c r="AC778" t="s">
        <v>74</v>
      </c>
      <c r="AD778" t="s">
        <v>74</v>
      </c>
      <c r="AE778" t="s">
        <v>74</v>
      </c>
      <c r="AF778" t="s">
        <v>74</v>
      </c>
      <c r="AG778">
        <v>138</v>
      </c>
      <c r="AH778">
        <v>0</v>
      </c>
      <c r="AI778">
        <v>0</v>
      </c>
      <c r="AJ778">
        <v>2</v>
      </c>
      <c r="AK778">
        <v>2</v>
      </c>
      <c r="AL778" t="s">
        <v>184</v>
      </c>
      <c r="AM778" t="s">
        <v>185</v>
      </c>
      <c r="AN778" t="s">
        <v>186</v>
      </c>
      <c r="AO778" t="s">
        <v>13977</v>
      </c>
      <c r="AP778" t="s">
        <v>13978</v>
      </c>
      <c r="AQ778" t="s">
        <v>74</v>
      </c>
      <c r="AR778" t="s">
        <v>13979</v>
      </c>
      <c r="AS778" t="s">
        <v>13980</v>
      </c>
      <c r="AT778" t="s">
        <v>13909</v>
      </c>
      <c r="AU778">
        <v>2023</v>
      </c>
      <c r="AV778" t="s">
        <v>74</v>
      </c>
      <c r="AW778" t="s">
        <v>74</v>
      </c>
      <c r="AX778" t="s">
        <v>74</v>
      </c>
      <c r="AY778" t="s">
        <v>74</v>
      </c>
      <c r="AZ778" t="s">
        <v>74</v>
      </c>
      <c r="BA778" t="s">
        <v>74</v>
      </c>
      <c r="BB778" t="s">
        <v>74</v>
      </c>
      <c r="BC778" t="s">
        <v>74</v>
      </c>
      <c r="BD778" t="s">
        <v>74</v>
      </c>
      <c r="BE778" t="s">
        <v>13981</v>
      </c>
      <c r="BF778" t="str">
        <f>HYPERLINK("http://dx.doi.org/10.1080/10580530.2023.2237187","http://dx.doi.org/10.1080/10580530.2023.2237187")</f>
        <v>http://dx.doi.org/10.1080/10580530.2023.2237187</v>
      </c>
      <c r="BG778" t="s">
        <v>74</v>
      </c>
      <c r="BH778" t="s">
        <v>12687</v>
      </c>
      <c r="BI778">
        <v>27</v>
      </c>
      <c r="BJ778" t="s">
        <v>8082</v>
      </c>
      <c r="BK778" t="s">
        <v>102</v>
      </c>
      <c r="BL778" t="s">
        <v>2621</v>
      </c>
      <c r="BM778" t="s">
        <v>13982</v>
      </c>
      <c r="BN778" t="s">
        <v>74</v>
      </c>
      <c r="BO778" t="s">
        <v>74</v>
      </c>
      <c r="BP778" t="s">
        <v>74</v>
      </c>
      <c r="BQ778" t="s">
        <v>74</v>
      </c>
      <c r="BR778" t="s">
        <v>105</v>
      </c>
      <c r="BS778" t="s">
        <v>13983</v>
      </c>
      <c r="BT778" t="str">
        <f>HYPERLINK("https%3A%2F%2Fwww.webofscience.com%2Fwos%2Fwoscc%2Ffull-record%2FWOS:001032812000001","View Full Record in Web of Science")</f>
        <v>View Full Record in Web of Science</v>
      </c>
    </row>
    <row r="779" spans="1:72" x14ac:dyDescent="0.15">
      <c r="A779" t="s">
        <v>72</v>
      </c>
      <c r="B779" t="s">
        <v>13984</v>
      </c>
      <c r="C779" t="s">
        <v>74</v>
      </c>
      <c r="D779" t="s">
        <v>74</v>
      </c>
      <c r="E779" t="s">
        <v>74</v>
      </c>
      <c r="F779" t="s">
        <v>13985</v>
      </c>
      <c r="G779" t="s">
        <v>74</v>
      </c>
      <c r="H779" t="s">
        <v>74</v>
      </c>
      <c r="I779" t="s">
        <v>13986</v>
      </c>
      <c r="J779" t="s">
        <v>10136</v>
      </c>
      <c r="K779" t="s">
        <v>74</v>
      </c>
      <c r="L779" t="s">
        <v>74</v>
      </c>
      <c r="M779" t="s">
        <v>78</v>
      </c>
      <c r="N779" t="s">
        <v>5492</v>
      </c>
      <c r="O779" t="s">
        <v>74</v>
      </c>
      <c r="P779" t="s">
        <v>74</v>
      </c>
      <c r="Q779" t="s">
        <v>74</v>
      </c>
      <c r="R779" t="s">
        <v>74</v>
      </c>
      <c r="S779" t="s">
        <v>74</v>
      </c>
      <c r="T779" t="s">
        <v>13987</v>
      </c>
      <c r="U779" t="s">
        <v>13988</v>
      </c>
      <c r="V779" t="s">
        <v>13989</v>
      </c>
      <c r="W779" t="s">
        <v>13990</v>
      </c>
      <c r="X779" t="s">
        <v>13991</v>
      </c>
      <c r="Y779" t="s">
        <v>13992</v>
      </c>
      <c r="Z779" t="s">
        <v>13993</v>
      </c>
      <c r="AA779" t="s">
        <v>74</v>
      </c>
      <c r="AB779" t="s">
        <v>74</v>
      </c>
      <c r="AC779" t="s">
        <v>13994</v>
      </c>
      <c r="AD779" t="s">
        <v>1368</v>
      </c>
      <c r="AE779" t="s">
        <v>13995</v>
      </c>
      <c r="AF779" t="s">
        <v>74</v>
      </c>
      <c r="AG779">
        <v>17</v>
      </c>
      <c r="AH779">
        <v>0</v>
      </c>
      <c r="AI779">
        <v>0</v>
      </c>
      <c r="AJ779">
        <v>7</v>
      </c>
      <c r="AK779">
        <v>7</v>
      </c>
      <c r="AL779" t="s">
        <v>92</v>
      </c>
      <c r="AM779" t="s">
        <v>93</v>
      </c>
      <c r="AN779" t="s">
        <v>94</v>
      </c>
      <c r="AO779" t="s">
        <v>10146</v>
      </c>
      <c r="AP779" t="s">
        <v>10147</v>
      </c>
      <c r="AQ779" t="s">
        <v>74</v>
      </c>
      <c r="AR779" t="s">
        <v>10148</v>
      </c>
      <c r="AS779" t="s">
        <v>10149</v>
      </c>
      <c r="AT779" t="s">
        <v>13909</v>
      </c>
      <c r="AU779">
        <v>2023</v>
      </c>
      <c r="AV779" t="s">
        <v>74</v>
      </c>
      <c r="AW779" t="s">
        <v>74</v>
      </c>
      <c r="AX779" t="s">
        <v>74</v>
      </c>
      <c r="AY779" t="s">
        <v>74</v>
      </c>
      <c r="AZ779" t="s">
        <v>74</v>
      </c>
      <c r="BA779" t="s">
        <v>74</v>
      </c>
      <c r="BB779" t="s">
        <v>74</v>
      </c>
      <c r="BC779" t="s">
        <v>74</v>
      </c>
      <c r="BD779" t="s">
        <v>74</v>
      </c>
      <c r="BE779" t="s">
        <v>13996</v>
      </c>
      <c r="BF779" t="str">
        <f>HYPERLINK("http://dx.doi.org/10.1080/13621718.2023.2237275","http://dx.doi.org/10.1080/13621718.2023.2237275")</f>
        <v>http://dx.doi.org/10.1080/13621718.2023.2237275</v>
      </c>
      <c r="BG779" t="s">
        <v>74</v>
      </c>
      <c r="BH779" t="s">
        <v>12687</v>
      </c>
      <c r="BI779">
        <v>10</v>
      </c>
      <c r="BJ779" t="s">
        <v>10151</v>
      </c>
      <c r="BK779" t="s">
        <v>102</v>
      </c>
      <c r="BL779" t="s">
        <v>10152</v>
      </c>
      <c r="BM779" t="s">
        <v>13997</v>
      </c>
      <c r="BN779" t="s">
        <v>74</v>
      </c>
      <c r="BO779" t="s">
        <v>5486</v>
      </c>
      <c r="BP779" t="s">
        <v>74</v>
      </c>
      <c r="BQ779" t="s">
        <v>74</v>
      </c>
      <c r="BR779" t="s">
        <v>105</v>
      </c>
      <c r="BS779" t="s">
        <v>13998</v>
      </c>
      <c r="BT779" t="str">
        <f>HYPERLINK("https%3A%2F%2Fwww.webofscience.com%2Fwos%2Fwoscc%2Ffull-record%2FWOS:001032216400001","View Full Record in Web of Science")</f>
        <v>View Full Record in Web of Science</v>
      </c>
    </row>
    <row r="780" spans="1:72" x14ac:dyDescent="0.15">
      <c r="A780" t="s">
        <v>72</v>
      </c>
      <c r="B780" t="s">
        <v>13999</v>
      </c>
      <c r="C780" t="s">
        <v>74</v>
      </c>
      <c r="D780" t="s">
        <v>74</v>
      </c>
      <c r="E780" t="s">
        <v>74</v>
      </c>
      <c r="F780" t="s">
        <v>14000</v>
      </c>
      <c r="G780" t="s">
        <v>74</v>
      </c>
      <c r="H780" t="s">
        <v>74</v>
      </c>
      <c r="I780" t="s">
        <v>14001</v>
      </c>
      <c r="J780" t="s">
        <v>14002</v>
      </c>
      <c r="K780" t="s">
        <v>74</v>
      </c>
      <c r="L780" t="s">
        <v>74</v>
      </c>
      <c r="M780" t="s">
        <v>78</v>
      </c>
      <c r="N780" t="s">
        <v>3443</v>
      </c>
      <c r="O780" t="s">
        <v>74</v>
      </c>
      <c r="P780" t="s">
        <v>74</v>
      </c>
      <c r="Q780" t="s">
        <v>74</v>
      </c>
      <c r="R780" t="s">
        <v>74</v>
      </c>
      <c r="S780" t="s">
        <v>74</v>
      </c>
      <c r="T780" t="s">
        <v>74</v>
      </c>
      <c r="U780" t="s">
        <v>74</v>
      </c>
      <c r="V780" t="s">
        <v>74</v>
      </c>
      <c r="W780" t="s">
        <v>14003</v>
      </c>
      <c r="X780" t="s">
        <v>74</v>
      </c>
      <c r="Y780" t="s">
        <v>14004</v>
      </c>
      <c r="Z780" t="s">
        <v>14005</v>
      </c>
      <c r="AA780" t="s">
        <v>74</v>
      </c>
      <c r="AB780" t="s">
        <v>74</v>
      </c>
      <c r="AC780" t="s">
        <v>74</v>
      </c>
      <c r="AD780" t="s">
        <v>74</v>
      </c>
      <c r="AE780" t="s">
        <v>74</v>
      </c>
      <c r="AF780" t="s">
        <v>74</v>
      </c>
      <c r="AG780">
        <v>1</v>
      </c>
      <c r="AH780">
        <v>0</v>
      </c>
      <c r="AI780">
        <v>0</v>
      </c>
      <c r="AJ780">
        <v>0</v>
      </c>
      <c r="AK780">
        <v>0</v>
      </c>
      <c r="AL780" t="s">
        <v>1188</v>
      </c>
      <c r="AM780" t="s">
        <v>93</v>
      </c>
      <c r="AN780" t="s">
        <v>1189</v>
      </c>
      <c r="AO780" t="s">
        <v>14006</v>
      </c>
      <c r="AP780" t="s">
        <v>14007</v>
      </c>
      <c r="AQ780" t="s">
        <v>74</v>
      </c>
      <c r="AR780" t="s">
        <v>14008</v>
      </c>
      <c r="AS780" t="s">
        <v>14009</v>
      </c>
      <c r="AT780" t="s">
        <v>12289</v>
      </c>
      <c r="AU780">
        <v>2023</v>
      </c>
      <c r="AV780">
        <v>21</v>
      </c>
      <c r="AW780">
        <v>3</v>
      </c>
      <c r="AX780" t="s">
        <v>74</v>
      </c>
      <c r="AY780" t="s">
        <v>74</v>
      </c>
      <c r="AZ780" t="s">
        <v>74</v>
      </c>
      <c r="BA780" t="s">
        <v>74</v>
      </c>
      <c r="BB780">
        <v>547</v>
      </c>
      <c r="BC780">
        <v>549</v>
      </c>
      <c r="BD780" t="s">
        <v>74</v>
      </c>
      <c r="BE780" t="s">
        <v>14010</v>
      </c>
      <c r="BF780" t="str">
        <f>HYPERLINK("http://dx.doi.org/10.1080/14746700.2023.2230440","http://dx.doi.org/10.1080/14746700.2023.2230440")</f>
        <v>http://dx.doi.org/10.1080/14746700.2023.2230440</v>
      </c>
      <c r="BG780" t="s">
        <v>74</v>
      </c>
      <c r="BH780" t="s">
        <v>12687</v>
      </c>
      <c r="BI780">
        <v>3</v>
      </c>
      <c r="BJ780" t="s">
        <v>14011</v>
      </c>
      <c r="BK780" t="s">
        <v>13374</v>
      </c>
      <c r="BL780" t="s">
        <v>14012</v>
      </c>
      <c r="BM780" t="s">
        <v>14013</v>
      </c>
      <c r="BN780" t="s">
        <v>74</v>
      </c>
      <c r="BO780" t="s">
        <v>74</v>
      </c>
      <c r="BP780" t="s">
        <v>74</v>
      </c>
      <c r="BQ780" t="s">
        <v>74</v>
      </c>
      <c r="BR780" t="s">
        <v>105</v>
      </c>
      <c r="BS780" t="s">
        <v>14014</v>
      </c>
      <c r="BT780" t="str">
        <f>HYPERLINK("https%3A%2F%2Fwww.webofscience.com%2Fwos%2Fwoscc%2Ffull-record%2FWOS:001033766900001","View Full Record in Web of Science")</f>
        <v>View Full Record in Web of Science</v>
      </c>
    </row>
    <row r="781" spans="1:72" x14ac:dyDescent="0.15">
      <c r="A781" t="s">
        <v>72</v>
      </c>
      <c r="B781" t="s">
        <v>14015</v>
      </c>
      <c r="C781" t="s">
        <v>74</v>
      </c>
      <c r="D781" t="s">
        <v>74</v>
      </c>
      <c r="E781" t="s">
        <v>74</v>
      </c>
      <c r="F781" t="s">
        <v>14016</v>
      </c>
      <c r="G781" t="s">
        <v>74</v>
      </c>
      <c r="H781" t="s">
        <v>74</v>
      </c>
      <c r="I781" t="s">
        <v>14017</v>
      </c>
      <c r="J781" t="s">
        <v>6689</v>
      </c>
      <c r="K781" t="s">
        <v>74</v>
      </c>
      <c r="L781" t="s">
        <v>74</v>
      </c>
      <c r="M781" t="s">
        <v>78</v>
      </c>
      <c r="N781" t="s">
        <v>5492</v>
      </c>
      <c r="O781" t="s">
        <v>74</v>
      </c>
      <c r="P781" t="s">
        <v>74</v>
      </c>
      <c r="Q781" t="s">
        <v>74</v>
      </c>
      <c r="R781" t="s">
        <v>74</v>
      </c>
      <c r="S781" t="s">
        <v>74</v>
      </c>
      <c r="T781" t="s">
        <v>14018</v>
      </c>
      <c r="U781" t="s">
        <v>14019</v>
      </c>
      <c r="V781" t="s">
        <v>14020</v>
      </c>
      <c r="W781" t="s">
        <v>14021</v>
      </c>
      <c r="X781" t="s">
        <v>14022</v>
      </c>
      <c r="Y781" t="s">
        <v>14023</v>
      </c>
      <c r="Z781" t="s">
        <v>14024</v>
      </c>
      <c r="AA781" t="s">
        <v>74</v>
      </c>
      <c r="AB781" t="s">
        <v>14025</v>
      </c>
      <c r="AC781" t="s">
        <v>14026</v>
      </c>
      <c r="AD781" t="s">
        <v>14027</v>
      </c>
      <c r="AE781" t="s">
        <v>14028</v>
      </c>
      <c r="AF781" t="s">
        <v>74</v>
      </c>
      <c r="AG781">
        <v>103</v>
      </c>
      <c r="AH781">
        <v>0</v>
      </c>
      <c r="AI781">
        <v>0</v>
      </c>
      <c r="AJ781">
        <v>0</v>
      </c>
      <c r="AK781">
        <v>0</v>
      </c>
      <c r="AL781" t="s">
        <v>1188</v>
      </c>
      <c r="AM781" t="s">
        <v>93</v>
      </c>
      <c r="AN781" t="s">
        <v>1189</v>
      </c>
      <c r="AO781" t="s">
        <v>6697</v>
      </c>
      <c r="AP781" t="s">
        <v>6698</v>
      </c>
      <c r="AQ781" t="s">
        <v>74</v>
      </c>
      <c r="AR781" t="s">
        <v>6699</v>
      </c>
      <c r="AS781" t="s">
        <v>6700</v>
      </c>
      <c r="AT781" t="s">
        <v>13909</v>
      </c>
      <c r="AU781">
        <v>2023</v>
      </c>
      <c r="AV781" t="s">
        <v>74</v>
      </c>
      <c r="AW781" t="s">
        <v>74</v>
      </c>
      <c r="AX781" t="s">
        <v>74</v>
      </c>
      <c r="AY781" t="s">
        <v>74</v>
      </c>
      <c r="AZ781" t="s">
        <v>74</v>
      </c>
      <c r="BA781" t="s">
        <v>74</v>
      </c>
      <c r="BB781" t="s">
        <v>74</v>
      </c>
      <c r="BC781" t="s">
        <v>74</v>
      </c>
      <c r="BD781" t="s">
        <v>74</v>
      </c>
      <c r="BE781" t="s">
        <v>14029</v>
      </c>
      <c r="BF781" t="str">
        <f>HYPERLINK("http://dx.doi.org/10.1080/00208825.2023.2235156","http://dx.doi.org/10.1080/00208825.2023.2235156")</f>
        <v>http://dx.doi.org/10.1080/00208825.2023.2235156</v>
      </c>
      <c r="BG781" t="s">
        <v>74</v>
      </c>
      <c r="BH781" t="s">
        <v>12687</v>
      </c>
      <c r="BI781">
        <v>28</v>
      </c>
      <c r="BJ781" t="s">
        <v>6702</v>
      </c>
      <c r="BK781" t="s">
        <v>211</v>
      </c>
      <c r="BL781" t="s">
        <v>295</v>
      </c>
      <c r="BM781" t="s">
        <v>14030</v>
      </c>
      <c r="BN781" t="s">
        <v>74</v>
      </c>
      <c r="BO781" t="s">
        <v>74</v>
      </c>
      <c r="BP781" t="s">
        <v>74</v>
      </c>
      <c r="BQ781" t="s">
        <v>74</v>
      </c>
      <c r="BR781" t="s">
        <v>105</v>
      </c>
      <c r="BS781" t="s">
        <v>14031</v>
      </c>
      <c r="BT781" t="str">
        <f>HYPERLINK("https%3A%2F%2Fwww.webofscience.com%2Fwos%2Fwoscc%2Ffull-record%2FWOS:001033677800001","View Full Record in Web of Science")</f>
        <v>View Full Record in Web of Science</v>
      </c>
    </row>
    <row r="782" spans="1:72" x14ac:dyDescent="0.15">
      <c r="A782" t="s">
        <v>72</v>
      </c>
      <c r="B782" t="s">
        <v>14032</v>
      </c>
      <c r="C782" t="s">
        <v>74</v>
      </c>
      <c r="D782" t="s">
        <v>74</v>
      </c>
      <c r="E782" t="s">
        <v>74</v>
      </c>
      <c r="F782" t="s">
        <v>14033</v>
      </c>
      <c r="G782" t="s">
        <v>74</v>
      </c>
      <c r="H782" t="s">
        <v>74</v>
      </c>
      <c r="I782" t="s">
        <v>14034</v>
      </c>
      <c r="J782" t="s">
        <v>5976</v>
      </c>
      <c r="K782" t="s">
        <v>74</v>
      </c>
      <c r="L782" t="s">
        <v>74</v>
      </c>
      <c r="M782" t="s">
        <v>78</v>
      </c>
      <c r="N782" t="s">
        <v>79</v>
      </c>
      <c r="O782" t="s">
        <v>74</v>
      </c>
      <c r="P782" t="s">
        <v>74</v>
      </c>
      <c r="Q782" t="s">
        <v>74</v>
      </c>
      <c r="R782" t="s">
        <v>74</v>
      </c>
      <c r="S782" t="s">
        <v>74</v>
      </c>
      <c r="T782" t="s">
        <v>14035</v>
      </c>
      <c r="U782" t="s">
        <v>14036</v>
      </c>
      <c r="V782" t="s">
        <v>14037</v>
      </c>
      <c r="W782" t="s">
        <v>14038</v>
      </c>
      <c r="X782" t="s">
        <v>14039</v>
      </c>
      <c r="Y782" t="s">
        <v>14040</v>
      </c>
      <c r="Z782" t="s">
        <v>14041</v>
      </c>
      <c r="AA782" t="s">
        <v>74</v>
      </c>
      <c r="AB782" t="s">
        <v>74</v>
      </c>
      <c r="AC782" t="s">
        <v>14042</v>
      </c>
      <c r="AD782" t="s">
        <v>14043</v>
      </c>
      <c r="AE782" t="s">
        <v>14044</v>
      </c>
      <c r="AF782" t="s">
        <v>74</v>
      </c>
      <c r="AG782">
        <v>36</v>
      </c>
      <c r="AH782">
        <v>0</v>
      </c>
      <c r="AI782">
        <v>0</v>
      </c>
      <c r="AJ782">
        <v>1</v>
      </c>
      <c r="AK782">
        <v>1</v>
      </c>
      <c r="AL782" t="s">
        <v>1188</v>
      </c>
      <c r="AM782" t="s">
        <v>93</v>
      </c>
      <c r="AN782" t="s">
        <v>1189</v>
      </c>
      <c r="AO782" t="s">
        <v>5984</v>
      </c>
      <c r="AP782" t="s">
        <v>5985</v>
      </c>
      <c r="AQ782" t="s">
        <v>74</v>
      </c>
      <c r="AR782" t="s">
        <v>5986</v>
      </c>
      <c r="AS782" t="s">
        <v>5987</v>
      </c>
      <c r="AT782" t="s">
        <v>5386</v>
      </c>
      <c r="AU782">
        <v>2023</v>
      </c>
      <c r="AV782">
        <v>35</v>
      </c>
      <c r="AW782" t="s">
        <v>14045</v>
      </c>
      <c r="AX782" t="s">
        <v>74</v>
      </c>
      <c r="AY782" t="s">
        <v>74</v>
      </c>
      <c r="AZ782" t="s">
        <v>74</v>
      </c>
      <c r="BA782" t="s">
        <v>74</v>
      </c>
      <c r="BB782">
        <v>671</v>
      </c>
      <c r="BC782">
        <v>689</v>
      </c>
      <c r="BD782" t="s">
        <v>74</v>
      </c>
      <c r="BE782" t="s">
        <v>14046</v>
      </c>
      <c r="BF782" t="str">
        <f>HYPERLINK("http://dx.doi.org/10.1080/09540253.2023.2235408","http://dx.doi.org/10.1080/09540253.2023.2235408")</f>
        <v>http://dx.doi.org/10.1080/09540253.2023.2235408</v>
      </c>
      <c r="BG782" t="s">
        <v>74</v>
      </c>
      <c r="BH782" t="s">
        <v>12687</v>
      </c>
      <c r="BI782">
        <v>19</v>
      </c>
      <c r="BJ782" t="s">
        <v>271</v>
      </c>
      <c r="BK782" t="s">
        <v>272</v>
      </c>
      <c r="BL782" t="s">
        <v>271</v>
      </c>
      <c r="BM782" t="s">
        <v>14047</v>
      </c>
      <c r="BN782" t="s">
        <v>74</v>
      </c>
      <c r="BO782" t="s">
        <v>887</v>
      </c>
      <c r="BP782" t="s">
        <v>74</v>
      </c>
      <c r="BQ782" t="s">
        <v>74</v>
      </c>
      <c r="BR782" t="s">
        <v>105</v>
      </c>
      <c r="BS782" t="s">
        <v>14048</v>
      </c>
      <c r="BT782" t="str">
        <f>HYPERLINK("https%3A%2F%2Fwww.webofscience.com%2Fwos%2Fwoscc%2Ffull-record%2FWOS:001032212100001","View Full Record in Web of Science")</f>
        <v>View Full Record in Web of Science</v>
      </c>
    </row>
    <row r="783" spans="1:72" x14ac:dyDescent="0.15">
      <c r="A783" t="s">
        <v>72</v>
      </c>
      <c r="B783" t="s">
        <v>14049</v>
      </c>
      <c r="C783" t="s">
        <v>74</v>
      </c>
      <c r="D783" t="s">
        <v>74</v>
      </c>
      <c r="E783" t="s">
        <v>74</v>
      </c>
      <c r="F783" t="s">
        <v>14050</v>
      </c>
      <c r="G783" t="s">
        <v>74</v>
      </c>
      <c r="H783" t="s">
        <v>74</v>
      </c>
      <c r="I783" t="s">
        <v>14051</v>
      </c>
      <c r="J783" t="s">
        <v>14052</v>
      </c>
      <c r="K783" t="s">
        <v>74</v>
      </c>
      <c r="L783" t="s">
        <v>74</v>
      </c>
      <c r="M783" t="s">
        <v>78</v>
      </c>
      <c r="N783" t="s">
        <v>5492</v>
      </c>
      <c r="O783" t="s">
        <v>74</v>
      </c>
      <c r="P783" t="s">
        <v>74</v>
      </c>
      <c r="Q783" t="s">
        <v>74</v>
      </c>
      <c r="R783" t="s">
        <v>74</v>
      </c>
      <c r="S783" t="s">
        <v>74</v>
      </c>
      <c r="T783" t="s">
        <v>14053</v>
      </c>
      <c r="U783" t="s">
        <v>74</v>
      </c>
      <c r="V783" t="s">
        <v>14054</v>
      </c>
      <c r="W783" t="s">
        <v>14055</v>
      </c>
      <c r="X783" t="s">
        <v>12127</v>
      </c>
      <c r="Y783" t="s">
        <v>14056</v>
      </c>
      <c r="Z783" t="s">
        <v>14057</v>
      </c>
      <c r="AA783" t="s">
        <v>74</v>
      </c>
      <c r="AB783" t="s">
        <v>74</v>
      </c>
      <c r="AC783" t="s">
        <v>74</v>
      </c>
      <c r="AD783" t="s">
        <v>74</v>
      </c>
      <c r="AE783" t="s">
        <v>74</v>
      </c>
      <c r="AF783" t="s">
        <v>74</v>
      </c>
      <c r="AG783">
        <v>17</v>
      </c>
      <c r="AH783">
        <v>0</v>
      </c>
      <c r="AI783">
        <v>0</v>
      </c>
      <c r="AJ783">
        <v>0</v>
      </c>
      <c r="AK783">
        <v>0</v>
      </c>
      <c r="AL783" t="s">
        <v>1188</v>
      </c>
      <c r="AM783" t="s">
        <v>93</v>
      </c>
      <c r="AN783" t="s">
        <v>1189</v>
      </c>
      <c r="AO783" t="s">
        <v>14058</v>
      </c>
      <c r="AP783" t="s">
        <v>14059</v>
      </c>
      <c r="AQ783" t="s">
        <v>74</v>
      </c>
      <c r="AR783" t="s">
        <v>14060</v>
      </c>
      <c r="AS783" t="s">
        <v>14061</v>
      </c>
      <c r="AT783" t="s">
        <v>13909</v>
      </c>
      <c r="AU783">
        <v>2023</v>
      </c>
      <c r="AV783" t="s">
        <v>74</v>
      </c>
      <c r="AW783" t="s">
        <v>74</v>
      </c>
      <c r="AX783" t="s">
        <v>74</v>
      </c>
      <c r="AY783" t="s">
        <v>74</v>
      </c>
      <c r="AZ783" t="s">
        <v>74</v>
      </c>
      <c r="BA783" t="s">
        <v>74</v>
      </c>
      <c r="BB783" t="s">
        <v>74</v>
      </c>
      <c r="BC783" t="s">
        <v>74</v>
      </c>
      <c r="BD783" t="s">
        <v>74</v>
      </c>
      <c r="BE783" t="s">
        <v>14062</v>
      </c>
      <c r="BF783" t="str">
        <f>HYPERLINK("http://dx.doi.org/10.1080/02639904.2023.2232203","http://dx.doi.org/10.1080/02639904.2023.2232203")</f>
        <v>http://dx.doi.org/10.1080/02639904.2023.2232203</v>
      </c>
      <c r="BG783" t="s">
        <v>74</v>
      </c>
      <c r="BH783" t="s">
        <v>12687</v>
      </c>
      <c r="BI783">
        <v>9</v>
      </c>
      <c r="BJ783" t="s">
        <v>7056</v>
      </c>
      <c r="BK783" t="s">
        <v>6264</v>
      </c>
      <c r="BL783" t="s">
        <v>6283</v>
      </c>
      <c r="BM783" t="s">
        <v>14063</v>
      </c>
      <c r="BN783" t="s">
        <v>74</v>
      </c>
      <c r="BO783" t="s">
        <v>74</v>
      </c>
      <c r="BP783" t="s">
        <v>74</v>
      </c>
      <c r="BQ783" t="s">
        <v>74</v>
      </c>
      <c r="BR783" t="s">
        <v>105</v>
      </c>
      <c r="BS783" t="s">
        <v>14064</v>
      </c>
      <c r="BT783" t="str">
        <f>HYPERLINK("https%3A%2F%2Fwww.webofscience.com%2Fwos%2Fwoscc%2Ffull-record%2FWOS:001035433800001","View Full Record in Web of Science")</f>
        <v>View Full Record in Web of Science</v>
      </c>
    </row>
    <row r="784" spans="1:72" x14ac:dyDescent="0.15">
      <c r="A784" t="s">
        <v>72</v>
      </c>
      <c r="B784" t="s">
        <v>14065</v>
      </c>
      <c r="C784" t="s">
        <v>74</v>
      </c>
      <c r="D784" t="s">
        <v>74</v>
      </c>
      <c r="E784" t="s">
        <v>74</v>
      </c>
      <c r="F784" t="s">
        <v>14066</v>
      </c>
      <c r="G784" t="s">
        <v>74</v>
      </c>
      <c r="H784" t="s">
        <v>74</v>
      </c>
      <c r="I784" t="s">
        <v>14067</v>
      </c>
      <c r="J784" t="s">
        <v>14068</v>
      </c>
      <c r="K784" t="s">
        <v>74</v>
      </c>
      <c r="L784" t="s">
        <v>74</v>
      </c>
      <c r="M784" t="s">
        <v>78</v>
      </c>
      <c r="N784" t="s">
        <v>6253</v>
      </c>
      <c r="O784" t="s">
        <v>74</v>
      </c>
      <c r="P784" t="s">
        <v>74</v>
      </c>
      <c r="Q784" t="s">
        <v>74</v>
      </c>
      <c r="R784" t="s">
        <v>74</v>
      </c>
      <c r="S784" t="s">
        <v>74</v>
      </c>
      <c r="T784" t="s">
        <v>74</v>
      </c>
      <c r="U784" t="s">
        <v>74</v>
      </c>
      <c r="V784" t="s">
        <v>74</v>
      </c>
      <c r="W784" t="s">
        <v>14069</v>
      </c>
      <c r="X784" t="s">
        <v>14070</v>
      </c>
      <c r="Y784" t="s">
        <v>14071</v>
      </c>
      <c r="Z784" t="s">
        <v>14072</v>
      </c>
      <c r="AA784" t="s">
        <v>74</v>
      </c>
      <c r="AB784" t="s">
        <v>14073</v>
      </c>
      <c r="AC784" t="s">
        <v>74</v>
      </c>
      <c r="AD784" t="s">
        <v>74</v>
      </c>
      <c r="AE784" t="s">
        <v>74</v>
      </c>
      <c r="AF784" t="s">
        <v>74</v>
      </c>
      <c r="AG784">
        <v>1</v>
      </c>
      <c r="AH784">
        <v>0</v>
      </c>
      <c r="AI784">
        <v>0</v>
      </c>
      <c r="AJ784">
        <v>0</v>
      </c>
      <c r="AK784">
        <v>0</v>
      </c>
      <c r="AL784" t="s">
        <v>1188</v>
      </c>
      <c r="AM784" t="s">
        <v>93</v>
      </c>
      <c r="AN784" t="s">
        <v>1189</v>
      </c>
      <c r="AO784" t="s">
        <v>14074</v>
      </c>
      <c r="AP784" t="s">
        <v>14075</v>
      </c>
      <c r="AQ784" t="s">
        <v>74</v>
      </c>
      <c r="AR784" t="s">
        <v>14076</v>
      </c>
      <c r="AS784" t="s">
        <v>14077</v>
      </c>
      <c r="AT784" t="s">
        <v>14078</v>
      </c>
      <c r="AU784">
        <v>2023</v>
      </c>
      <c r="AV784" t="s">
        <v>74</v>
      </c>
      <c r="AW784" t="s">
        <v>74</v>
      </c>
      <c r="AX784" t="s">
        <v>74</v>
      </c>
      <c r="AY784" t="s">
        <v>74</v>
      </c>
      <c r="AZ784" t="s">
        <v>74</v>
      </c>
      <c r="BA784" t="s">
        <v>74</v>
      </c>
      <c r="BB784" t="s">
        <v>74</v>
      </c>
      <c r="BC784" t="s">
        <v>74</v>
      </c>
      <c r="BD784" t="s">
        <v>74</v>
      </c>
      <c r="BE784" t="s">
        <v>14079</v>
      </c>
      <c r="BF784" t="str">
        <f>HYPERLINK("http://dx.doi.org/10.1080/03004279.2023.2237043","http://dx.doi.org/10.1080/03004279.2023.2237043")</f>
        <v>http://dx.doi.org/10.1080/03004279.2023.2237043</v>
      </c>
      <c r="BG784" t="s">
        <v>74</v>
      </c>
      <c r="BH784" t="s">
        <v>12687</v>
      </c>
      <c r="BI784">
        <v>2</v>
      </c>
      <c r="BJ784" t="s">
        <v>271</v>
      </c>
      <c r="BK784" t="s">
        <v>211</v>
      </c>
      <c r="BL784" t="s">
        <v>271</v>
      </c>
      <c r="BM784" t="s">
        <v>14080</v>
      </c>
      <c r="BN784" t="s">
        <v>74</v>
      </c>
      <c r="BO784" t="s">
        <v>74</v>
      </c>
      <c r="BP784" t="s">
        <v>74</v>
      </c>
      <c r="BQ784" t="s">
        <v>74</v>
      </c>
      <c r="BR784" t="s">
        <v>105</v>
      </c>
      <c r="BS784" t="s">
        <v>14081</v>
      </c>
      <c r="BT784" t="str">
        <f>HYPERLINK("https%3A%2F%2Fwww.webofscience.com%2Fwos%2Fwoscc%2Ffull-record%2FWOS:001033826300001","View Full Record in Web of Science")</f>
        <v>View Full Record in Web of Science</v>
      </c>
    </row>
    <row r="785" spans="1:72" x14ac:dyDescent="0.15">
      <c r="A785" t="s">
        <v>72</v>
      </c>
      <c r="B785" t="s">
        <v>14082</v>
      </c>
      <c r="C785" t="s">
        <v>74</v>
      </c>
      <c r="D785" t="s">
        <v>74</v>
      </c>
      <c r="E785" t="s">
        <v>74</v>
      </c>
      <c r="F785" t="s">
        <v>14083</v>
      </c>
      <c r="G785" t="s">
        <v>74</v>
      </c>
      <c r="H785" t="s">
        <v>74</v>
      </c>
      <c r="I785" t="s">
        <v>14084</v>
      </c>
      <c r="J785" t="s">
        <v>14085</v>
      </c>
      <c r="K785" t="s">
        <v>74</v>
      </c>
      <c r="L785" t="s">
        <v>74</v>
      </c>
      <c r="M785" t="s">
        <v>78</v>
      </c>
      <c r="N785" t="s">
        <v>79</v>
      </c>
      <c r="O785" t="s">
        <v>74</v>
      </c>
      <c r="P785" t="s">
        <v>74</v>
      </c>
      <c r="Q785" t="s">
        <v>74</v>
      </c>
      <c r="R785" t="s">
        <v>74</v>
      </c>
      <c r="S785" t="s">
        <v>74</v>
      </c>
      <c r="T785" t="s">
        <v>14086</v>
      </c>
      <c r="U785" t="s">
        <v>14087</v>
      </c>
      <c r="V785" t="s">
        <v>14088</v>
      </c>
      <c r="W785" t="s">
        <v>14089</v>
      </c>
      <c r="X785" t="s">
        <v>14090</v>
      </c>
      <c r="Y785" t="s">
        <v>14091</v>
      </c>
      <c r="Z785" t="s">
        <v>14092</v>
      </c>
      <c r="AA785" t="s">
        <v>14093</v>
      </c>
      <c r="AB785" t="s">
        <v>14094</v>
      </c>
      <c r="AC785" t="s">
        <v>74</v>
      </c>
      <c r="AD785" t="s">
        <v>74</v>
      </c>
      <c r="AE785" t="s">
        <v>74</v>
      </c>
      <c r="AF785" t="s">
        <v>74</v>
      </c>
      <c r="AG785">
        <v>57</v>
      </c>
      <c r="AH785">
        <v>0</v>
      </c>
      <c r="AI785">
        <v>0</v>
      </c>
      <c r="AJ785">
        <v>3</v>
      </c>
      <c r="AK785">
        <v>3</v>
      </c>
      <c r="AL785" t="s">
        <v>184</v>
      </c>
      <c r="AM785" t="s">
        <v>185</v>
      </c>
      <c r="AN785" t="s">
        <v>186</v>
      </c>
      <c r="AO785" t="s">
        <v>14095</v>
      </c>
      <c r="AP785" t="s">
        <v>14096</v>
      </c>
      <c r="AQ785" t="s">
        <v>74</v>
      </c>
      <c r="AR785" t="s">
        <v>14097</v>
      </c>
      <c r="AS785" t="s">
        <v>14098</v>
      </c>
      <c r="AT785" t="s">
        <v>14099</v>
      </c>
      <c r="AU785">
        <v>2023</v>
      </c>
      <c r="AV785">
        <v>46</v>
      </c>
      <c r="AW785">
        <v>19</v>
      </c>
      <c r="AX785" t="s">
        <v>74</v>
      </c>
      <c r="AY785" t="s">
        <v>74</v>
      </c>
      <c r="AZ785" t="s">
        <v>74</v>
      </c>
      <c r="BA785" t="s">
        <v>74</v>
      </c>
      <c r="BB785">
        <v>4627</v>
      </c>
      <c r="BC785">
        <v>4638</v>
      </c>
      <c r="BD785" t="s">
        <v>74</v>
      </c>
      <c r="BE785" t="s">
        <v>14100</v>
      </c>
      <c r="BF785" t="str">
        <f>HYPERLINK("http://dx.doi.org/10.1080/01904167.2023.2239296","http://dx.doi.org/10.1080/01904167.2023.2239296")</f>
        <v>http://dx.doi.org/10.1080/01904167.2023.2239296</v>
      </c>
      <c r="BG785" t="s">
        <v>74</v>
      </c>
      <c r="BH785" t="s">
        <v>12687</v>
      </c>
      <c r="BI785">
        <v>12</v>
      </c>
      <c r="BJ785" t="s">
        <v>7763</v>
      </c>
      <c r="BK785" t="s">
        <v>102</v>
      </c>
      <c r="BL785" t="s">
        <v>7763</v>
      </c>
      <c r="BM785" t="s">
        <v>14101</v>
      </c>
      <c r="BN785" t="s">
        <v>74</v>
      </c>
      <c r="BO785" t="s">
        <v>74</v>
      </c>
      <c r="BP785" t="s">
        <v>74</v>
      </c>
      <c r="BQ785" t="s">
        <v>74</v>
      </c>
      <c r="BR785" t="s">
        <v>105</v>
      </c>
      <c r="BS785" t="s">
        <v>14102</v>
      </c>
      <c r="BT785" t="str">
        <f>HYPERLINK("https%3A%2F%2Fwww.webofscience.com%2Fwos%2Fwoscc%2Ffull-record%2FWOS:001036439400001","View Full Record in Web of Science")</f>
        <v>View Full Record in Web of Science</v>
      </c>
    </row>
    <row r="786" spans="1:72" x14ac:dyDescent="0.15">
      <c r="A786" t="s">
        <v>72</v>
      </c>
      <c r="B786" t="s">
        <v>14103</v>
      </c>
      <c r="C786" t="s">
        <v>74</v>
      </c>
      <c r="D786" t="s">
        <v>74</v>
      </c>
      <c r="E786" t="s">
        <v>74</v>
      </c>
      <c r="F786" t="s">
        <v>14104</v>
      </c>
      <c r="G786" t="s">
        <v>74</v>
      </c>
      <c r="H786" t="s">
        <v>74</v>
      </c>
      <c r="I786" t="s">
        <v>14105</v>
      </c>
      <c r="J786" t="s">
        <v>14106</v>
      </c>
      <c r="K786" t="s">
        <v>74</v>
      </c>
      <c r="L786" t="s">
        <v>74</v>
      </c>
      <c r="M786" t="s">
        <v>78</v>
      </c>
      <c r="N786" t="s">
        <v>5492</v>
      </c>
      <c r="O786" t="s">
        <v>74</v>
      </c>
      <c r="P786" t="s">
        <v>74</v>
      </c>
      <c r="Q786" t="s">
        <v>74</v>
      </c>
      <c r="R786" t="s">
        <v>74</v>
      </c>
      <c r="S786" t="s">
        <v>74</v>
      </c>
      <c r="T786" t="s">
        <v>14107</v>
      </c>
      <c r="U786" t="s">
        <v>74</v>
      </c>
      <c r="V786" t="s">
        <v>14108</v>
      </c>
      <c r="W786" t="s">
        <v>14109</v>
      </c>
      <c r="X786" t="s">
        <v>74</v>
      </c>
      <c r="Y786" t="s">
        <v>14110</v>
      </c>
      <c r="Z786" t="s">
        <v>14111</v>
      </c>
      <c r="AA786" t="s">
        <v>74</v>
      </c>
      <c r="AB786" t="s">
        <v>74</v>
      </c>
      <c r="AC786" t="s">
        <v>74</v>
      </c>
      <c r="AD786" t="s">
        <v>74</v>
      </c>
      <c r="AE786" t="s">
        <v>74</v>
      </c>
      <c r="AF786" t="s">
        <v>74</v>
      </c>
      <c r="AG786">
        <v>10</v>
      </c>
      <c r="AH786">
        <v>0</v>
      </c>
      <c r="AI786">
        <v>0</v>
      </c>
      <c r="AJ786">
        <v>1</v>
      </c>
      <c r="AK786">
        <v>1</v>
      </c>
      <c r="AL786" t="s">
        <v>1188</v>
      </c>
      <c r="AM786" t="s">
        <v>93</v>
      </c>
      <c r="AN786" t="s">
        <v>1189</v>
      </c>
      <c r="AO786" t="s">
        <v>14112</v>
      </c>
      <c r="AP786" t="s">
        <v>14113</v>
      </c>
      <c r="AQ786" t="s">
        <v>74</v>
      </c>
      <c r="AR786" t="s">
        <v>14114</v>
      </c>
      <c r="AS786" t="s">
        <v>14115</v>
      </c>
      <c r="AT786" t="s">
        <v>14078</v>
      </c>
      <c r="AU786">
        <v>2023</v>
      </c>
      <c r="AV786" t="s">
        <v>74</v>
      </c>
      <c r="AW786" t="s">
        <v>74</v>
      </c>
      <c r="AX786" t="s">
        <v>74</v>
      </c>
      <c r="AY786" t="s">
        <v>74</v>
      </c>
      <c r="AZ786" t="s">
        <v>74</v>
      </c>
      <c r="BA786" t="s">
        <v>74</v>
      </c>
      <c r="BB786" t="s">
        <v>74</v>
      </c>
      <c r="BC786" t="s">
        <v>74</v>
      </c>
      <c r="BD786" t="s">
        <v>74</v>
      </c>
      <c r="BE786" t="s">
        <v>14116</v>
      </c>
      <c r="BF786" t="str">
        <f>HYPERLINK("http://dx.doi.org/10.1080/01639374.2023.2238701","http://dx.doi.org/10.1080/01639374.2023.2238701")</f>
        <v>http://dx.doi.org/10.1080/01639374.2023.2238701</v>
      </c>
      <c r="BG786" t="s">
        <v>74</v>
      </c>
      <c r="BH786" t="s">
        <v>12687</v>
      </c>
      <c r="BI786">
        <v>10</v>
      </c>
      <c r="BJ786" t="s">
        <v>13523</v>
      </c>
      <c r="BK786" t="s">
        <v>211</v>
      </c>
      <c r="BL786" t="s">
        <v>13523</v>
      </c>
      <c r="BM786" t="s">
        <v>14117</v>
      </c>
      <c r="BN786" t="s">
        <v>74</v>
      </c>
      <c r="BO786" t="s">
        <v>74</v>
      </c>
      <c r="BP786" t="s">
        <v>74</v>
      </c>
      <c r="BQ786" t="s">
        <v>74</v>
      </c>
      <c r="BR786" t="s">
        <v>105</v>
      </c>
      <c r="BS786" t="s">
        <v>14118</v>
      </c>
      <c r="BT786" t="str">
        <f>HYPERLINK("https%3A%2F%2Fwww.webofscience.com%2Fwos%2Fwoscc%2Ffull-record%2FWOS:001040371600001","View Full Record in Web of Science")</f>
        <v>View Full Record in Web of Science</v>
      </c>
    </row>
    <row r="787" spans="1:72" x14ac:dyDescent="0.15">
      <c r="A787" t="s">
        <v>72</v>
      </c>
      <c r="B787" t="s">
        <v>14119</v>
      </c>
      <c r="C787" t="s">
        <v>74</v>
      </c>
      <c r="D787" t="s">
        <v>74</v>
      </c>
      <c r="E787" t="s">
        <v>74</v>
      </c>
      <c r="F787" t="s">
        <v>14120</v>
      </c>
      <c r="G787" t="s">
        <v>74</v>
      </c>
      <c r="H787" t="s">
        <v>74</v>
      </c>
      <c r="I787" t="s">
        <v>14121</v>
      </c>
      <c r="J787" t="s">
        <v>10117</v>
      </c>
      <c r="K787" t="s">
        <v>74</v>
      </c>
      <c r="L787" t="s">
        <v>74</v>
      </c>
      <c r="M787" t="s">
        <v>78</v>
      </c>
      <c r="N787" t="s">
        <v>5492</v>
      </c>
      <c r="O787" t="s">
        <v>74</v>
      </c>
      <c r="P787" t="s">
        <v>74</v>
      </c>
      <c r="Q787" t="s">
        <v>74</v>
      </c>
      <c r="R787" t="s">
        <v>74</v>
      </c>
      <c r="S787" t="s">
        <v>74</v>
      </c>
      <c r="T787" t="s">
        <v>14122</v>
      </c>
      <c r="U787" t="s">
        <v>14123</v>
      </c>
      <c r="V787" t="s">
        <v>14124</v>
      </c>
      <c r="W787" t="s">
        <v>14125</v>
      </c>
      <c r="X787" t="s">
        <v>14126</v>
      </c>
      <c r="Y787" t="s">
        <v>14127</v>
      </c>
      <c r="Z787" t="s">
        <v>14128</v>
      </c>
      <c r="AA787" t="s">
        <v>74</v>
      </c>
      <c r="AB787" t="s">
        <v>74</v>
      </c>
      <c r="AC787" t="s">
        <v>74</v>
      </c>
      <c r="AD787" t="s">
        <v>74</v>
      </c>
      <c r="AE787" t="s">
        <v>74</v>
      </c>
      <c r="AF787" t="s">
        <v>74</v>
      </c>
      <c r="AG787">
        <v>88</v>
      </c>
      <c r="AH787">
        <v>0</v>
      </c>
      <c r="AI787">
        <v>0</v>
      </c>
      <c r="AJ787">
        <v>0</v>
      </c>
      <c r="AK787">
        <v>0</v>
      </c>
      <c r="AL787" t="s">
        <v>1188</v>
      </c>
      <c r="AM787" t="s">
        <v>93</v>
      </c>
      <c r="AN787" t="s">
        <v>1189</v>
      </c>
      <c r="AO787" t="s">
        <v>10125</v>
      </c>
      <c r="AP787" t="s">
        <v>10126</v>
      </c>
      <c r="AQ787" t="s">
        <v>74</v>
      </c>
      <c r="AR787" t="s">
        <v>10127</v>
      </c>
      <c r="AS787" t="s">
        <v>10128</v>
      </c>
      <c r="AT787" t="s">
        <v>14078</v>
      </c>
      <c r="AU787">
        <v>2023</v>
      </c>
      <c r="AV787" t="s">
        <v>74</v>
      </c>
      <c r="AW787" t="s">
        <v>74</v>
      </c>
      <c r="AX787" t="s">
        <v>74</v>
      </c>
      <c r="AY787" t="s">
        <v>74</v>
      </c>
      <c r="AZ787" t="s">
        <v>74</v>
      </c>
      <c r="BA787" t="s">
        <v>74</v>
      </c>
      <c r="BB787" t="s">
        <v>74</v>
      </c>
      <c r="BC787" t="s">
        <v>74</v>
      </c>
      <c r="BD787" t="s">
        <v>74</v>
      </c>
      <c r="BE787" t="s">
        <v>14129</v>
      </c>
      <c r="BF787" t="str">
        <f>HYPERLINK("http://dx.doi.org/10.1080/16078055.2023.2238275","http://dx.doi.org/10.1080/16078055.2023.2238275")</f>
        <v>http://dx.doi.org/10.1080/16078055.2023.2238275</v>
      </c>
      <c r="BG787" t="s">
        <v>74</v>
      </c>
      <c r="BH787" t="s">
        <v>12687</v>
      </c>
      <c r="BI787">
        <v>24</v>
      </c>
      <c r="BJ787" t="s">
        <v>5731</v>
      </c>
      <c r="BK787" t="s">
        <v>211</v>
      </c>
      <c r="BL787" t="s">
        <v>397</v>
      </c>
      <c r="BM787" t="s">
        <v>14130</v>
      </c>
      <c r="BN787" t="s">
        <v>74</v>
      </c>
      <c r="BO787" t="s">
        <v>74</v>
      </c>
      <c r="BP787" t="s">
        <v>74</v>
      </c>
      <c r="BQ787" t="s">
        <v>74</v>
      </c>
      <c r="BR787" t="s">
        <v>105</v>
      </c>
      <c r="BS787" t="s">
        <v>14131</v>
      </c>
      <c r="BT787" t="str">
        <f>HYPERLINK("https%3A%2F%2Fwww.webofscience.com%2Fwos%2Fwoscc%2Ffull-record%2FWOS:001032829700001","View Full Record in Web of Science")</f>
        <v>View Full Record in Web of Science</v>
      </c>
    </row>
    <row r="788" spans="1:72" x14ac:dyDescent="0.15">
      <c r="A788" t="s">
        <v>72</v>
      </c>
      <c r="B788" t="s">
        <v>14132</v>
      </c>
      <c r="C788" t="s">
        <v>74</v>
      </c>
      <c r="D788" t="s">
        <v>74</v>
      </c>
      <c r="E788" t="s">
        <v>74</v>
      </c>
      <c r="F788" t="s">
        <v>14133</v>
      </c>
      <c r="G788" t="s">
        <v>74</v>
      </c>
      <c r="H788" t="s">
        <v>74</v>
      </c>
      <c r="I788" t="s">
        <v>14134</v>
      </c>
      <c r="J788" t="s">
        <v>13473</v>
      </c>
      <c r="K788" t="s">
        <v>74</v>
      </c>
      <c r="L788" t="s">
        <v>74</v>
      </c>
      <c r="M788" t="s">
        <v>78</v>
      </c>
      <c r="N788" t="s">
        <v>5492</v>
      </c>
      <c r="O788" t="s">
        <v>74</v>
      </c>
      <c r="P788" t="s">
        <v>74</v>
      </c>
      <c r="Q788" t="s">
        <v>74</v>
      </c>
      <c r="R788" t="s">
        <v>74</v>
      </c>
      <c r="S788" t="s">
        <v>74</v>
      </c>
      <c r="T788" t="s">
        <v>14135</v>
      </c>
      <c r="U788" t="s">
        <v>14136</v>
      </c>
      <c r="V788" t="s">
        <v>14137</v>
      </c>
      <c r="W788" t="s">
        <v>14138</v>
      </c>
      <c r="X788" t="s">
        <v>5185</v>
      </c>
      <c r="Y788" t="s">
        <v>14139</v>
      </c>
      <c r="Z788" t="s">
        <v>14140</v>
      </c>
      <c r="AA788" t="s">
        <v>74</v>
      </c>
      <c r="AB788" t="s">
        <v>14141</v>
      </c>
      <c r="AC788" t="s">
        <v>74</v>
      </c>
      <c r="AD788" t="s">
        <v>74</v>
      </c>
      <c r="AE788" t="s">
        <v>74</v>
      </c>
      <c r="AF788" t="s">
        <v>74</v>
      </c>
      <c r="AG788">
        <v>61</v>
      </c>
      <c r="AH788">
        <v>0</v>
      </c>
      <c r="AI788">
        <v>0</v>
      </c>
      <c r="AJ788">
        <v>3</v>
      </c>
      <c r="AK788">
        <v>3</v>
      </c>
      <c r="AL788" t="s">
        <v>184</v>
      </c>
      <c r="AM788" t="s">
        <v>185</v>
      </c>
      <c r="AN788" t="s">
        <v>186</v>
      </c>
      <c r="AO788" t="s">
        <v>13483</v>
      </c>
      <c r="AP788" t="s">
        <v>13484</v>
      </c>
      <c r="AQ788" t="s">
        <v>74</v>
      </c>
      <c r="AR788" t="s">
        <v>13485</v>
      </c>
      <c r="AS788" t="s">
        <v>13486</v>
      </c>
      <c r="AT788" t="s">
        <v>14078</v>
      </c>
      <c r="AU788">
        <v>2023</v>
      </c>
      <c r="AV788" t="s">
        <v>74</v>
      </c>
      <c r="AW788" t="s">
        <v>74</v>
      </c>
      <c r="AX788" t="s">
        <v>74</v>
      </c>
      <c r="AY788" t="s">
        <v>74</v>
      </c>
      <c r="AZ788" t="s">
        <v>74</v>
      </c>
      <c r="BA788" t="s">
        <v>74</v>
      </c>
      <c r="BB788" t="s">
        <v>74</v>
      </c>
      <c r="BC788" t="s">
        <v>74</v>
      </c>
      <c r="BD788" t="s">
        <v>74</v>
      </c>
      <c r="BE788" t="s">
        <v>14142</v>
      </c>
      <c r="BF788" t="str">
        <f>HYPERLINK("http://dx.doi.org/10.1080/13657305.2023.2236046","http://dx.doi.org/10.1080/13657305.2023.2236046")</f>
        <v>http://dx.doi.org/10.1080/13657305.2023.2236046</v>
      </c>
      <c r="BG788" t="s">
        <v>74</v>
      </c>
      <c r="BH788" t="s">
        <v>12687</v>
      </c>
      <c r="BI788">
        <v>26</v>
      </c>
      <c r="BJ788" t="s">
        <v>13488</v>
      </c>
      <c r="BK788" t="s">
        <v>102</v>
      </c>
      <c r="BL788" t="s">
        <v>13489</v>
      </c>
      <c r="BM788" t="s">
        <v>14143</v>
      </c>
      <c r="BN788" t="s">
        <v>74</v>
      </c>
      <c r="BO788" t="s">
        <v>74</v>
      </c>
      <c r="BP788" t="s">
        <v>74</v>
      </c>
      <c r="BQ788" t="s">
        <v>74</v>
      </c>
      <c r="BR788" t="s">
        <v>105</v>
      </c>
      <c r="BS788" t="s">
        <v>14144</v>
      </c>
      <c r="BT788" t="str">
        <f>HYPERLINK("https%3A%2F%2Fwww.webofscience.com%2Fwos%2Fwoscc%2Ffull-record%2FWOS:001035568200001","View Full Record in Web of Science")</f>
        <v>View Full Record in Web of Science</v>
      </c>
    </row>
    <row r="789" spans="1:72" x14ac:dyDescent="0.15">
      <c r="A789" t="s">
        <v>72</v>
      </c>
      <c r="B789" t="s">
        <v>14145</v>
      </c>
      <c r="C789" t="s">
        <v>74</v>
      </c>
      <c r="D789" t="s">
        <v>74</v>
      </c>
      <c r="E789" t="s">
        <v>74</v>
      </c>
      <c r="F789" t="s">
        <v>14146</v>
      </c>
      <c r="G789" t="s">
        <v>74</v>
      </c>
      <c r="H789" t="s">
        <v>74</v>
      </c>
      <c r="I789" t="s">
        <v>14147</v>
      </c>
      <c r="J789" t="s">
        <v>7046</v>
      </c>
      <c r="K789" t="s">
        <v>74</v>
      </c>
      <c r="L789" t="s">
        <v>74</v>
      </c>
      <c r="M789" t="s">
        <v>14148</v>
      </c>
      <c r="N789" t="s">
        <v>5492</v>
      </c>
      <c r="O789" t="s">
        <v>74</v>
      </c>
      <c r="P789" t="s">
        <v>74</v>
      </c>
      <c r="Q789" t="s">
        <v>74</v>
      </c>
      <c r="R789" t="s">
        <v>74</v>
      </c>
      <c r="S789" t="s">
        <v>74</v>
      </c>
      <c r="T789" t="s">
        <v>74</v>
      </c>
      <c r="U789" t="s">
        <v>14149</v>
      </c>
      <c r="V789" t="s">
        <v>14150</v>
      </c>
      <c r="W789" t="s">
        <v>14151</v>
      </c>
      <c r="X789" t="s">
        <v>14152</v>
      </c>
      <c r="Y789" t="s">
        <v>14153</v>
      </c>
      <c r="Z789" t="s">
        <v>74</v>
      </c>
      <c r="AA789" t="s">
        <v>74</v>
      </c>
      <c r="AB789" t="s">
        <v>74</v>
      </c>
      <c r="AC789" t="s">
        <v>74</v>
      </c>
      <c r="AD789" t="s">
        <v>74</v>
      </c>
      <c r="AE789" t="s">
        <v>74</v>
      </c>
      <c r="AF789" t="s">
        <v>74</v>
      </c>
      <c r="AG789">
        <v>75</v>
      </c>
      <c r="AH789">
        <v>0</v>
      </c>
      <c r="AI789">
        <v>0</v>
      </c>
      <c r="AJ789">
        <v>0</v>
      </c>
      <c r="AK789">
        <v>0</v>
      </c>
      <c r="AL789" t="s">
        <v>1188</v>
      </c>
      <c r="AM789" t="s">
        <v>93</v>
      </c>
      <c r="AN789" t="s">
        <v>1189</v>
      </c>
      <c r="AO789" t="s">
        <v>7051</v>
      </c>
      <c r="AP789" t="s">
        <v>7052</v>
      </c>
      <c r="AQ789" t="s">
        <v>74</v>
      </c>
      <c r="AR789" t="s">
        <v>7053</v>
      </c>
      <c r="AS789" t="s">
        <v>7054</v>
      </c>
      <c r="AT789" t="s">
        <v>14078</v>
      </c>
      <c r="AU789">
        <v>2023</v>
      </c>
      <c r="AV789" t="s">
        <v>74</v>
      </c>
      <c r="AW789" t="s">
        <v>74</v>
      </c>
      <c r="AX789" t="s">
        <v>74</v>
      </c>
      <c r="AY789" t="s">
        <v>74</v>
      </c>
      <c r="AZ789" t="s">
        <v>74</v>
      </c>
      <c r="BA789" t="s">
        <v>74</v>
      </c>
      <c r="BB789" t="s">
        <v>74</v>
      </c>
      <c r="BC789" t="s">
        <v>74</v>
      </c>
      <c r="BD789" t="s">
        <v>74</v>
      </c>
      <c r="BE789" t="s">
        <v>14154</v>
      </c>
      <c r="BF789" t="str">
        <f>HYPERLINK("http://dx.doi.org/10.1080/14753820.2023.2221589","http://dx.doi.org/10.1080/14753820.2023.2221589")</f>
        <v>http://dx.doi.org/10.1080/14753820.2023.2221589</v>
      </c>
      <c r="BG789" t="s">
        <v>74</v>
      </c>
      <c r="BH789" t="s">
        <v>12687</v>
      </c>
      <c r="BI789">
        <v>22</v>
      </c>
      <c r="BJ789" t="s">
        <v>7056</v>
      </c>
      <c r="BK789" t="s">
        <v>6264</v>
      </c>
      <c r="BL789" t="s">
        <v>6283</v>
      </c>
      <c r="BM789" t="s">
        <v>14155</v>
      </c>
      <c r="BN789" t="s">
        <v>74</v>
      </c>
      <c r="BO789" t="s">
        <v>74</v>
      </c>
      <c r="BP789" t="s">
        <v>74</v>
      </c>
      <c r="BQ789" t="s">
        <v>74</v>
      </c>
      <c r="BR789" t="s">
        <v>105</v>
      </c>
      <c r="BS789" t="s">
        <v>14156</v>
      </c>
      <c r="BT789" t="str">
        <f>HYPERLINK("https%3A%2F%2Fwww.webofscience.com%2Fwos%2Fwoscc%2Ffull-record%2FWOS:001034405100001","View Full Record in Web of Science")</f>
        <v>View Full Record in Web of Science</v>
      </c>
    </row>
    <row r="790" spans="1:72" x14ac:dyDescent="0.15">
      <c r="A790" t="s">
        <v>72</v>
      </c>
      <c r="B790" t="s">
        <v>14157</v>
      </c>
      <c r="C790" t="s">
        <v>74</v>
      </c>
      <c r="D790" t="s">
        <v>74</v>
      </c>
      <c r="E790" t="s">
        <v>74</v>
      </c>
      <c r="F790" t="s">
        <v>14158</v>
      </c>
      <c r="G790" t="s">
        <v>74</v>
      </c>
      <c r="H790" t="s">
        <v>74</v>
      </c>
      <c r="I790" t="s">
        <v>14159</v>
      </c>
      <c r="J790" t="s">
        <v>6629</v>
      </c>
      <c r="K790" t="s">
        <v>74</v>
      </c>
      <c r="L790" t="s">
        <v>74</v>
      </c>
      <c r="M790" t="s">
        <v>78</v>
      </c>
      <c r="N790" t="s">
        <v>5492</v>
      </c>
      <c r="O790" t="s">
        <v>74</v>
      </c>
      <c r="P790" t="s">
        <v>74</v>
      </c>
      <c r="Q790" t="s">
        <v>74</v>
      </c>
      <c r="R790" t="s">
        <v>74</v>
      </c>
      <c r="S790" t="s">
        <v>74</v>
      </c>
      <c r="T790" t="s">
        <v>14160</v>
      </c>
      <c r="U790" t="s">
        <v>14161</v>
      </c>
      <c r="V790" t="s">
        <v>14162</v>
      </c>
      <c r="W790" t="s">
        <v>14163</v>
      </c>
      <c r="X790" t="s">
        <v>14164</v>
      </c>
      <c r="Y790" t="s">
        <v>14165</v>
      </c>
      <c r="Z790" t="s">
        <v>14166</v>
      </c>
      <c r="AA790" t="s">
        <v>74</v>
      </c>
      <c r="AB790" t="s">
        <v>74</v>
      </c>
      <c r="AC790" t="s">
        <v>14167</v>
      </c>
      <c r="AD790" t="s">
        <v>14168</v>
      </c>
      <c r="AE790" t="s">
        <v>14169</v>
      </c>
      <c r="AF790" t="s">
        <v>74</v>
      </c>
      <c r="AG790">
        <v>35</v>
      </c>
      <c r="AH790">
        <v>0</v>
      </c>
      <c r="AI790">
        <v>0</v>
      </c>
      <c r="AJ790">
        <v>2</v>
      </c>
      <c r="AK790">
        <v>2</v>
      </c>
      <c r="AL790" t="s">
        <v>184</v>
      </c>
      <c r="AM790" t="s">
        <v>185</v>
      </c>
      <c r="AN790" t="s">
        <v>186</v>
      </c>
      <c r="AO790" t="s">
        <v>6640</v>
      </c>
      <c r="AP790" t="s">
        <v>6641</v>
      </c>
      <c r="AQ790" t="s">
        <v>74</v>
      </c>
      <c r="AR790" t="s">
        <v>6642</v>
      </c>
      <c r="AS790" t="s">
        <v>6643</v>
      </c>
      <c r="AT790" t="s">
        <v>14078</v>
      </c>
      <c r="AU790">
        <v>2023</v>
      </c>
      <c r="AV790" t="s">
        <v>74</v>
      </c>
      <c r="AW790" t="s">
        <v>74</v>
      </c>
      <c r="AX790" t="s">
        <v>74</v>
      </c>
      <c r="AY790" t="s">
        <v>74</v>
      </c>
      <c r="AZ790" t="s">
        <v>74</v>
      </c>
      <c r="BA790" t="s">
        <v>74</v>
      </c>
      <c r="BB790" t="s">
        <v>74</v>
      </c>
      <c r="BC790" t="s">
        <v>74</v>
      </c>
      <c r="BD790" t="s">
        <v>74</v>
      </c>
      <c r="BE790" t="s">
        <v>14170</v>
      </c>
      <c r="BF790" t="str">
        <f>HYPERLINK("http://dx.doi.org/10.1080/03610926.2023.2235447","http://dx.doi.org/10.1080/03610926.2023.2235447")</f>
        <v>http://dx.doi.org/10.1080/03610926.2023.2235447</v>
      </c>
      <c r="BG790" t="s">
        <v>74</v>
      </c>
      <c r="BH790" t="s">
        <v>12687</v>
      </c>
      <c r="BI790">
        <v>19</v>
      </c>
      <c r="BJ790" t="s">
        <v>5630</v>
      </c>
      <c r="BK790" t="s">
        <v>102</v>
      </c>
      <c r="BL790" t="s">
        <v>5435</v>
      </c>
      <c r="BM790" t="s">
        <v>14171</v>
      </c>
      <c r="BN790" t="s">
        <v>74</v>
      </c>
      <c r="BO790" t="s">
        <v>74</v>
      </c>
      <c r="BP790" t="s">
        <v>74</v>
      </c>
      <c r="BQ790" t="s">
        <v>74</v>
      </c>
      <c r="BR790" t="s">
        <v>105</v>
      </c>
      <c r="BS790" t="s">
        <v>14172</v>
      </c>
      <c r="BT790" t="str">
        <f>HYPERLINK("https%3A%2F%2Fwww.webofscience.com%2Fwos%2Fwoscc%2Ffull-record%2FWOS:001033077400001","View Full Record in Web of Science")</f>
        <v>View Full Record in Web of Science</v>
      </c>
    </row>
    <row r="791" spans="1:72" x14ac:dyDescent="0.15">
      <c r="A791" t="s">
        <v>72</v>
      </c>
      <c r="B791" t="s">
        <v>14173</v>
      </c>
      <c r="C791" t="s">
        <v>74</v>
      </c>
      <c r="D791" t="s">
        <v>74</v>
      </c>
      <c r="E791" t="s">
        <v>74</v>
      </c>
      <c r="F791" t="s">
        <v>14174</v>
      </c>
      <c r="G791" t="s">
        <v>74</v>
      </c>
      <c r="H791" t="s">
        <v>74</v>
      </c>
      <c r="I791" t="s">
        <v>14175</v>
      </c>
      <c r="J791" t="s">
        <v>14176</v>
      </c>
      <c r="K791" t="s">
        <v>74</v>
      </c>
      <c r="L791" t="s">
        <v>74</v>
      </c>
      <c r="M791" t="s">
        <v>78</v>
      </c>
      <c r="N791" t="s">
        <v>79</v>
      </c>
      <c r="O791" t="s">
        <v>74</v>
      </c>
      <c r="P791" t="s">
        <v>74</v>
      </c>
      <c r="Q791" t="s">
        <v>74</v>
      </c>
      <c r="R791" t="s">
        <v>74</v>
      </c>
      <c r="S791" t="s">
        <v>74</v>
      </c>
      <c r="T791" t="s">
        <v>14177</v>
      </c>
      <c r="U791" t="s">
        <v>14178</v>
      </c>
      <c r="V791" t="s">
        <v>14179</v>
      </c>
      <c r="W791" t="s">
        <v>14180</v>
      </c>
      <c r="X791" t="s">
        <v>14181</v>
      </c>
      <c r="Y791" t="s">
        <v>14182</v>
      </c>
      <c r="Z791" t="s">
        <v>14183</v>
      </c>
      <c r="AA791" t="s">
        <v>74</v>
      </c>
      <c r="AB791" t="s">
        <v>74</v>
      </c>
      <c r="AC791" t="s">
        <v>74</v>
      </c>
      <c r="AD791" t="s">
        <v>74</v>
      </c>
      <c r="AE791" t="s">
        <v>74</v>
      </c>
      <c r="AF791" t="s">
        <v>74</v>
      </c>
      <c r="AG791">
        <v>66</v>
      </c>
      <c r="AH791">
        <v>0</v>
      </c>
      <c r="AI791">
        <v>0</v>
      </c>
      <c r="AJ791">
        <v>3</v>
      </c>
      <c r="AK791">
        <v>3</v>
      </c>
      <c r="AL791" t="s">
        <v>1188</v>
      </c>
      <c r="AM791" t="s">
        <v>93</v>
      </c>
      <c r="AN791" t="s">
        <v>1189</v>
      </c>
      <c r="AO791" t="s">
        <v>14184</v>
      </c>
      <c r="AP791" t="s">
        <v>14185</v>
      </c>
      <c r="AQ791" t="s">
        <v>74</v>
      </c>
      <c r="AR791" t="s">
        <v>14186</v>
      </c>
      <c r="AS791" t="s">
        <v>14187</v>
      </c>
      <c r="AT791" t="s">
        <v>7845</v>
      </c>
      <c r="AU791">
        <v>2023</v>
      </c>
      <c r="AV791">
        <v>27</v>
      </c>
      <c r="AW791">
        <v>5</v>
      </c>
      <c r="AX791" t="s">
        <v>74</v>
      </c>
      <c r="AY791" t="s">
        <v>74</v>
      </c>
      <c r="AZ791" t="s">
        <v>74</v>
      </c>
      <c r="BA791" t="s">
        <v>74</v>
      </c>
      <c r="BB791">
        <v>605</v>
      </c>
      <c r="BC791">
        <v>622</v>
      </c>
      <c r="BD791" t="s">
        <v>74</v>
      </c>
      <c r="BE791" t="s">
        <v>14188</v>
      </c>
      <c r="BF791" t="str">
        <f>HYPERLINK("http://dx.doi.org/10.1080/13621025.2023.2237425","http://dx.doi.org/10.1080/13621025.2023.2237425")</f>
        <v>http://dx.doi.org/10.1080/13621025.2023.2237425</v>
      </c>
      <c r="BG791" t="s">
        <v>74</v>
      </c>
      <c r="BH791" t="s">
        <v>12687</v>
      </c>
      <c r="BI791">
        <v>18</v>
      </c>
      <c r="BJ791" t="s">
        <v>6893</v>
      </c>
      <c r="BK791" t="s">
        <v>272</v>
      </c>
      <c r="BL791" t="s">
        <v>6894</v>
      </c>
      <c r="BM791" t="s">
        <v>14189</v>
      </c>
      <c r="BN791" t="s">
        <v>74</v>
      </c>
      <c r="BO791" t="s">
        <v>887</v>
      </c>
      <c r="BP791" t="s">
        <v>74</v>
      </c>
      <c r="BQ791" t="s">
        <v>74</v>
      </c>
      <c r="BR791" t="s">
        <v>105</v>
      </c>
      <c r="BS791" t="s">
        <v>14190</v>
      </c>
      <c r="BT791" t="str">
        <f>HYPERLINK("https%3A%2F%2Fwww.webofscience.com%2Fwos%2Fwoscc%2Ffull-record%2FWOS:001032103500001","View Full Record in Web of Science")</f>
        <v>View Full Record in Web of Science</v>
      </c>
    </row>
    <row r="792" spans="1:72" x14ac:dyDescent="0.15">
      <c r="A792" t="s">
        <v>72</v>
      </c>
      <c r="B792" t="s">
        <v>14191</v>
      </c>
      <c r="C792" t="s">
        <v>74</v>
      </c>
      <c r="D792" t="s">
        <v>74</v>
      </c>
      <c r="E792" t="s">
        <v>74</v>
      </c>
      <c r="F792" t="s">
        <v>14192</v>
      </c>
      <c r="G792" t="s">
        <v>74</v>
      </c>
      <c r="H792" t="s">
        <v>74</v>
      </c>
      <c r="I792" t="s">
        <v>14193</v>
      </c>
      <c r="J792" t="s">
        <v>14194</v>
      </c>
      <c r="K792" t="s">
        <v>74</v>
      </c>
      <c r="L792" t="s">
        <v>74</v>
      </c>
      <c r="M792" t="s">
        <v>78</v>
      </c>
      <c r="N792" t="s">
        <v>6754</v>
      </c>
      <c r="O792" t="s">
        <v>74</v>
      </c>
      <c r="P792" t="s">
        <v>74</v>
      </c>
      <c r="Q792" t="s">
        <v>74</v>
      </c>
      <c r="R792" t="s">
        <v>74</v>
      </c>
      <c r="S792" t="s">
        <v>74</v>
      </c>
      <c r="T792" t="s">
        <v>14195</v>
      </c>
      <c r="U792" t="s">
        <v>14196</v>
      </c>
      <c r="V792" t="s">
        <v>14197</v>
      </c>
      <c r="W792" t="s">
        <v>14198</v>
      </c>
      <c r="X792" t="s">
        <v>9134</v>
      </c>
      <c r="Y792" t="s">
        <v>14199</v>
      </c>
      <c r="Z792" t="s">
        <v>14200</v>
      </c>
      <c r="AA792" t="s">
        <v>74</v>
      </c>
      <c r="AB792" t="s">
        <v>74</v>
      </c>
      <c r="AC792" t="s">
        <v>14201</v>
      </c>
      <c r="AD792" t="s">
        <v>14202</v>
      </c>
      <c r="AE792" t="s">
        <v>14203</v>
      </c>
      <c r="AF792" t="s">
        <v>74</v>
      </c>
      <c r="AG792">
        <v>150</v>
      </c>
      <c r="AH792">
        <v>0</v>
      </c>
      <c r="AI792">
        <v>0</v>
      </c>
      <c r="AJ792">
        <v>18</v>
      </c>
      <c r="AK792">
        <v>18</v>
      </c>
      <c r="AL792" t="s">
        <v>184</v>
      </c>
      <c r="AM792" t="s">
        <v>185</v>
      </c>
      <c r="AN792" t="s">
        <v>186</v>
      </c>
      <c r="AO792" t="s">
        <v>14204</v>
      </c>
      <c r="AP792" t="s">
        <v>14205</v>
      </c>
      <c r="AQ792" t="s">
        <v>74</v>
      </c>
      <c r="AR792" t="s">
        <v>14206</v>
      </c>
      <c r="AS792" t="s">
        <v>14207</v>
      </c>
      <c r="AT792" t="s">
        <v>14078</v>
      </c>
      <c r="AU792">
        <v>2023</v>
      </c>
      <c r="AV792" t="s">
        <v>74</v>
      </c>
      <c r="AW792" t="s">
        <v>74</v>
      </c>
      <c r="AX792" t="s">
        <v>74</v>
      </c>
      <c r="AY792" t="s">
        <v>74</v>
      </c>
      <c r="AZ792" t="s">
        <v>74</v>
      </c>
      <c r="BA792" t="s">
        <v>74</v>
      </c>
      <c r="BB792" t="s">
        <v>74</v>
      </c>
      <c r="BC792" t="s">
        <v>74</v>
      </c>
      <c r="BD792" t="s">
        <v>74</v>
      </c>
      <c r="BE792" t="s">
        <v>14208</v>
      </c>
      <c r="BF792" t="str">
        <f>HYPERLINK("http://dx.doi.org/10.1080/10643389.2023.2239130","http://dx.doi.org/10.1080/10643389.2023.2239130")</f>
        <v>http://dx.doi.org/10.1080/10643389.2023.2239130</v>
      </c>
      <c r="BG792" t="s">
        <v>74</v>
      </c>
      <c r="BH792" t="s">
        <v>12687</v>
      </c>
      <c r="BI792">
        <v>26</v>
      </c>
      <c r="BJ792" t="s">
        <v>7096</v>
      </c>
      <c r="BK792" t="s">
        <v>102</v>
      </c>
      <c r="BL792" t="s">
        <v>7097</v>
      </c>
      <c r="BM792" t="s">
        <v>14209</v>
      </c>
      <c r="BN792" t="s">
        <v>74</v>
      </c>
      <c r="BO792" t="s">
        <v>74</v>
      </c>
      <c r="BP792" t="s">
        <v>74</v>
      </c>
      <c r="BQ792" t="s">
        <v>74</v>
      </c>
      <c r="BR792" t="s">
        <v>105</v>
      </c>
      <c r="BS792" t="s">
        <v>14210</v>
      </c>
      <c r="BT792" t="str">
        <f>HYPERLINK("https%3A%2F%2Fwww.webofscience.com%2Fwos%2Fwoscc%2Ffull-record%2FWOS:001037334600001","View Full Record in Web of Science")</f>
        <v>View Full Record in Web of Science</v>
      </c>
    </row>
    <row r="793" spans="1:72" x14ac:dyDescent="0.15">
      <c r="A793" t="s">
        <v>72</v>
      </c>
      <c r="B793" t="s">
        <v>14211</v>
      </c>
      <c r="C793" t="s">
        <v>74</v>
      </c>
      <c r="D793" t="s">
        <v>74</v>
      </c>
      <c r="E793" t="s">
        <v>74</v>
      </c>
      <c r="F793" t="s">
        <v>14212</v>
      </c>
      <c r="G793" t="s">
        <v>74</v>
      </c>
      <c r="H793" t="s">
        <v>74</v>
      </c>
      <c r="I793" t="s">
        <v>14213</v>
      </c>
      <c r="J793" t="s">
        <v>14214</v>
      </c>
      <c r="K793" t="s">
        <v>74</v>
      </c>
      <c r="L793" t="s">
        <v>74</v>
      </c>
      <c r="M793" t="s">
        <v>78</v>
      </c>
      <c r="N793" t="s">
        <v>6754</v>
      </c>
      <c r="O793" t="s">
        <v>74</v>
      </c>
      <c r="P793" t="s">
        <v>74</v>
      </c>
      <c r="Q793" t="s">
        <v>74</v>
      </c>
      <c r="R793" t="s">
        <v>74</v>
      </c>
      <c r="S793" t="s">
        <v>74</v>
      </c>
      <c r="T793" t="s">
        <v>14215</v>
      </c>
      <c r="U793" t="s">
        <v>14216</v>
      </c>
      <c r="V793" t="s">
        <v>14217</v>
      </c>
      <c r="W793" t="s">
        <v>14218</v>
      </c>
      <c r="X793" t="s">
        <v>14219</v>
      </c>
      <c r="Y793" t="s">
        <v>14220</v>
      </c>
      <c r="Z793" t="s">
        <v>14221</v>
      </c>
      <c r="AA793" t="s">
        <v>14222</v>
      </c>
      <c r="AB793" t="s">
        <v>14223</v>
      </c>
      <c r="AC793" t="s">
        <v>74</v>
      </c>
      <c r="AD793" t="s">
        <v>74</v>
      </c>
      <c r="AE793" t="s">
        <v>74</v>
      </c>
      <c r="AF793" t="s">
        <v>74</v>
      </c>
      <c r="AG793">
        <v>41</v>
      </c>
      <c r="AH793">
        <v>0</v>
      </c>
      <c r="AI793">
        <v>0</v>
      </c>
      <c r="AJ793">
        <v>0</v>
      </c>
      <c r="AK793">
        <v>0</v>
      </c>
      <c r="AL793" t="s">
        <v>92</v>
      </c>
      <c r="AM793" t="s">
        <v>93</v>
      </c>
      <c r="AN793" t="s">
        <v>94</v>
      </c>
      <c r="AO793" t="s">
        <v>14224</v>
      </c>
      <c r="AP793" t="s">
        <v>14225</v>
      </c>
      <c r="AQ793" t="s">
        <v>74</v>
      </c>
      <c r="AR793" t="s">
        <v>14226</v>
      </c>
      <c r="AS793" t="s">
        <v>14227</v>
      </c>
      <c r="AT793" t="s">
        <v>14078</v>
      </c>
      <c r="AU793">
        <v>2023</v>
      </c>
      <c r="AV793" t="s">
        <v>74</v>
      </c>
      <c r="AW793" t="s">
        <v>74</v>
      </c>
      <c r="AX793" t="s">
        <v>74</v>
      </c>
      <c r="AY793" t="s">
        <v>74</v>
      </c>
      <c r="AZ793" t="s">
        <v>74</v>
      </c>
      <c r="BA793" t="s">
        <v>74</v>
      </c>
      <c r="BB793" t="s">
        <v>74</v>
      </c>
      <c r="BC793" t="s">
        <v>74</v>
      </c>
      <c r="BD793" t="s">
        <v>74</v>
      </c>
      <c r="BE793" t="s">
        <v>14228</v>
      </c>
      <c r="BF793" t="str">
        <f>HYPERLINK("http://dx.doi.org/10.1080/09540261.2023.2231540","http://dx.doi.org/10.1080/09540261.2023.2231540")</f>
        <v>http://dx.doi.org/10.1080/09540261.2023.2231540</v>
      </c>
      <c r="BG793" t="s">
        <v>74</v>
      </c>
      <c r="BH793" t="s">
        <v>12687</v>
      </c>
      <c r="BI793">
        <v>16</v>
      </c>
      <c r="BJ793" t="s">
        <v>14229</v>
      </c>
      <c r="BK793" t="s">
        <v>272</v>
      </c>
      <c r="BL793" t="s">
        <v>14229</v>
      </c>
      <c r="BM793" t="s">
        <v>14230</v>
      </c>
      <c r="BN793" t="s">
        <v>74</v>
      </c>
      <c r="BO793" t="s">
        <v>74</v>
      </c>
      <c r="BP793" t="s">
        <v>74</v>
      </c>
      <c r="BQ793" t="s">
        <v>74</v>
      </c>
      <c r="BR793" t="s">
        <v>105</v>
      </c>
      <c r="BS793" t="s">
        <v>14231</v>
      </c>
      <c r="BT793" t="str">
        <f>HYPERLINK("https%3A%2F%2Fwww.webofscience.com%2Fwos%2Fwoscc%2Ffull-record%2FWOS:001035644600001","View Full Record in Web of Science")</f>
        <v>View Full Record in Web of Science</v>
      </c>
    </row>
    <row r="794" spans="1:72" x14ac:dyDescent="0.15">
      <c r="A794" t="s">
        <v>72</v>
      </c>
      <c r="B794" t="s">
        <v>14232</v>
      </c>
      <c r="C794" t="s">
        <v>74</v>
      </c>
      <c r="D794" t="s">
        <v>74</v>
      </c>
      <c r="E794" t="s">
        <v>74</v>
      </c>
      <c r="F794" t="s">
        <v>14233</v>
      </c>
      <c r="G794" t="s">
        <v>74</v>
      </c>
      <c r="H794" t="s">
        <v>74</v>
      </c>
      <c r="I794" t="s">
        <v>14234</v>
      </c>
      <c r="J794" t="s">
        <v>14235</v>
      </c>
      <c r="K794" t="s">
        <v>74</v>
      </c>
      <c r="L794" t="s">
        <v>74</v>
      </c>
      <c r="M794" t="s">
        <v>78</v>
      </c>
      <c r="N794" t="s">
        <v>5492</v>
      </c>
      <c r="O794" t="s">
        <v>74</v>
      </c>
      <c r="P794" t="s">
        <v>74</v>
      </c>
      <c r="Q794" t="s">
        <v>74</v>
      </c>
      <c r="R794" t="s">
        <v>74</v>
      </c>
      <c r="S794" t="s">
        <v>74</v>
      </c>
      <c r="T794" t="s">
        <v>14236</v>
      </c>
      <c r="U794" t="s">
        <v>14237</v>
      </c>
      <c r="V794" t="s">
        <v>14238</v>
      </c>
      <c r="W794" t="s">
        <v>14239</v>
      </c>
      <c r="X794" t="s">
        <v>14240</v>
      </c>
      <c r="Y794" t="s">
        <v>14241</v>
      </c>
      <c r="Z794" t="s">
        <v>14242</v>
      </c>
      <c r="AA794" t="s">
        <v>74</v>
      </c>
      <c r="AB794" t="s">
        <v>74</v>
      </c>
      <c r="AC794" t="s">
        <v>74</v>
      </c>
      <c r="AD794" t="s">
        <v>74</v>
      </c>
      <c r="AE794" t="s">
        <v>74</v>
      </c>
      <c r="AF794" t="s">
        <v>74</v>
      </c>
      <c r="AG794">
        <v>41</v>
      </c>
      <c r="AH794">
        <v>0</v>
      </c>
      <c r="AI794">
        <v>0</v>
      </c>
      <c r="AJ794">
        <v>2</v>
      </c>
      <c r="AK794">
        <v>2</v>
      </c>
      <c r="AL794" t="s">
        <v>92</v>
      </c>
      <c r="AM794" t="s">
        <v>93</v>
      </c>
      <c r="AN794" t="s">
        <v>94</v>
      </c>
      <c r="AO794" t="s">
        <v>14243</v>
      </c>
      <c r="AP794" t="s">
        <v>14244</v>
      </c>
      <c r="AQ794" t="s">
        <v>74</v>
      </c>
      <c r="AR794" t="s">
        <v>14245</v>
      </c>
      <c r="AS794" t="s">
        <v>14246</v>
      </c>
      <c r="AT794" t="s">
        <v>14078</v>
      </c>
      <c r="AU794">
        <v>2023</v>
      </c>
      <c r="AV794" t="s">
        <v>74</v>
      </c>
      <c r="AW794" t="s">
        <v>74</v>
      </c>
      <c r="AX794" t="s">
        <v>74</v>
      </c>
      <c r="AY794" t="s">
        <v>74</v>
      </c>
      <c r="AZ794" t="s">
        <v>74</v>
      </c>
      <c r="BA794" t="s">
        <v>74</v>
      </c>
      <c r="BB794" t="s">
        <v>74</v>
      </c>
      <c r="BC794" t="s">
        <v>74</v>
      </c>
      <c r="BD794" t="s">
        <v>74</v>
      </c>
      <c r="BE794" t="s">
        <v>14247</v>
      </c>
      <c r="BF794" t="str">
        <f>HYPERLINK("http://dx.doi.org/10.1080/15623599.2023.2239483","http://dx.doi.org/10.1080/15623599.2023.2239483")</f>
        <v>http://dx.doi.org/10.1080/15623599.2023.2239483</v>
      </c>
      <c r="BG794" t="s">
        <v>74</v>
      </c>
      <c r="BH794" t="s">
        <v>12687</v>
      </c>
      <c r="BI794">
        <v>10</v>
      </c>
      <c r="BJ794" t="s">
        <v>6702</v>
      </c>
      <c r="BK794" t="s">
        <v>211</v>
      </c>
      <c r="BL794" t="s">
        <v>295</v>
      </c>
      <c r="BM794" t="s">
        <v>14248</v>
      </c>
      <c r="BN794" t="s">
        <v>74</v>
      </c>
      <c r="BO794" t="s">
        <v>887</v>
      </c>
      <c r="BP794" t="s">
        <v>74</v>
      </c>
      <c r="BQ794" t="s">
        <v>74</v>
      </c>
      <c r="BR794" t="s">
        <v>105</v>
      </c>
      <c r="BS794" t="s">
        <v>14249</v>
      </c>
      <c r="BT794" t="str">
        <f>HYPERLINK("https%3A%2F%2Fwww.webofscience.com%2Fwos%2Fwoscc%2Ffull-record%2FWOS:001044765900001","View Full Record in Web of Science")</f>
        <v>View Full Record in Web of Science</v>
      </c>
    </row>
    <row r="795" spans="1:72" x14ac:dyDescent="0.15">
      <c r="A795" t="s">
        <v>72</v>
      </c>
      <c r="B795" t="s">
        <v>14250</v>
      </c>
      <c r="C795" t="s">
        <v>74</v>
      </c>
      <c r="D795" t="s">
        <v>74</v>
      </c>
      <c r="E795" t="s">
        <v>74</v>
      </c>
      <c r="F795" t="s">
        <v>14251</v>
      </c>
      <c r="G795" t="s">
        <v>74</v>
      </c>
      <c r="H795" t="s">
        <v>74</v>
      </c>
      <c r="I795" t="s">
        <v>14252</v>
      </c>
      <c r="J795" t="s">
        <v>14253</v>
      </c>
      <c r="K795" t="s">
        <v>74</v>
      </c>
      <c r="L795" t="s">
        <v>74</v>
      </c>
      <c r="M795" t="s">
        <v>78</v>
      </c>
      <c r="N795" t="s">
        <v>5492</v>
      </c>
      <c r="O795" t="s">
        <v>74</v>
      </c>
      <c r="P795" t="s">
        <v>74</v>
      </c>
      <c r="Q795" t="s">
        <v>74</v>
      </c>
      <c r="R795" t="s">
        <v>74</v>
      </c>
      <c r="S795" t="s">
        <v>74</v>
      </c>
      <c r="T795" t="s">
        <v>74</v>
      </c>
      <c r="U795" t="s">
        <v>74</v>
      </c>
      <c r="V795" t="s">
        <v>74</v>
      </c>
      <c r="W795" t="s">
        <v>14254</v>
      </c>
      <c r="X795" t="s">
        <v>74</v>
      </c>
      <c r="Y795" t="s">
        <v>14255</v>
      </c>
      <c r="Z795" t="s">
        <v>14256</v>
      </c>
      <c r="AA795" t="s">
        <v>74</v>
      </c>
      <c r="AB795" t="s">
        <v>74</v>
      </c>
      <c r="AC795" t="s">
        <v>74</v>
      </c>
      <c r="AD795" t="s">
        <v>74</v>
      </c>
      <c r="AE795" t="s">
        <v>74</v>
      </c>
      <c r="AF795" t="s">
        <v>74</v>
      </c>
      <c r="AG795">
        <v>18</v>
      </c>
      <c r="AH795">
        <v>0</v>
      </c>
      <c r="AI795">
        <v>0</v>
      </c>
      <c r="AJ795">
        <v>0</v>
      </c>
      <c r="AK795">
        <v>0</v>
      </c>
      <c r="AL795" t="s">
        <v>1188</v>
      </c>
      <c r="AM795" t="s">
        <v>93</v>
      </c>
      <c r="AN795" t="s">
        <v>1189</v>
      </c>
      <c r="AO795" t="s">
        <v>14257</v>
      </c>
      <c r="AP795" t="s">
        <v>14258</v>
      </c>
      <c r="AQ795" t="s">
        <v>74</v>
      </c>
      <c r="AR795" t="s">
        <v>14259</v>
      </c>
      <c r="AS795" t="s">
        <v>14260</v>
      </c>
      <c r="AT795" t="s">
        <v>14261</v>
      </c>
      <c r="AU795">
        <v>2023</v>
      </c>
      <c r="AV795" t="s">
        <v>74</v>
      </c>
      <c r="AW795" t="s">
        <v>74</v>
      </c>
      <c r="AX795" t="s">
        <v>74</v>
      </c>
      <c r="AY795" t="s">
        <v>74</v>
      </c>
      <c r="AZ795" t="s">
        <v>74</v>
      </c>
      <c r="BA795" t="s">
        <v>74</v>
      </c>
      <c r="BB795" t="s">
        <v>74</v>
      </c>
      <c r="BC795" t="s">
        <v>74</v>
      </c>
      <c r="BD795" t="s">
        <v>74</v>
      </c>
      <c r="BE795" t="s">
        <v>14262</v>
      </c>
      <c r="BF795" t="str">
        <f>HYPERLINK("http://dx.doi.org/10.1080/00497878.2023.2235626","http://dx.doi.org/10.1080/00497878.2023.2235626")</f>
        <v>http://dx.doi.org/10.1080/00497878.2023.2235626</v>
      </c>
      <c r="BG795" t="s">
        <v>74</v>
      </c>
      <c r="BH795" t="s">
        <v>12687</v>
      </c>
      <c r="BI795">
        <v>16</v>
      </c>
      <c r="BJ795" t="s">
        <v>575</v>
      </c>
      <c r="BK795" t="s">
        <v>6264</v>
      </c>
      <c r="BL795" t="s">
        <v>576</v>
      </c>
      <c r="BM795" t="s">
        <v>14263</v>
      </c>
      <c r="BN795" t="s">
        <v>74</v>
      </c>
      <c r="BO795" t="s">
        <v>74</v>
      </c>
      <c r="BP795" t="s">
        <v>74</v>
      </c>
      <c r="BQ795" t="s">
        <v>74</v>
      </c>
      <c r="BR795" t="s">
        <v>105</v>
      </c>
      <c r="BS795" t="s">
        <v>14264</v>
      </c>
      <c r="BT795" t="str">
        <f>HYPERLINK("https%3A%2F%2Fwww.webofscience.com%2Fwos%2Fwoscc%2Ffull-record%2FWOS:001032235900001","View Full Record in Web of Science")</f>
        <v>View Full Record in Web of Science</v>
      </c>
    </row>
    <row r="796" spans="1:72" x14ac:dyDescent="0.15">
      <c r="A796" t="s">
        <v>72</v>
      </c>
      <c r="B796" t="s">
        <v>14265</v>
      </c>
      <c r="C796" t="s">
        <v>74</v>
      </c>
      <c r="D796" t="s">
        <v>74</v>
      </c>
      <c r="E796" t="s">
        <v>74</v>
      </c>
      <c r="F796" t="s">
        <v>14266</v>
      </c>
      <c r="G796" t="s">
        <v>74</v>
      </c>
      <c r="H796" t="s">
        <v>74</v>
      </c>
      <c r="I796" t="s">
        <v>14267</v>
      </c>
      <c r="J796" t="s">
        <v>14268</v>
      </c>
      <c r="K796" t="s">
        <v>74</v>
      </c>
      <c r="L796" t="s">
        <v>74</v>
      </c>
      <c r="M796" t="s">
        <v>78</v>
      </c>
      <c r="N796" t="s">
        <v>5492</v>
      </c>
      <c r="O796" t="s">
        <v>74</v>
      </c>
      <c r="P796" t="s">
        <v>74</v>
      </c>
      <c r="Q796" t="s">
        <v>74</v>
      </c>
      <c r="R796" t="s">
        <v>74</v>
      </c>
      <c r="S796" t="s">
        <v>74</v>
      </c>
      <c r="T796" t="s">
        <v>14269</v>
      </c>
      <c r="U796" t="s">
        <v>74</v>
      </c>
      <c r="V796" t="s">
        <v>14270</v>
      </c>
      <c r="W796" t="s">
        <v>14271</v>
      </c>
      <c r="X796" t="s">
        <v>14272</v>
      </c>
      <c r="Y796" t="s">
        <v>14273</v>
      </c>
      <c r="Z796" t="s">
        <v>14274</v>
      </c>
      <c r="AA796" t="s">
        <v>14275</v>
      </c>
      <c r="AB796" t="s">
        <v>14276</v>
      </c>
      <c r="AC796" t="s">
        <v>14277</v>
      </c>
      <c r="AD796" t="s">
        <v>14278</v>
      </c>
      <c r="AE796" t="s">
        <v>14279</v>
      </c>
      <c r="AF796" t="s">
        <v>74</v>
      </c>
      <c r="AG796">
        <v>28</v>
      </c>
      <c r="AH796">
        <v>0</v>
      </c>
      <c r="AI796">
        <v>0</v>
      </c>
      <c r="AJ796">
        <v>1</v>
      </c>
      <c r="AK796">
        <v>1</v>
      </c>
      <c r="AL796" t="s">
        <v>1188</v>
      </c>
      <c r="AM796" t="s">
        <v>93</v>
      </c>
      <c r="AN796" t="s">
        <v>1189</v>
      </c>
      <c r="AO796" t="s">
        <v>14280</v>
      </c>
      <c r="AP796" t="s">
        <v>14281</v>
      </c>
      <c r="AQ796" t="s">
        <v>74</v>
      </c>
      <c r="AR796" t="s">
        <v>14268</v>
      </c>
      <c r="AS796" t="s">
        <v>14282</v>
      </c>
      <c r="AT796" t="s">
        <v>14261</v>
      </c>
      <c r="AU796">
        <v>2023</v>
      </c>
      <c r="AV796" t="s">
        <v>74</v>
      </c>
      <c r="AW796" t="s">
        <v>74</v>
      </c>
      <c r="AX796" t="s">
        <v>74</v>
      </c>
      <c r="AY796" t="s">
        <v>74</v>
      </c>
      <c r="AZ796" t="s">
        <v>74</v>
      </c>
      <c r="BA796" t="s">
        <v>74</v>
      </c>
      <c r="BB796" t="s">
        <v>74</v>
      </c>
      <c r="BC796" t="s">
        <v>74</v>
      </c>
      <c r="BD796" t="s">
        <v>74</v>
      </c>
      <c r="BE796" t="s">
        <v>14283</v>
      </c>
      <c r="BF796" t="str">
        <f>HYPERLINK("http://dx.doi.org/10.1080/00336297.2023.2189130","http://dx.doi.org/10.1080/00336297.2023.2189130")</f>
        <v>http://dx.doi.org/10.1080/00336297.2023.2189130</v>
      </c>
      <c r="BG796" t="s">
        <v>74</v>
      </c>
      <c r="BH796" t="s">
        <v>12687</v>
      </c>
      <c r="BI796">
        <v>19</v>
      </c>
      <c r="BJ796" t="s">
        <v>14284</v>
      </c>
      <c r="BK796" t="s">
        <v>123</v>
      </c>
      <c r="BL796" t="s">
        <v>14284</v>
      </c>
      <c r="BM796" t="s">
        <v>14285</v>
      </c>
      <c r="BN796" t="s">
        <v>74</v>
      </c>
      <c r="BO796" t="s">
        <v>887</v>
      </c>
      <c r="BP796" t="s">
        <v>74</v>
      </c>
      <c r="BQ796" t="s">
        <v>74</v>
      </c>
      <c r="BR796" t="s">
        <v>105</v>
      </c>
      <c r="BS796" t="s">
        <v>14286</v>
      </c>
      <c r="BT796" t="str">
        <f>HYPERLINK("https%3A%2F%2Fwww.webofscience.com%2Fwos%2Fwoscc%2Ffull-record%2FWOS:001038661800001","View Full Record in Web of Science")</f>
        <v>View Full Record in Web of Science</v>
      </c>
    </row>
    <row r="797" spans="1:72" x14ac:dyDescent="0.15">
      <c r="A797" t="s">
        <v>72</v>
      </c>
      <c r="B797" t="s">
        <v>14287</v>
      </c>
      <c r="C797" t="s">
        <v>74</v>
      </c>
      <c r="D797" t="s">
        <v>74</v>
      </c>
      <c r="E797" t="s">
        <v>74</v>
      </c>
      <c r="F797" t="s">
        <v>14288</v>
      </c>
      <c r="G797" t="s">
        <v>74</v>
      </c>
      <c r="H797" t="s">
        <v>74</v>
      </c>
      <c r="I797" t="s">
        <v>14289</v>
      </c>
      <c r="J797" t="s">
        <v>6629</v>
      </c>
      <c r="K797" t="s">
        <v>74</v>
      </c>
      <c r="L797" t="s">
        <v>74</v>
      </c>
      <c r="M797" t="s">
        <v>78</v>
      </c>
      <c r="N797" t="s">
        <v>5492</v>
      </c>
      <c r="O797" t="s">
        <v>74</v>
      </c>
      <c r="P797" t="s">
        <v>74</v>
      </c>
      <c r="Q797" t="s">
        <v>74</v>
      </c>
      <c r="R797" t="s">
        <v>74</v>
      </c>
      <c r="S797" t="s">
        <v>74</v>
      </c>
      <c r="T797" t="s">
        <v>14290</v>
      </c>
      <c r="U797" t="s">
        <v>14291</v>
      </c>
      <c r="V797" t="s">
        <v>14292</v>
      </c>
      <c r="W797" t="s">
        <v>14293</v>
      </c>
      <c r="X797" t="s">
        <v>14294</v>
      </c>
      <c r="Y797" t="s">
        <v>14295</v>
      </c>
      <c r="Z797" t="s">
        <v>14296</v>
      </c>
      <c r="AA797" t="s">
        <v>74</v>
      </c>
      <c r="AB797" t="s">
        <v>74</v>
      </c>
      <c r="AC797" t="s">
        <v>14297</v>
      </c>
      <c r="AD797" t="s">
        <v>14298</v>
      </c>
      <c r="AE797" t="s">
        <v>14299</v>
      </c>
      <c r="AF797" t="s">
        <v>74</v>
      </c>
      <c r="AG797">
        <v>35</v>
      </c>
      <c r="AH797">
        <v>0</v>
      </c>
      <c r="AI797">
        <v>0</v>
      </c>
      <c r="AJ797">
        <v>2</v>
      </c>
      <c r="AK797">
        <v>2</v>
      </c>
      <c r="AL797" t="s">
        <v>184</v>
      </c>
      <c r="AM797" t="s">
        <v>185</v>
      </c>
      <c r="AN797" t="s">
        <v>186</v>
      </c>
      <c r="AO797" t="s">
        <v>6640</v>
      </c>
      <c r="AP797" t="s">
        <v>6641</v>
      </c>
      <c r="AQ797" t="s">
        <v>74</v>
      </c>
      <c r="AR797" t="s">
        <v>6642</v>
      </c>
      <c r="AS797" t="s">
        <v>6643</v>
      </c>
      <c r="AT797" t="s">
        <v>14261</v>
      </c>
      <c r="AU797">
        <v>2023</v>
      </c>
      <c r="AV797" t="s">
        <v>74</v>
      </c>
      <c r="AW797" t="s">
        <v>74</v>
      </c>
      <c r="AX797" t="s">
        <v>74</v>
      </c>
      <c r="AY797" t="s">
        <v>74</v>
      </c>
      <c r="AZ797" t="s">
        <v>74</v>
      </c>
      <c r="BA797" t="s">
        <v>74</v>
      </c>
      <c r="BB797" t="s">
        <v>74</v>
      </c>
      <c r="BC797" t="s">
        <v>74</v>
      </c>
      <c r="BD797" t="s">
        <v>74</v>
      </c>
      <c r="BE797" t="s">
        <v>14300</v>
      </c>
      <c r="BF797" t="str">
        <f>HYPERLINK("http://dx.doi.org/10.1080/03610926.2023.2229028","http://dx.doi.org/10.1080/03610926.2023.2229028")</f>
        <v>http://dx.doi.org/10.1080/03610926.2023.2229028</v>
      </c>
      <c r="BG797" t="s">
        <v>74</v>
      </c>
      <c r="BH797" t="s">
        <v>12687</v>
      </c>
      <c r="BI797">
        <v>19</v>
      </c>
      <c r="BJ797" t="s">
        <v>5630</v>
      </c>
      <c r="BK797" t="s">
        <v>102</v>
      </c>
      <c r="BL797" t="s">
        <v>5435</v>
      </c>
      <c r="BM797" t="s">
        <v>14301</v>
      </c>
      <c r="BN797" t="s">
        <v>74</v>
      </c>
      <c r="BO797" t="s">
        <v>74</v>
      </c>
      <c r="BP797" t="s">
        <v>74</v>
      </c>
      <c r="BQ797" t="s">
        <v>74</v>
      </c>
      <c r="BR797" t="s">
        <v>105</v>
      </c>
      <c r="BS797" t="s">
        <v>14302</v>
      </c>
      <c r="BT797" t="str">
        <f>HYPERLINK("https%3A%2F%2Fwww.webofscience.com%2Fwos%2Fwoscc%2Ffull-record%2FWOS:001032924900001","View Full Record in Web of Science")</f>
        <v>View Full Record in Web of Science</v>
      </c>
    </row>
    <row r="798" spans="1:72" x14ac:dyDescent="0.15">
      <c r="A798" t="s">
        <v>72</v>
      </c>
      <c r="B798" t="s">
        <v>14303</v>
      </c>
      <c r="C798" t="s">
        <v>74</v>
      </c>
      <c r="D798" t="s">
        <v>74</v>
      </c>
      <c r="E798" t="s">
        <v>74</v>
      </c>
      <c r="F798" t="s">
        <v>14304</v>
      </c>
      <c r="G798" t="s">
        <v>74</v>
      </c>
      <c r="H798" t="s">
        <v>74</v>
      </c>
      <c r="I798" t="s">
        <v>14305</v>
      </c>
      <c r="J798" t="s">
        <v>14306</v>
      </c>
      <c r="K798" t="s">
        <v>74</v>
      </c>
      <c r="L798" t="s">
        <v>74</v>
      </c>
      <c r="M798" t="s">
        <v>78</v>
      </c>
      <c r="N798" t="s">
        <v>5492</v>
      </c>
      <c r="O798" t="s">
        <v>74</v>
      </c>
      <c r="P798" t="s">
        <v>74</v>
      </c>
      <c r="Q798" t="s">
        <v>74</v>
      </c>
      <c r="R798" t="s">
        <v>74</v>
      </c>
      <c r="S798" t="s">
        <v>74</v>
      </c>
      <c r="T798" t="s">
        <v>14307</v>
      </c>
      <c r="U798" t="s">
        <v>74</v>
      </c>
      <c r="V798" t="s">
        <v>14308</v>
      </c>
      <c r="W798" t="s">
        <v>14309</v>
      </c>
      <c r="X798" t="s">
        <v>14310</v>
      </c>
      <c r="Y798" t="s">
        <v>14311</v>
      </c>
      <c r="Z798" t="s">
        <v>14312</v>
      </c>
      <c r="AA798" t="s">
        <v>74</v>
      </c>
      <c r="AB798" t="s">
        <v>74</v>
      </c>
      <c r="AC798" t="s">
        <v>14313</v>
      </c>
      <c r="AD798" t="s">
        <v>14313</v>
      </c>
      <c r="AE798" t="s">
        <v>14314</v>
      </c>
      <c r="AF798" t="s">
        <v>74</v>
      </c>
      <c r="AG798">
        <v>36</v>
      </c>
      <c r="AH798">
        <v>0</v>
      </c>
      <c r="AI798">
        <v>0</v>
      </c>
      <c r="AJ798">
        <v>0</v>
      </c>
      <c r="AK798">
        <v>0</v>
      </c>
      <c r="AL798" t="s">
        <v>1188</v>
      </c>
      <c r="AM798" t="s">
        <v>93</v>
      </c>
      <c r="AN798" t="s">
        <v>1189</v>
      </c>
      <c r="AO798" t="s">
        <v>14315</v>
      </c>
      <c r="AP798" t="s">
        <v>14316</v>
      </c>
      <c r="AQ798" t="s">
        <v>74</v>
      </c>
      <c r="AR798" t="s">
        <v>14317</v>
      </c>
      <c r="AS798" t="s">
        <v>14318</v>
      </c>
      <c r="AT798" t="s">
        <v>14261</v>
      </c>
      <c r="AU798">
        <v>2023</v>
      </c>
      <c r="AV798" t="s">
        <v>74</v>
      </c>
      <c r="AW798" t="s">
        <v>74</v>
      </c>
      <c r="AX798" t="s">
        <v>74</v>
      </c>
      <c r="AY798" t="s">
        <v>74</v>
      </c>
      <c r="AZ798" t="s">
        <v>74</v>
      </c>
      <c r="BA798" t="s">
        <v>74</v>
      </c>
      <c r="BB798" t="s">
        <v>74</v>
      </c>
      <c r="BC798" t="s">
        <v>74</v>
      </c>
      <c r="BD798" t="s">
        <v>74</v>
      </c>
      <c r="BE798" t="s">
        <v>14319</v>
      </c>
      <c r="BF798" t="str">
        <f>HYPERLINK("http://dx.doi.org/10.1080/1462317X.2023.2224541","http://dx.doi.org/10.1080/1462317X.2023.2224541")</f>
        <v>http://dx.doi.org/10.1080/1462317X.2023.2224541</v>
      </c>
      <c r="BG798" t="s">
        <v>74</v>
      </c>
      <c r="BH798" t="s">
        <v>12687</v>
      </c>
      <c r="BI798">
        <v>18</v>
      </c>
      <c r="BJ798" t="s">
        <v>14320</v>
      </c>
      <c r="BK798" t="s">
        <v>211</v>
      </c>
      <c r="BL798" t="s">
        <v>14320</v>
      </c>
      <c r="BM798" t="s">
        <v>14321</v>
      </c>
      <c r="BN798" t="s">
        <v>74</v>
      </c>
      <c r="BO798" t="s">
        <v>74</v>
      </c>
      <c r="BP798" t="s">
        <v>74</v>
      </c>
      <c r="BQ798" t="s">
        <v>74</v>
      </c>
      <c r="BR798" t="s">
        <v>105</v>
      </c>
      <c r="BS798" t="s">
        <v>14322</v>
      </c>
      <c r="BT798" t="str">
        <f>HYPERLINK("https%3A%2F%2Fwww.webofscience.com%2Fwos%2Fwoscc%2Ffull-record%2FWOS:001035652400001","View Full Record in Web of Science")</f>
        <v>View Full Record in Web of Science</v>
      </c>
    </row>
    <row r="799" spans="1:72" x14ac:dyDescent="0.15">
      <c r="A799" t="s">
        <v>72</v>
      </c>
      <c r="B799" t="s">
        <v>14323</v>
      </c>
      <c r="C799" t="s">
        <v>74</v>
      </c>
      <c r="D799" t="s">
        <v>74</v>
      </c>
      <c r="E799" t="s">
        <v>74</v>
      </c>
      <c r="F799" t="s">
        <v>14324</v>
      </c>
      <c r="G799" t="s">
        <v>74</v>
      </c>
      <c r="H799" t="s">
        <v>74</v>
      </c>
      <c r="I799" t="s">
        <v>14325</v>
      </c>
      <c r="J799" t="s">
        <v>14326</v>
      </c>
      <c r="K799" t="s">
        <v>74</v>
      </c>
      <c r="L799" t="s">
        <v>74</v>
      </c>
      <c r="M799" t="s">
        <v>78</v>
      </c>
      <c r="N799" t="s">
        <v>5492</v>
      </c>
      <c r="O799" t="s">
        <v>74</v>
      </c>
      <c r="P799" t="s">
        <v>74</v>
      </c>
      <c r="Q799" t="s">
        <v>74</v>
      </c>
      <c r="R799" t="s">
        <v>74</v>
      </c>
      <c r="S799" t="s">
        <v>74</v>
      </c>
      <c r="T799" t="s">
        <v>14327</v>
      </c>
      <c r="U799" t="s">
        <v>14328</v>
      </c>
      <c r="V799" t="s">
        <v>14329</v>
      </c>
      <c r="W799" t="s">
        <v>14330</v>
      </c>
      <c r="X799" t="s">
        <v>14331</v>
      </c>
      <c r="Y799" t="s">
        <v>14332</v>
      </c>
      <c r="Z799" t="s">
        <v>14333</v>
      </c>
      <c r="AA799" t="s">
        <v>14334</v>
      </c>
      <c r="AB799" t="s">
        <v>14335</v>
      </c>
      <c r="AC799" t="s">
        <v>74</v>
      </c>
      <c r="AD799" t="s">
        <v>74</v>
      </c>
      <c r="AE799" t="s">
        <v>74</v>
      </c>
      <c r="AF799" t="s">
        <v>74</v>
      </c>
      <c r="AG799">
        <v>44</v>
      </c>
      <c r="AH799">
        <v>0</v>
      </c>
      <c r="AI799">
        <v>0</v>
      </c>
      <c r="AJ799">
        <v>0</v>
      </c>
      <c r="AK799">
        <v>0</v>
      </c>
      <c r="AL799" t="s">
        <v>92</v>
      </c>
      <c r="AM799" t="s">
        <v>93</v>
      </c>
      <c r="AN799" t="s">
        <v>94</v>
      </c>
      <c r="AO799" t="s">
        <v>14336</v>
      </c>
      <c r="AP799" t="s">
        <v>14337</v>
      </c>
      <c r="AQ799" t="s">
        <v>74</v>
      </c>
      <c r="AR799" t="s">
        <v>14338</v>
      </c>
      <c r="AS799" t="s">
        <v>14339</v>
      </c>
      <c r="AT799" t="s">
        <v>14261</v>
      </c>
      <c r="AU799">
        <v>2023</v>
      </c>
      <c r="AV799" t="s">
        <v>74</v>
      </c>
      <c r="AW799" t="s">
        <v>74</v>
      </c>
      <c r="AX799" t="s">
        <v>74</v>
      </c>
      <c r="AY799" t="s">
        <v>74</v>
      </c>
      <c r="AZ799" t="s">
        <v>74</v>
      </c>
      <c r="BA799" t="s">
        <v>74</v>
      </c>
      <c r="BB799" t="s">
        <v>74</v>
      </c>
      <c r="BC799" t="s">
        <v>74</v>
      </c>
      <c r="BD799" t="s">
        <v>74</v>
      </c>
      <c r="BE799" t="s">
        <v>14340</v>
      </c>
      <c r="BF799" t="str">
        <f>HYPERLINK("http://dx.doi.org/10.1080/13284207.2023.2231603","http://dx.doi.org/10.1080/13284207.2023.2231603")</f>
        <v>http://dx.doi.org/10.1080/13284207.2023.2231603</v>
      </c>
      <c r="BG799" t="s">
        <v>74</v>
      </c>
      <c r="BH799" t="s">
        <v>12687</v>
      </c>
      <c r="BI799">
        <v>10</v>
      </c>
      <c r="BJ799" t="s">
        <v>14341</v>
      </c>
      <c r="BK799" t="s">
        <v>123</v>
      </c>
      <c r="BL799" t="s">
        <v>1691</v>
      </c>
      <c r="BM799" t="s">
        <v>14342</v>
      </c>
      <c r="BN799" t="s">
        <v>74</v>
      </c>
      <c r="BO799" t="s">
        <v>887</v>
      </c>
      <c r="BP799" t="s">
        <v>74</v>
      </c>
      <c r="BQ799" t="s">
        <v>74</v>
      </c>
      <c r="BR799" t="s">
        <v>105</v>
      </c>
      <c r="BS799" t="s">
        <v>14343</v>
      </c>
      <c r="BT799" t="str">
        <f>HYPERLINK("https%3A%2F%2Fwww.webofscience.com%2Fwos%2Fwoscc%2Ffull-record%2FWOS:001028716200001","View Full Record in Web of Science")</f>
        <v>View Full Record in Web of Science</v>
      </c>
    </row>
    <row r="800" spans="1:72" x14ac:dyDescent="0.15">
      <c r="A800" t="s">
        <v>72</v>
      </c>
      <c r="B800" t="s">
        <v>14344</v>
      </c>
      <c r="C800" t="s">
        <v>74</v>
      </c>
      <c r="D800" t="s">
        <v>74</v>
      </c>
      <c r="E800" t="s">
        <v>74</v>
      </c>
      <c r="F800" t="s">
        <v>14345</v>
      </c>
      <c r="G800" t="s">
        <v>74</v>
      </c>
      <c r="H800" t="s">
        <v>74</v>
      </c>
      <c r="I800" t="s">
        <v>14346</v>
      </c>
      <c r="J800" t="s">
        <v>14347</v>
      </c>
      <c r="K800" t="s">
        <v>74</v>
      </c>
      <c r="L800" t="s">
        <v>74</v>
      </c>
      <c r="M800" t="s">
        <v>78</v>
      </c>
      <c r="N800" t="s">
        <v>79</v>
      </c>
      <c r="O800" t="s">
        <v>74</v>
      </c>
      <c r="P800" t="s">
        <v>74</v>
      </c>
      <c r="Q800" t="s">
        <v>74</v>
      </c>
      <c r="R800" t="s">
        <v>74</v>
      </c>
      <c r="S800" t="s">
        <v>74</v>
      </c>
      <c r="T800" t="s">
        <v>14348</v>
      </c>
      <c r="U800" t="s">
        <v>74</v>
      </c>
      <c r="V800" t="s">
        <v>14349</v>
      </c>
      <c r="W800" t="s">
        <v>14350</v>
      </c>
      <c r="X800" t="s">
        <v>14351</v>
      </c>
      <c r="Y800" t="s">
        <v>14352</v>
      </c>
      <c r="Z800" t="s">
        <v>14353</v>
      </c>
      <c r="AA800" t="s">
        <v>74</v>
      </c>
      <c r="AB800" t="s">
        <v>74</v>
      </c>
      <c r="AC800" t="s">
        <v>74</v>
      </c>
      <c r="AD800" t="s">
        <v>74</v>
      </c>
      <c r="AE800" t="s">
        <v>74</v>
      </c>
      <c r="AF800" t="s">
        <v>74</v>
      </c>
      <c r="AG800">
        <v>3</v>
      </c>
      <c r="AH800">
        <v>0</v>
      </c>
      <c r="AI800">
        <v>0</v>
      </c>
      <c r="AJ800">
        <v>0</v>
      </c>
      <c r="AK800">
        <v>0</v>
      </c>
      <c r="AL800" t="s">
        <v>1188</v>
      </c>
      <c r="AM800" t="s">
        <v>93</v>
      </c>
      <c r="AN800" t="s">
        <v>1189</v>
      </c>
      <c r="AO800" t="s">
        <v>14354</v>
      </c>
      <c r="AP800" t="s">
        <v>14355</v>
      </c>
      <c r="AQ800" t="s">
        <v>74</v>
      </c>
      <c r="AR800" t="s">
        <v>14356</v>
      </c>
      <c r="AS800" t="s">
        <v>14357</v>
      </c>
      <c r="AT800" t="s">
        <v>5467</v>
      </c>
      <c r="AU800">
        <v>2023</v>
      </c>
      <c r="AV800">
        <v>43</v>
      </c>
      <c r="AW800">
        <v>4</v>
      </c>
      <c r="AX800" t="s">
        <v>74</v>
      </c>
      <c r="AY800" t="s">
        <v>74</v>
      </c>
      <c r="AZ800" t="s">
        <v>74</v>
      </c>
      <c r="BA800" t="s">
        <v>74</v>
      </c>
      <c r="BB800">
        <v>258</v>
      </c>
      <c r="BC800">
        <v>260</v>
      </c>
      <c r="BD800" t="s">
        <v>74</v>
      </c>
      <c r="BE800" t="s">
        <v>14358</v>
      </c>
      <c r="BF800" t="str">
        <f>HYPERLINK("http://dx.doi.org/10.1080/10462937.2023.2234975","http://dx.doi.org/10.1080/10462937.2023.2234975")</f>
        <v>http://dx.doi.org/10.1080/10462937.2023.2234975</v>
      </c>
      <c r="BG800" t="s">
        <v>74</v>
      </c>
      <c r="BH800" t="s">
        <v>12687</v>
      </c>
      <c r="BI800">
        <v>3</v>
      </c>
      <c r="BJ800" t="s">
        <v>575</v>
      </c>
      <c r="BK800" t="s">
        <v>6264</v>
      </c>
      <c r="BL800" t="s">
        <v>576</v>
      </c>
      <c r="BM800" t="s">
        <v>14359</v>
      </c>
      <c r="BN800" t="s">
        <v>74</v>
      </c>
      <c r="BO800" t="s">
        <v>74</v>
      </c>
      <c r="BP800" t="s">
        <v>74</v>
      </c>
      <c r="BQ800" t="s">
        <v>74</v>
      </c>
      <c r="BR800" t="s">
        <v>105</v>
      </c>
      <c r="BS800" t="s">
        <v>14360</v>
      </c>
      <c r="BT800" t="str">
        <f>HYPERLINK("https%3A%2F%2Fwww.webofscience.com%2Fwos%2Fwoscc%2Ffull-record%2FWOS:001032219700001","View Full Record in Web of Science")</f>
        <v>View Full Record in Web of Science</v>
      </c>
    </row>
    <row r="801" spans="1:72" x14ac:dyDescent="0.15">
      <c r="A801" t="s">
        <v>72</v>
      </c>
      <c r="B801" t="s">
        <v>14361</v>
      </c>
      <c r="C801" t="s">
        <v>74</v>
      </c>
      <c r="D801" t="s">
        <v>74</v>
      </c>
      <c r="E801" t="s">
        <v>74</v>
      </c>
      <c r="F801" t="s">
        <v>14362</v>
      </c>
      <c r="G801" t="s">
        <v>74</v>
      </c>
      <c r="H801" t="s">
        <v>74</v>
      </c>
      <c r="I801" t="s">
        <v>14363</v>
      </c>
      <c r="J801" t="s">
        <v>12903</v>
      </c>
      <c r="K801" t="s">
        <v>74</v>
      </c>
      <c r="L801" t="s">
        <v>74</v>
      </c>
      <c r="M801" t="s">
        <v>78</v>
      </c>
      <c r="N801" t="s">
        <v>5492</v>
      </c>
      <c r="O801" t="s">
        <v>74</v>
      </c>
      <c r="P801" t="s">
        <v>74</v>
      </c>
      <c r="Q801" t="s">
        <v>74</v>
      </c>
      <c r="R801" t="s">
        <v>74</v>
      </c>
      <c r="S801" t="s">
        <v>74</v>
      </c>
      <c r="T801" t="s">
        <v>14364</v>
      </c>
      <c r="U801" t="s">
        <v>14365</v>
      </c>
      <c r="V801" t="s">
        <v>14366</v>
      </c>
      <c r="W801" t="s">
        <v>14367</v>
      </c>
      <c r="X801" t="s">
        <v>12161</v>
      </c>
      <c r="Y801" t="s">
        <v>14368</v>
      </c>
      <c r="Z801" t="s">
        <v>14369</v>
      </c>
      <c r="AA801" t="s">
        <v>74</v>
      </c>
      <c r="AB801" t="s">
        <v>14370</v>
      </c>
      <c r="AC801" t="s">
        <v>74</v>
      </c>
      <c r="AD801" t="s">
        <v>74</v>
      </c>
      <c r="AE801" t="s">
        <v>74</v>
      </c>
      <c r="AF801" t="s">
        <v>74</v>
      </c>
      <c r="AG801">
        <v>48</v>
      </c>
      <c r="AH801">
        <v>0</v>
      </c>
      <c r="AI801">
        <v>0</v>
      </c>
      <c r="AJ801">
        <v>2</v>
      </c>
      <c r="AK801">
        <v>2</v>
      </c>
      <c r="AL801" t="s">
        <v>1188</v>
      </c>
      <c r="AM801" t="s">
        <v>93</v>
      </c>
      <c r="AN801" t="s">
        <v>1189</v>
      </c>
      <c r="AO801" t="s">
        <v>12914</v>
      </c>
      <c r="AP801" t="s">
        <v>12915</v>
      </c>
      <c r="AQ801" t="s">
        <v>74</v>
      </c>
      <c r="AR801" t="s">
        <v>12916</v>
      </c>
      <c r="AS801" t="s">
        <v>12917</v>
      </c>
      <c r="AT801" t="s">
        <v>14261</v>
      </c>
      <c r="AU801">
        <v>2023</v>
      </c>
      <c r="AV801" t="s">
        <v>74</v>
      </c>
      <c r="AW801" t="s">
        <v>74</v>
      </c>
      <c r="AX801" t="s">
        <v>74</v>
      </c>
      <c r="AY801" t="s">
        <v>74</v>
      </c>
      <c r="AZ801" t="s">
        <v>74</v>
      </c>
      <c r="BA801" t="s">
        <v>74</v>
      </c>
      <c r="BB801" t="s">
        <v>74</v>
      </c>
      <c r="BC801" t="s">
        <v>74</v>
      </c>
      <c r="BD801" t="s">
        <v>74</v>
      </c>
      <c r="BE801" t="s">
        <v>14371</v>
      </c>
      <c r="BF801" t="str">
        <f>HYPERLINK("http://dx.doi.org/10.1080/13540602.2023.2236986","http://dx.doi.org/10.1080/13540602.2023.2236986")</f>
        <v>http://dx.doi.org/10.1080/13540602.2023.2236986</v>
      </c>
      <c r="BG801" t="s">
        <v>74</v>
      </c>
      <c r="BH801" t="s">
        <v>12687</v>
      </c>
      <c r="BI801">
        <v>18</v>
      </c>
      <c r="BJ801" t="s">
        <v>271</v>
      </c>
      <c r="BK801" t="s">
        <v>272</v>
      </c>
      <c r="BL801" t="s">
        <v>271</v>
      </c>
      <c r="BM801" t="s">
        <v>14372</v>
      </c>
      <c r="BN801" t="s">
        <v>74</v>
      </c>
      <c r="BO801" t="s">
        <v>74</v>
      </c>
      <c r="BP801" t="s">
        <v>74</v>
      </c>
      <c r="BQ801" t="s">
        <v>74</v>
      </c>
      <c r="BR801" t="s">
        <v>105</v>
      </c>
      <c r="BS801" t="s">
        <v>14373</v>
      </c>
      <c r="BT801" t="str">
        <f>HYPERLINK("https%3A%2F%2Fwww.webofscience.com%2Fwos%2Fwoscc%2Ffull-record%2FWOS:001032286700001","View Full Record in Web of Science")</f>
        <v>View Full Record in Web of Science</v>
      </c>
    </row>
    <row r="802" spans="1:72" x14ac:dyDescent="0.15">
      <c r="A802" t="s">
        <v>72</v>
      </c>
      <c r="B802" t="s">
        <v>14374</v>
      </c>
      <c r="C802" t="s">
        <v>74</v>
      </c>
      <c r="D802" t="s">
        <v>74</v>
      </c>
      <c r="E802" t="s">
        <v>74</v>
      </c>
      <c r="F802" t="s">
        <v>14375</v>
      </c>
      <c r="G802" t="s">
        <v>74</v>
      </c>
      <c r="H802" t="s">
        <v>74</v>
      </c>
      <c r="I802" t="s">
        <v>14376</v>
      </c>
      <c r="J802" t="s">
        <v>14377</v>
      </c>
      <c r="K802" t="s">
        <v>74</v>
      </c>
      <c r="L802" t="s">
        <v>74</v>
      </c>
      <c r="M802" t="s">
        <v>78</v>
      </c>
      <c r="N802" t="s">
        <v>5492</v>
      </c>
      <c r="O802" t="s">
        <v>74</v>
      </c>
      <c r="P802" t="s">
        <v>74</v>
      </c>
      <c r="Q802" t="s">
        <v>74</v>
      </c>
      <c r="R802" t="s">
        <v>74</v>
      </c>
      <c r="S802" t="s">
        <v>74</v>
      </c>
      <c r="T802" t="s">
        <v>14378</v>
      </c>
      <c r="U802" t="s">
        <v>74</v>
      </c>
      <c r="V802" t="s">
        <v>14379</v>
      </c>
      <c r="W802" t="s">
        <v>14380</v>
      </c>
      <c r="X802" t="s">
        <v>74</v>
      </c>
      <c r="Y802" t="s">
        <v>14381</v>
      </c>
      <c r="Z802" t="s">
        <v>14382</v>
      </c>
      <c r="AA802" t="s">
        <v>14383</v>
      </c>
      <c r="AB802" t="s">
        <v>14384</v>
      </c>
      <c r="AC802" t="s">
        <v>74</v>
      </c>
      <c r="AD802" t="s">
        <v>74</v>
      </c>
      <c r="AE802" t="s">
        <v>74</v>
      </c>
      <c r="AF802" t="s">
        <v>74</v>
      </c>
      <c r="AG802">
        <v>42</v>
      </c>
      <c r="AH802">
        <v>0</v>
      </c>
      <c r="AI802">
        <v>0</v>
      </c>
      <c r="AJ802">
        <v>0</v>
      </c>
      <c r="AK802">
        <v>0</v>
      </c>
      <c r="AL802" t="s">
        <v>92</v>
      </c>
      <c r="AM802" t="s">
        <v>93</v>
      </c>
      <c r="AN802" t="s">
        <v>94</v>
      </c>
      <c r="AO802" t="s">
        <v>74</v>
      </c>
      <c r="AP802" t="s">
        <v>14385</v>
      </c>
      <c r="AQ802" t="s">
        <v>74</v>
      </c>
      <c r="AR802" t="s">
        <v>14386</v>
      </c>
      <c r="AS802" t="s">
        <v>14387</v>
      </c>
      <c r="AT802" t="s">
        <v>14261</v>
      </c>
      <c r="AU802">
        <v>2023</v>
      </c>
      <c r="AV802" t="s">
        <v>74</v>
      </c>
      <c r="AW802" t="s">
        <v>74</v>
      </c>
      <c r="AX802" t="s">
        <v>74</v>
      </c>
      <c r="AY802" t="s">
        <v>74</v>
      </c>
      <c r="AZ802" t="s">
        <v>74</v>
      </c>
      <c r="BA802" t="s">
        <v>74</v>
      </c>
      <c r="BB802" t="s">
        <v>74</v>
      </c>
      <c r="BC802" t="s">
        <v>74</v>
      </c>
      <c r="BD802" t="s">
        <v>74</v>
      </c>
      <c r="BE802" t="s">
        <v>14388</v>
      </c>
      <c r="BF802" t="str">
        <f>HYPERLINK("http://dx.doi.org/10.1080/23080477.2023.2236778","http://dx.doi.org/10.1080/23080477.2023.2236778")</f>
        <v>http://dx.doi.org/10.1080/23080477.2023.2236778</v>
      </c>
      <c r="BG802" t="s">
        <v>74</v>
      </c>
      <c r="BH802" t="s">
        <v>12687</v>
      </c>
      <c r="BI802">
        <v>12</v>
      </c>
      <c r="BJ802" t="s">
        <v>352</v>
      </c>
      <c r="BK802" t="s">
        <v>211</v>
      </c>
      <c r="BL802" t="s">
        <v>353</v>
      </c>
      <c r="BM802" t="s">
        <v>14389</v>
      </c>
      <c r="BN802" t="s">
        <v>74</v>
      </c>
      <c r="BO802" t="s">
        <v>74</v>
      </c>
      <c r="BP802" t="s">
        <v>74</v>
      </c>
      <c r="BQ802" t="s">
        <v>74</v>
      </c>
      <c r="BR802" t="s">
        <v>105</v>
      </c>
      <c r="BS802" t="s">
        <v>14390</v>
      </c>
      <c r="BT802" t="str">
        <f>HYPERLINK("https%3A%2F%2Fwww.webofscience.com%2Fwos%2Fwoscc%2Ffull-record%2FWOS:001027180500001","View Full Record in Web of Science")</f>
        <v>View Full Record in Web of Science</v>
      </c>
    </row>
    <row r="803" spans="1:72" x14ac:dyDescent="0.15">
      <c r="A803" t="s">
        <v>72</v>
      </c>
      <c r="B803" t="s">
        <v>14391</v>
      </c>
      <c r="C803" t="s">
        <v>74</v>
      </c>
      <c r="D803" t="s">
        <v>74</v>
      </c>
      <c r="E803" t="s">
        <v>74</v>
      </c>
      <c r="F803" t="s">
        <v>14392</v>
      </c>
      <c r="G803" t="s">
        <v>74</v>
      </c>
      <c r="H803" t="s">
        <v>74</v>
      </c>
      <c r="I803" t="s">
        <v>14393</v>
      </c>
      <c r="J803" t="s">
        <v>8190</v>
      </c>
      <c r="K803" t="s">
        <v>74</v>
      </c>
      <c r="L803" t="s">
        <v>74</v>
      </c>
      <c r="M803" t="s">
        <v>78</v>
      </c>
      <c r="N803" t="s">
        <v>6754</v>
      </c>
      <c r="O803" t="s">
        <v>74</v>
      </c>
      <c r="P803" t="s">
        <v>74</v>
      </c>
      <c r="Q803" t="s">
        <v>74</v>
      </c>
      <c r="R803" t="s">
        <v>74</v>
      </c>
      <c r="S803" t="s">
        <v>74</v>
      </c>
      <c r="T803" t="s">
        <v>14394</v>
      </c>
      <c r="U803" t="s">
        <v>14395</v>
      </c>
      <c r="V803" t="s">
        <v>14396</v>
      </c>
      <c r="W803" t="s">
        <v>14397</v>
      </c>
      <c r="X803" t="s">
        <v>14398</v>
      </c>
      <c r="Y803" t="s">
        <v>14399</v>
      </c>
      <c r="Z803" t="s">
        <v>14400</v>
      </c>
      <c r="AA803" t="s">
        <v>74</v>
      </c>
      <c r="AB803" t="s">
        <v>74</v>
      </c>
      <c r="AC803" t="s">
        <v>74</v>
      </c>
      <c r="AD803" t="s">
        <v>74</v>
      </c>
      <c r="AE803" t="s">
        <v>74</v>
      </c>
      <c r="AF803" t="s">
        <v>74</v>
      </c>
      <c r="AG803">
        <v>61</v>
      </c>
      <c r="AH803">
        <v>0</v>
      </c>
      <c r="AI803">
        <v>0</v>
      </c>
      <c r="AJ803">
        <v>4</v>
      </c>
      <c r="AK803">
        <v>4</v>
      </c>
      <c r="AL803" t="s">
        <v>1188</v>
      </c>
      <c r="AM803" t="s">
        <v>93</v>
      </c>
      <c r="AN803" t="s">
        <v>1189</v>
      </c>
      <c r="AO803" t="s">
        <v>8203</v>
      </c>
      <c r="AP803" t="s">
        <v>8204</v>
      </c>
      <c r="AQ803" t="s">
        <v>74</v>
      </c>
      <c r="AR803" t="s">
        <v>8205</v>
      </c>
      <c r="AS803" t="s">
        <v>8206</v>
      </c>
      <c r="AT803" t="s">
        <v>14261</v>
      </c>
      <c r="AU803">
        <v>2023</v>
      </c>
      <c r="AV803" t="s">
        <v>74</v>
      </c>
      <c r="AW803" t="s">
        <v>74</v>
      </c>
      <c r="AX803" t="s">
        <v>74</v>
      </c>
      <c r="AY803" t="s">
        <v>74</v>
      </c>
      <c r="AZ803" t="s">
        <v>74</v>
      </c>
      <c r="BA803" t="s">
        <v>74</v>
      </c>
      <c r="BB803" t="s">
        <v>74</v>
      </c>
      <c r="BC803" t="s">
        <v>74</v>
      </c>
      <c r="BD803" t="s">
        <v>74</v>
      </c>
      <c r="BE803" t="s">
        <v>14401</v>
      </c>
      <c r="BF803" t="str">
        <f>HYPERLINK("http://dx.doi.org/10.1080/10494820.2023.2232823","http://dx.doi.org/10.1080/10494820.2023.2232823")</f>
        <v>http://dx.doi.org/10.1080/10494820.2023.2232823</v>
      </c>
      <c r="BG803" t="s">
        <v>74</v>
      </c>
      <c r="BH803" t="s">
        <v>12687</v>
      </c>
      <c r="BI803">
        <v>22</v>
      </c>
      <c r="BJ803" t="s">
        <v>271</v>
      </c>
      <c r="BK803" t="s">
        <v>272</v>
      </c>
      <c r="BL803" t="s">
        <v>271</v>
      </c>
      <c r="BM803" t="s">
        <v>14402</v>
      </c>
      <c r="BN803" t="s">
        <v>74</v>
      </c>
      <c r="BO803" t="s">
        <v>74</v>
      </c>
      <c r="BP803" t="s">
        <v>74</v>
      </c>
      <c r="BQ803" t="s">
        <v>74</v>
      </c>
      <c r="BR803" t="s">
        <v>105</v>
      </c>
      <c r="BS803" t="s">
        <v>14403</v>
      </c>
      <c r="BT803" t="str">
        <f>HYPERLINK("https%3A%2F%2Fwww.webofscience.com%2Fwos%2Fwoscc%2Ffull-record%2FWOS:001032877200001","View Full Record in Web of Science")</f>
        <v>View Full Record in Web of Science</v>
      </c>
    </row>
    <row r="804" spans="1:72" x14ac:dyDescent="0.15">
      <c r="A804" t="s">
        <v>72</v>
      </c>
      <c r="B804" t="s">
        <v>14404</v>
      </c>
      <c r="C804" t="s">
        <v>74</v>
      </c>
      <c r="D804" t="s">
        <v>74</v>
      </c>
      <c r="E804" t="s">
        <v>74</v>
      </c>
      <c r="F804" t="s">
        <v>14405</v>
      </c>
      <c r="G804" t="s">
        <v>74</v>
      </c>
      <c r="H804" t="s">
        <v>74</v>
      </c>
      <c r="I804" t="s">
        <v>14406</v>
      </c>
      <c r="J804" t="s">
        <v>14407</v>
      </c>
      <c r="K804" t="s">
        <v>74</v>
      </c>
      <c r="L804" t="s">
        <v>74</v>
      </c>
      <c r="M804" t="s">
        <v>78</v>
      </c>
      <c r="N804" t="s">
        <v>5492</v>
      </c>
      <c r="O804" t="s">
        <v>74</v>
      </c>
      <c r="P804" t="s">
        <v>74</v>
      </c>
      <c r="Q804" t="s">
        <v>74</v>
      </c>
      <c r="R804" t="s">
        <v>74</v>
      </c>
      <c r="S804" t="s">
        <v>74</v>
      </c>
      <c r="T804" t="s">
        <v>14408</v>
      </c>
      <c r="U804" t="s">
        <v>14409</v>
      </c>
      <c r="V804" t="s">
        <v>14410</v>
      </c>
      <c r="W804" t="s">
        <v>14411</v>
      </c>
      <c r="X804" t="s">
        <v>14412</v>
      </c>
      <c r="Y804" t="s">
        <v>14413</v>
      </c>
      <c r="Z804" t="s">
        <v>14414</v>
      </c>
      <c r="AA804" t="s">
        <v>74</v>
      </c>
      <c r="AB804" t="s">
        <v>74</v>
      </c>
      <c r="AC804" t="s">
        <v>14415</v>
      </c>
      <c r="AD804" t="s">
        <v>14416</v>
      </c>
      <c r="AE804" t="s">
        <v>14417</v>
      </c>
      <c r="AF804" t="s">
        <v>74</v>
      </c>
      <c r="AG804">
        <v>16</v>
      </c>
      <c r="AH804">
        <v>0</v>
      </c>
      <c r="AI804">
        <v>0</v>
      </c>
      <c r="AJ804">
        <v>0</v>
      </c>
      <c r="AK804">
        <v>0</v>
      </c>
      <c r="AL804" t="s">
        <v>92</v>
      </c>
      <c r="AM804" t="s">
        <v>93</v>
      </c>
      <c r="AN804" t="s">
        <v>94</v>
      </c>
      <c r="AO804" t="s">
        <v>14418</v>
      </c>
      <c r="AP804" t="s">
        <v>14419</v>
      </c>
      <c r="AQ804" t="s">
        <v>74</v>
      </c>
      <c r="AR804" t="s">
        <v>14420</v>
      </c>
      <c r="AS804" t="s">
        <v>14421</v>
      </c>
      <c r="AT804" t="s">
        <v>14261</v>
      </c>
      <c r="AU804">
        <v>2023</v>
      </c>
      <c r="AV804" t="s">
        <v>74</v>
      </c>
      <c r="AW804" t="s">
        <v>74</v>
      </c>
      <c r="AX804" t="s">
        <v>74</v>
      </c>
      <c r="AY804" t="s">
        <v>74</v>
      </c>
      <c r="AZ804" t="s">
        <v>74</v>
      </c>
      <c r="BA804" t="s">
        <v>74</v>
      </c>
      <c r="BB804" t="s">
        <v>74</v>
      </c>
      <c r="BC804" t="s">
        <v>74</v>
      </c>
      <c r="BD804" t="s">
        <v>74</v>
      </c>
      <c r="BE804" t="s">
        <v>14422</v>
      </c>
      <c r="BF804" t="str">
        <f>HYPERLINK("http://dx.doi.org/10.1080/03007995.2023.2234727","http://dx.doi.org/10.1080/03007995.2023.2234727")</f>
        <v>http://dx.doi.org/10.1080/03007995.2023.2234727</v>
      </c>
      <c r="BG804" t="s">
        <v>74</v>
      </c>
      <c r="BH804" t="s">
        <v>12687</v>
      </c>
      <c r="BI804">
        <v>10</v>
      </c>
      <c r="BJ804" t="s">
        <v>14423</v>
      </c>
      <c r="BK804" t="s">
        <v>102</v>
      </c>
      <c r="BL804" t="s">
        <v>14424</v>
      </c>
      <c r="BM804" t="s">
        <v>14425</v>
      </c>
      <c r="BN804">
        <v>37435803</v>
      </c>
      <c r="BO804" t="s">
        <v>74</v>
      </c>
      <c r="BP804" t="s">
        <v>74</v>
      </c>
      <c r="BQ804" t="s">
        <v>74</v>
      </c>
      <c r="BR804" t="s">
        <v>105</v>
      </c>
      <c r="BS804" t="s">
        <v>14426</v>
      </c>
      <c r="BT804" t="str">
        <f>HYPERLINK("https%3A%2F%2Fwww.webofscience.com%2Fwos%2Fwoscc%2Ffull-record%2FWOS:001032882900001","View Full Record in Web of Science")</f>
        <v>View Full Record in Web of Science</v>
      </c>
    </row>
    <row r="805" spans="1:72" x14ac:dyDescent="0.15">
      <c r="A805" t="s">
        <v>72</v>
      </c>
      <c r="B805" t="s">
        <v>14427</v>
      </c>
      <c r="C805" t="s">
        <v>74</v>
      </c>
      <c r="D805" t="s">
        <v>74</v>
      </c>
      <c r="E805" t="s">
        <v>74</v>
      </c>
      <c r="F805" t="s">
        <v>14428</v>
      </c>
      <c r="G805" t="s">
        <v>74</v>
      </c>
      <c r="H805" t="s">
        <v>74</v>
      </c>
      <c r="I805" t="s">
        <v>14429</v>
      </c>
      <c r="J805" t="s">
        <v>14430</v>
      </c>
      <c r="K805" t="s">
        <v>74</v>
      </c>
      <c r="L805" t="s">
        <v>74</v>
      </c>
      <c r="M805" t="s">
        <v>78</v>
      </c>
      <c r="N805" t="s">
        <v>5492</v>
      </c>
      <c r="O805" t="s">
        <v>74</v>
      </c>
      <c r="P805" t="s">
        <v>74</v>
      </c>
      <c r="Q805" t="s">
        <v>74</v>
      </c>
      <c r="R805" t="s">
        <v>74</v>
      </c>
      <c r="S805" t="s">
        <v>74</v>
      </c>
      <c r="T805" t="s">
        <v>14431</v>
      </c>
      <c r="U805" t="s">
        <v>74</v>
      </c>
      <c r="V805" t="s">
        <v>14432</v>
      </c>
      <c r="W805" t="s">
        <v>14433</v>
      </c>
      <c r="X805" t="s">
        <v>14434</v>
      </c>
      <c r="Y805" t="s">
        <v>14435</v>
      </c>
      <c r="Z805" t="s">
        <v>14436</v>
      </c>
      <c r="AA805" t="s">
        <v>74</v>
      </c>
      <c r="AB805" t="s">
        <v>74</v>
      </c>
      <c r="AC805" t="s">
        <v>74</v>
      </c>
      <c r="AD805" t="s">
        <v>74</v>
      </c>
      <c r="AE805" t="s">
        <v>74</v>
      </c>
      <c r="AF805" t="s">
        <v>74</v>
      </c>
      <c r="AG805">
        <v>34</v>
      </c>
      <c r="AH805">
        <v>0</v>
      </c>
      <c r="AI805">
        <v>0</v>
      </c>
      <c r="AJ805">
        <v>0</v>
      </c>
      <c r="AK805">
        <v>0</v>
      </c>
      <c r="AL805" t="s">
        <v>1188</v>
      </c>
      <c r="AM805" t="s">
        <v>93</v>
      </c>
      <c r="AN805" t="s">
        <v>1189</v>
      </c>
      <c r="AO805" t="s">
        <v>14437</v>
      </c>
      <c r="AP805" t="s">
        <v>14438</v>
      </c>
      <c r="AQ805" t="s">
        <v>74</v>
      </c>
      <c r="AR805" t="s">
        <v>14439</v>
      </c>
      <c r="AS805" t="s">
        <v>14440</v>
      </c>
      <c r="AT805" t="s">
        <v>14261</v>
      </c>
      <c r="AU805">
        <v>2023</v>
      </c>
      <c r="AV805" t="s">
        <v>74</v>
      </c>
      <c r="AW805" t="s">
        <v>74</v>
      </c>
      <c r="AX805" t="s">
        <v>74</v>
      </c>
      <c r="AY805" t="s">
        <v>74</v>
      </c>
      <c r="AZ805" t="s">
        <v>74</v>
      </c>
      <c r="BA805" t="s">
        <v>74</v>
      </c>
      <c r="BB805" t="s">
        <v>74</v>
      </c>
      <c r="BC805" t="s">
        <v>74</v>
      </c>
      <c r="BD805" t="s">
        <v>74</v>
      </c>
      <c r="BE805" t="s">
        <v>14441</v>
      </c>
      <c r="BF805" t="str">
        <f>HYPERLINK("http://dx.doi.org/10.1080/17448727.2023.2236832","http://dx.doi.org/10.1080/17448727.2023.2236832")</f>
        <v>http://dx.doi.org/10.1080/17448727.2023.2236832</v>
      </c>
      <c r="BG805" t="s">
        <v>74</v>
      </c>
      <c r="BH805" t="s">
        <v>12687</v>
      </c>
      <c r="BI805">
        <v>22</v>
      </c>
      <c r="BJ805" t="s">
        <v>14442</v>
      </c>
      <c r="BK805" t="s">
        <v>211</v>
      </c>
      <c r="BL805" t="s">
        <v>14442</v>
      </c>
      <c r="BM805" t="s">
        <v>14443</v>
      </c>
      <c r="BN805" t="s">
        <v>74</v>
      </c>
      <c r="BO805" t="s">
        <v>74</v>
      </c>
      <c r="BP805" t="s">
        <v>74</v>
      </c>
      <c r="BQ805" t="s">
        <v>74</v>
      </c>
      <c r="BR805" t="s">
        <v>105</v>
      </c>
      <c r="BS805" t="s">
        <v>14444</v>
      </c>
      <c r="BT805" t="str">
        <f>HYPERLINK("https%3A%2F%2Fwww.webofscience.com%2Fwos%2Fwoscc%2Ffull-record%2FWOS:001032104600001","View Full Record in Web of Science")</f>
        <v>View Full Record in Web of Science</v>
      </c>
    </row>
    <row r="806" spans="1:72" x14ac:dyDescent="0.15">
      <c r="A806" t="s">
        <v>72</v>
      </c>
      <c r="B806" t="s">
        <v>14445</v>
      </c>
      <c r="C806" t="s">
        <v>74</v>
      </c>
      <c r="D806" t="s">
        <v>74</v>
      </c>
      <c r="E806" t="s">
        <v>74</v>
      </c>
      <c r="F806" t="s">
        <v>14446</v>
      </c>
      <c r="G806" t="s">
        <v>74</v>
      </c>
      <c r="H806" t="s">
        <v>74</v>
      </c>
      <c r="I806" t="s">
        <v>14447</v>
      </c>
      <c r="J806" t="s">
        <v>7769</v>
      </c>
      <c r="K806" t="s">
        <v>74</v>
      </c>
      <c r="L806" t="s">
        <v>74</v>
      </c>
      <c r="M806" t="s">
        <v>78</v>
      </c>
      <c r="N806" t="s">
        <v>5492</v>
      </c>
      <c r="O806" t="s">
        <v>74</v>
      </c>
      <c r="P806" t="s">
        <v>74</v>
      </c>
      <c r="Q806" t="s">
        <v>74</v>
      </c>
      <c r="R806" t="s">
        <v>74</v>
      </c>
      <c r="S806" t="s">
        <v>74</v>
      </c>
      <c r="T806" t="s">
        <v>14448</v>
      </c>
      <c r="U806" t="s">
        <v>14449</v>
      </c>
      <c r="V806" t="s">
        <v>14450</v>
      </c>
      <c r="W806" t="s">
        <v>14451</v>
      </c>
      <c r="X806" t="s">
        <v>14452</v>
      </c>
      <c r="Y806" t="s">
        <v>14453</v>
      </c>
      <c r="Z806" t="s">
        <v>14454</v>
      </c>
      <c r="AA806" t="s">
        <v>74</v>
      </c>
      <c r="AB806" t="s">
        <v>74</v>
      </c>
      <c r="AC806" t="s">
        <v>74</v>
      </c>
      <c r="AD806" t="s">
        <v>74</v>
      </c>
      <c r="AE806" t="s">
        <v>74</v>
      </c>
      <c r="AF806" t="s">
        <v>74</v>
      </c>
      <c r="AG806">
        <v>60</v>
      </c>
      <c r="AH806">
        <v>0</v>
      </c>
      <c r="AI806">
        <v>0</v>
      </c>
      <c r="AJ806">
        <v>1</v>
      </c>
      <c r="AK806">
        <v>1</v>
      </c>
      <c r="AL806" t="s">
        <v>1188</v>
      </c>
      <c r="AM806" t="s">
        <v>93</v>
      </c>
      <c r="AN806" t="s">
        <v>1189</v>
      </c>
      <c r="AO806" t="s">
        <v>7777</v>
      </c>
      <c r="AP806" t="s">
        <v>7778</v>
      </c>
      <c r="AQ806" t="s">
        <v>74</v>
      </c>
      <c r="AR806" t="s">
        <v>7779</v>
      </c>
      <c r="AS806" t="s">
        <v>7780</v>
      </c>
      <c r="AT806" t="s">
        <v>14261</v>
      </c>
      <c r="AU806">
        <v>2023</v>
      </c>
      <c r="AV806" t="s">
        <v>74</v>
      </c>
      <c r="AW806" t="s">
        <v>74</v>
      </c>
      <c r="AX806" t="s">
        <v>74</v>
      </c>
      <c r="AY806" t="s">
        <v>74</v>
      </c>
      <c r="AZ806" t="s">
        <v>74</v>
      </c>
      <c r="BA806" t="s">
        <v>74</v>
      </c>
      <c r="BB806" t="s">
        <v>74</v>
      </c>
      <c r="BC806" t="s">
        <v>74</v>
      </c>
      <c r="BD806" t="s">
        <v>74</v>
      </c>
      <c r="BE806" t="s">
        <v>14455</v>
      </c>
      <c r="BF806" t="str">
        <f>HYPERLINK("http://dx.doi.org/10.1080/02757206.2023.2237059","http://dx.doi.org/10.1080/02757206.2023.2237059")</f>
        <v>http://dx.doi.org/10.1080/02757206.2023.2237059</v>
      </c>
      <c r="BG806" t="s">
        <v>74</v>
      </c>
      <c r="BH806" t="s">
        <v>12687</v>
      </c>
      <c r="BI806">
        <v>22</v>
      </c>
      <c r="BJ806" t="s">
        <v>7782</v>
      </c>
      <c r="BK806" t="s">
        <v>7170</v>
      </c>
      <c r="BL806" t="s">
        <v>7782</v>
      </c>
      <c r="BM806" t="s">
        <v>14456</v>
      </c>
      <c r="BN806" t="s">
        <v>74</v>
      </c>
      <c r="BO806" t="s">
        <v>74</v>
      </c>
      <c r="BP806" t="s">
        <v>74</v>
      </c>
      <c r="BQ806" t="s">
        <v>74</v>
      </c>
      <c r="BR806" t="s">
        <v>105</v>
      </c>
      <c r="BS806" t="s">
        <v>14457</v>
      </c>
      <c r="BT806" t="str">
        <f>HYPERLINK("https%3A%2F%2Fwww.webofscience.com%2Fwos%2Fwoscc%2Ffull-record%2FWOS:001032802300001","View Full Record in Web of Science")</f>
        <v>View Full Record in Web of Science</v>
      </c>
    </row>
    <row r="807" spans="1:72" x14ac:dyDescent="0.15">
      <c r="A807" t="s">
        <v>72</v>
      </c>
      <c r="B807" t="s">
        <v>14458</v>
      </c>
      <c r="C807" t="s">
        <v>74</v>
      </c>
      <c r="D807" t="s">
        <v>74</v>
      </c>
      <c r="E807" t="s">
        <v>74</v>
      </c>
      <c r="F807" t="s">
        <v>14459</v>
      </c>
      <c r="G807" t="s">
        <v>74</v>
      </c>
      <c r="H807" t="s">
        <v>74</v>
      </c>
      <c r="I807" t="s">
        <v>14460</v>
      </c>
      <c r="J807" t="s">
        <v>6668</v>
      </c>
      <c r="K807" t="s">
        <v>74</v>
      </c>
      <c r="L807" t="s">
        <v>74</v>
      </c>
      <c r="M807" t="s">
        <v>78</v>
      </c>
      <c r="N807" t="s">
        <v>5492</v>
      </c>
      <c r="O807" t="s">
        <v>74</v>
      </c>
      <c r="P807" t="s">
        <v>74</v>
      </c>
      <c r="Q807" t="s">
        <v>74</v>
      </c>
      <c r="R807" t="s">
        <v>74</v>
      </c>
      <c r="S807" t="s">
        <v>74</v>
      </c>
      <c r="T807" t="s">
        <v>14461</v>
      </c>
      <c r="U807" t="s">
        <v>14462</v>
      </c>
      <c r="V807" t="s">
        <v>14463</v>
      </c>
      <c r="W807" t="s">
        <v>14464</v>
      </c>
      <c r="X807" t="s">
        <v>14465</v>
      </c>
      <c r="Y807" t="s">
        <v>14466</v>
      </c>
      <c r="Z807" t="s">
        <v>14467</v>
      </c>
      <c r="AA807" t="s">
        <v>14468</v>
      </c>
      <c r="AB807" t="s">
        <v>14469</v>
      </c>
      <c r="AC807" t="s">
        <v>74</v>
      </c>
      <c r="AD807" t="s">
        <v>74</v>
      </c>
      <c r="AE807" t="s">
        <v>74</v>
      </c>
      <c r="AF807" t="s">
        <v>74</v>
      </c>
      <c r="AG807">
        <v>40</v>
      </c>
      <c r="AH807">
        <v>0</v>
      </c>
      <c r="AI807">
        <v>0</v>
      </c>
      <c r="AJ807">
        <v>4</v>
      </c>
      <c r="AK807">
        <v>4</v>
      </c>
      <c r="AL807" t="s">
        <v>1188</v>
      </c>
      <c r="AM807" t="s">
        <v>93</v>
      </c>
      <c r="AN807" t="s">
        <v>1189</v>
      </c>
      <c r="AO807" t="s">
        <v>6679</v>
      </c>
      <c r="AP807" t="s">
        <v>6680</v>
      </c>
      <c r="AQ807" t="s">
        <v>74</v>
      </c>
      <c r="AR807" t="s">
        <v>6681</v>
      </c>
      <c r="AS807" t="s">
        <v>6682</v>
      </c>
      <c r="AT807" t="s">
        <v>14261</v>
      </c>
      <c r="AU807">
        <v>2023</v>
      </c>
      <c r="AV807" t="s">
        <v>74</v>
      </c>
      <c r="AW807" t="s">
        <v>74</v>
      </c>
      <c r="AX807" t="s">
        <v>74</v>
      </c>
      <c r="AY807" t="s">
        <v>74</v>
      </c>
      <c r="AZ807" t="s">
        <v>74</v>
      </c>
      <c r="BA807" t="s">
        <v>74</v>
      </c>
      <c r="BB807" t="s">
        <v>74</v>
      </c>
      <c r="BC807" t="s">
        <v>74</v>
      </c>
      <c r="BD807" t="s">
        <v>74</v>
      </c>
      <c r="BE807" t="s">
        <v>14470</v>
      </c>
      <c r="BF807" t="str">
        <f>HYPERLINK("http://dx.doi.org/10.1080/17408989.2023.2236642","http://dx.doi.org/10.1080/17408989.2023.2236642")</f>
        <v>http://dx.doi.org/10.1080/17408989.2023.2236642</v>
      </c>
      <c r="BG807" t="s">
        <v>74</v>
      </c>
      <c r="BH807" t="s">
        <v>12687</v>
      </c>
      <c r="BI807">
        <v>16</v>
      </c>
      <c r="BJ807" t="s">
        <v>271</v>
      </c>
      <c r="BK807" t="s">
        <v>272</v>
      </c>
      <c r="BL807" t="s">
        <v>271</v>
      </c>
      <c r="BM807" t="s">
        <v>14471</v>
      </c>
      <c r="BN807" t="s">
        <v>74</v>
      </c>
      <c r="BO807" t="s">
        <v>887</v>
      </c>
      <c r="BP807" t="s">
        <v>74</v>
      </c>
      <c r="BQ807" t="s">
        <v>74</v>
      </c>
      <c r="BR807" t="s">
        <v>105</v>
      </c>
      <c r="BS807" t="s">
        <v>14472</v>
      </c>
      <c r="BT807" t="str">
        <f>HYPERLINK("https%3A%2F%2Fwww.webofscience.com%2Fwos%2Fwoscc%2Ffull-record%2FWOS:001032759100001","View Full Record in Web of Science")</f>
        <v>View Full Record in Web of Science</v>
      </c>
    </row>
    <row r="808" spans="1:72" x14ac:dyDescent="0.15">
      <c r="A808" t="s">
        <v>72</v>
      </c>
      <c r="B808" t="s">
        <v>14473</v>
      </c>
      <c r="C808" t="s">
        <v>74</v>
      </c>
      <c r="D808" t="s">
        <v>74</v>
      </c>
      <c r="E808" t="s">
        <v>74</v>
      </c>
      <c r="F808" t="s">
        <v>14474</v>
      </c>
      <c r="G808" t="s">
        <v>74</v>
      </c>
      <c r="H808" t="s">
        <v>74</v>
      </c>
      <c r="I808" t="s">
        <v>14475</v>
      </c>
      <c r="J808" t="s">
        <v>14476</v>
      </c>
      <c r="K808" t="s">
        <v>74</v>
      </c>
      <c r="L808" t="s">
        <v>74</v>
      </c>
      <c r="M808" t="s">
        <v>78</v>
      </c>
      <c r="N808" t="s">
        <v>9926</v>
      </c>
      <c r="O808" t="s">
        <v>74</v>
      </c>
      <c r="P808" t="s">
        <v>74</v>
      </c>
      <c r="Q808" t="s">
        <v>74</v>
      </c>
      <c r="R808" t="s">
        <v>74</v>
      </c>
      <c r="S808" t="s">
        <v>74</v>
      </c>
      <c r="T808" t="s">
        <v>74</v>
      </c>
      <c r="U808" t="s">
        <v>74</v>
      </c>
      <c r="V808" t="s">
        <v>74</v>
      </c>
      <c r="W808" t="s">
        <v>74</v>
      </c>
      <c r="X808" t="s">
        <v>74</v>
      </c>
      <c r="Y808" t="s">
        <v>74</v>
      </c>
      <c r="Z808" t="s">
        <v>74</v>
      </c>
      <c r="AA808" t="s">
        <v>74</v>
      </c>
      <c r="AB808" t="s">
        <v>74</v>
      </c>
      <c r="AC808" t="s">
        <v>74</v>
      </c>
      <c r="AD808" t="s">
        <v>74</v>
      </c>
      <c r="AE808" t="s">
        <v>74</v>
      </c>
      <c r="AF808" t="s">
        <v>74</v>
      </c>
      <c r="AG808">
        <v>1</v>
      </c>
      <c r="AH808">
        <v>0</v>
      </c>
      <c r="AI808">
        <v>0</v>
      </c>
      <c r="AJ808">
        <v>0</v>
      </c>
      <c r="AK808">
        <v>0</v>
      </c>
      <c r="AL808" t="s">
        <v>92</v>
      </c>
      <c r="AM808" t="s">
        <v>93</v>
      </c>
      <c r="AN808" t="s">
        <v>94</v>
      </c>
      <c r="AO808" t="s">
        <v>14477</v>
      </c>
      <c r="AP808" t="s">
        <v>14478</v>
      </c>
      <c r="AQ808" t="s">
        <v>74</v>
      </c>
      <c r="AR808" t="s">
        <v>14479</v>
      </c>
      <c r="AS808" t="s">
        <v>14480</v>
      </c>
      <c r="AT808" t="s">
        <v>14481</v>
      </c>
      <c r="AU808">
        <v>2023</v>
      </c>
      <c r="AV808" t="s">
        <v>74</v>
      </c>
      <c r="AW808" t="s">
        <v>74</v>
      </c>
      <c r="AX808" t="s">
        <v>74</v>
      </c>
      <c r="AY808" t="s">
        <v>74</v>
      </c>
      <c r="AZ808" t="s">
        <v>74</v>
      </c>
      <c r="BA808" t="s">
        <v>74</v>
      </c>
      <c r="BB808" t="s">
        <v>74</v>
      </c>
      <c r="BC808" t="s">
        <v>74</v>
      </c>
      <c r="BD808" t="s">
        <v>74</v>
      </c>
      <c r="BE808" t="s">
        <v>14482</v>
      </c>
      <c r="BF808" t="str">
        <f>HYPERLINK("http://dx.doi.org/10.1080/00949655.2023.2235788","http://dx.doi.org/10.1080/00949655.2023.2235788")</f>
        <v>http://dx.doi.org/10.1080/00949655.2023.2235788</v>
      </c>
      <c r="BG808" t="s">
        <v>74</v>
      </c>
      <c r="BH808" t="s">
        <v>12687</v>
      </c>
      <c r="BI808">
        <v>2</v>
      </c>
      <c r="BJ808" t="s">
        <v>14483</v>
      </c>
      <c r="BK808" t="s">
        <v>102</v>
      </c>
      <c r="BL808" t="s">
        <v>14484</v>
      </c>
      <c r="BM808" t="s">
        <v>14485</v>
      </c>
      <c r="BN808" t="s">
        <v>74</v>
      </c>
      <c r="BO808" t="s">
        <v>5391</v>
      </c>
      <c r="BP808" t="s">
        <v>74</v>
      </c>
      <c r="BQ808" t="s">
        <v>74</v>
      </c>
      <c r="BR808" t="s">
        <v>105</v>
      </c>
      <c r="BS808" t="s">
        <v>14486</v>
      </c>
      <c r="BT808" t="str">
        <f>HYPERLINK("https%3A%2F%2Fwww.webofscience.com%2Fwos%2Fwoscc%2Ffull-record%2FWOS:001031402900001","View Full Record in Web of Science")</f>
        <v>View Full Record in Web of Science</v>
      </c>
    </row>
    <row r="809" spans="1:72" x14ac:dyDescent="0.15">
      <c r="A809" t="s">
        <v>72</v>
      </c>
      <c r="B809" t="s">
        <v>14487</v>
      </c>
      <c r="C809" t="s">
        <v>74</v>
      </c>
      <c r="D809" t="s">
        <v>74</v>
      </c>
      <c r="E809" t="s">
        <v>74</v>
      </c>
      <c r="F809" t="s">
        <v>14488</v>
      </c>
      <c r="G809" t="s">
        <v>74</v>
      </c>
      <c r="H809" t="s">
        <v>74</v>
      </c>
      <c r="I809" t="s">
        <v>14489</v>
      </c>
      <c r="J809" t="s">
        <v>14490</v>
      </c>
      <c r="K809" t="s">
        <v>74</v>
      </c>
      <c r="L809" t="s">
        <v>74</v>
      </c>
      <c r="M809" t="s">
        <v>78</v>
      </c>
      <c r="N809" t="s">
        <v>6253</v>
      </c>
      <c r="O809" t="s">
        <v>74</v>
      </c>
      <c r="P809" t="s">
        <v>74</v>
      </c>
      <c r="Q809" t="s">
        <v>74</v>
      </c>
      <c r="R809" t="s">
        <v>74</v>
      </c>
      <c r="S809" t="s">
        <v>74</v>
      </c>
      <c r="T809" t="s">
        <v>74</v>
      </c>
      <c r="U809" t="s">
        <v>74</v>
      </c>
      <c r="V809" t="s">
        <v>74</v>
      </c>
      <c r="W809" t="s">
        <v>14491</v>
      </c>
      <c r="X809" t="s">
        <v>14492</v>
      </c>
      <c r="Y809" t="s">
        <v>14493</v>
      </c>
      <c r="Z809" t="s">
        <v>14494</v>
      </c>
      <c r="AA809" t="s">
        <v>74</v>
      </c>
      <c r="AB809" t="s">
        <v>74</v>
      </c>
      <c r="AC809" t="s">
        <v>74</v>
      </c>
      <c r="AD809" t="s">
        <v>74</v>
      </c>
      <c r="AE809" t="s">
        <v>74</v>
      </c>
      <c r="AF809" t="s">
        <v>74</v>
      </c>
      <c r="AG809">
        <v>1</v>
      </c>
      <c r="AH809">
        <v>0</v>
      </c>
      <c r="AI809">
        <v>0</v>
      </c>
      <c r="AJ809">
        <v>0</v>
      </c>
      <c r="AK809">
        <v>0</v>
      </c>
      <c r="AL809" t="s">
        <v>1188</v>
      </c>
      <c r="AM809" t="s">
        <v>93</v>
      </c>
      <c r="AN809" t="s">
        <v>1189</v>
      </c>
      <c r="AO809" t="s">
        <v>14495</v>
      </c>
      <c r="AP809" t="s">
        <v>14496</v>
      </c>
      <c r="AQ809" t="s">
        <v>74</v>
      </c>
      <c r="AR809" t="s">
        <v>14497</v>
      </c>
      <c r="AS809" t="s">
        <v>14498</v>
      </c>
      <c r="AT809" t="s">
        <v>14481</v>
      </c>
      <c r="AU809">
        <v>2023</v>
      </c>
      <c r="AV809" t="s">
        <v>74</v>
      </c>
      <c r="AW809" t="s">
        <v>74</v>
      </c>
      <c r="AX809" t="s">
        <v>74</v>
      </c>
      <c r="AY809" t="s">
        <v>74</v>
      </c>
      <c r="AZ809" t="s">
        <v>74</v>
      </c>
      <c r="BA809" t="s">
        <v>74</v>
      </c>
      <c r="BB809" t="s">
        <v>74</v>
      </c>
      <c r="BC809" t="s">
        <v>74</v>
      </c>
      <c r="BD809" t="s">
        <v>74</v>
      </c>
      <c r="BE809" t="s">
        <v>14499</v>
      </c>
      <c r="BF809" t="str">
        <f>HYPERLINK("http://dx.doi.org/10.1080/17460263.2023.2233284","http://dx.doi.org/10.1080/17460263.2023.2233284")</f>
        <v>http://dx.doi.org/10.1080/17460263.2023.2233284</v>
      </c>
      <c r="BG809" t="s">
        <v>74</v>
      </c>
      <c r="BH809" t="s">
        <v>12687</v>
      </c>
      <c r="BI809">
        <v>3</v>
      </c>
      <c r="BJ809" t="s">
        <v>5731</v>
      </c>
      <c r="BK809" t="s">
        <v>211</v>
      </c>
      <c r="BL809" t="s">
        <v>397</v>
      </c>
      <c r="BM809" t="s">
        <v>14500</v>
      </c>
      <c r="BN809" t="s">
        <v>74</v>
      </c>
      <c r="BO809" t="s">
        <v>74</v>
      </c>
      <c r="BP809" t="s">
        <v>74</v>
      </c>
      <c r="BQ809" t="s">
        <v>74</v>
      </c>
      <c r="BR809" t="s">
        <v>105</v>
      </c>
      <c r="BS809" t="s">
        <v>14501</v>
      </c>
      <c r="BT809" t="str">
        <f>HYPERLINK("https%3A%2F%2Fwww.webofscience.com%2Fwos%2Fwoscc%2Ffull-record%2FWOS:001033469100001","View Full Record in Web of Science")</f>
        <v>View Full Record in Web of Science</v>
      </c>
    </row>
    <row r="810" spans="1:72" x14ac:dyDescent="0.15">
      <c r="A810" t="s">
        <v>72</v>
      </c>
      <c r="B810" t="s">
        <v>14502</v>
      </c>
      <c r="C810" t="s">
        <v>74</v>
      </c>
      <c r="D810" t="s">
        <v>74</v>
      </c>
      <c r="E810" t="s">
        <v>74</v>
      </c>
      <c r="F810" t="s">
        <v>14503</v>
      </c>
      <c r="G810" t="s">
        <v>74</v>
      </c>
      <c r="H810" t="s">
        <v>74</v>
      </c>
      <c r="I810" t="s">
        <v>14504</v>
      </c>
      <c r="J810" t="s">
        <v>14505</v>
      </c>
      <c r="K810" t="s">
        <v>74</v>
      </c>
      <c r="L810" t="s">
        <v>74</v>
      </c>
      <c r="M810" t="s">
        <v>78</v>
      </c>
      <c r="N810" t="s">
        <v>5492</v>
      </c>
      <c r="O810" t="s">
        <v>74</v>
      </c>
      <c r="P810" t="s">
        <v>74</v>
      </c>
      <c r="Q810" t="s">
        <v>74</v>
      </c>
      <c r="R810" t="s">
        <v>74</v>
      </c>
      <c r="S810" t="s">
        <v>74</v>
      </c>
      <c r="T810" t="s">
        <v>14506</v>
      </c>
      <c r="U810" t="s">
        <v>74</v>
      </c>
      <c r="V810" t="s">
        <v>14507</v>
      </c>
      <c r="W810" t="s">
        <v>14508</v>
      </c>
      <c r="X810" t="s">
        <v>14509</v>
      </c>
      <c r="Y810" t="s">
        <v>14510</v>
      </c>
      <c r="Z810" t="s">
        <v>14511</v>
      </c>
      <c r="AA810" t="s">
        <v>74</v>
      </c>
      <c r="AB810" t="s">
        <v>74</v>
      </c>
      <c r="AC810" t="s">
        <v>14512</v>
      </c>
      <c r="AD810" t="s">
        <v>14513</v>
      </c>
      <c r="AE810" t="s">
        <v>14514</v>
      </c>
      <c r="AF810" t="s">
        <v>74</v>
      </c>
      <c r="AG810">
        <v>29</v>
      </c>
      <c r="AH810">
        <v>0</v>
      </c>
      <c r="AI810">
        <v>0</v>
      </c>
      <c r="AJ810">
        <v>3</v>
      </c>
      <c r="AK810">
        <v>3</v>
      </c>
      <c r="AL810" t="s">
        <v>184</v>
      </c>
      <c r="AM810" t="s">
        <v>185</v>
      </c>
      <c r="AN810" t="s">
        <v>186</v>
      </c>
      <c r="AO810" t="s">
        <v>14515</v>
      </c>
      <c r="AP810" t="s">
        <v>14516</v>
      </c>
      <c r="AQ810" t="s">
        <v>74</v>
      </c>
      <c r="AR810" t="s">
        <v>14517</v>
      </c>
      <c r="AS810" t="s">
        <v>14518</v>
      </c>
      <c r="AT810" t="s">
        <v>14481</v>
      </c>
      <c r="AU810">
        <v>2023</v>
      </c>
      <c r="AV810" t="s">
        <v>74</v>
      </c>
      <c r="AW810" t="s">
        <v>74</v>
      </c>
      <c r="AX810" t="s">
        <v>74</v>
      </c>
      <c r="AY810" t="s">
        <v>74</v>
      </c>
      <c r="AZ810" t="s">
        <v>74</v>
      </c>
      <c r="BA810" t="s">
        <v>74</v>
      </c>
      <c r="BB810" t="s">
        <v>74</v>
      </c>
      <c r="BC810" t="s">
        <v>74</v>
      </c>
      <c r="BD810" t="s">
        <v>74</v>
      </c>
      <c r="BE810" t="s">
        <v>14519</v>
      </c>
      <c r="BF810" t="str">
        <f>HYPERLINK("http://dx.doi.org/10.1080/15257770.2023.2238781","http://dx.doi.org/10.1080/15257770.2023.2238781")</f>
        <v>http://dx.doi.org/10.1080/15257770.2023.2238781</v>
      </c>
      <c r="BG810" t="s">
        <v>74</v>
      </c>
      <c r="BH810" t="s">
        <v>12687</v>
      </c>
      <c r="BI810">
        <v>12</v>
      </c>
      <c r="BJ810" t="s">
        <v>925</v>
      </c>
      <c r="BK810" t="s">
        <v>102</v>
      </c>
      <c r="BL810" t="s">
        <v>925</v>
      </c>
      <c r="BM810" t="s">
        <v>14520</v>
      </c>
      <c r="BN810">
        <v>37497882</v>
      </c>
      <c r="BO810" t="s">
        <v>74</v>
      </c>
      <c r="BP810" t="s">
        <v>74</v>
      </c>
      <c r="BQ810" t="s">
        <v>74</v>
      </c>
      <c r="BR810" t="s">
        <v>105</v>
      </c>
      <c r="BS810" t="s">
        <v>14521</v>
      </c>
      <c r="BT810" t="str">
        <f>HYPERLINK("https%3A%2F%2Fwww.webofscience.com%2Fwos%2Fwoscc%2Ffull-record%2FWOS:001034590200001","View Full Record in Web of Science")</f>
        <v>View Full Record in Web of Science</v>
      </c>
    </row>
    <row r="811" spans="1:72" x14ac:dyDescent="0.15">
      <c r="A811" t="s">
        <v>72</v>
      </c>
      <c r="B811" t="s">
        <v>14522</v>
      </c>
      <c r="C811" t="s">
        <v>74</v>
      </c>
      <c r="D811" t="s">
        <v>74</v>
      </c>
      <c r="E811" t="s">
        <v>74</v>
      </c>
      <c r="F811" t="s">
        <v>14523</v>
      </c>
      <c r="G811" t="s">
        <v>74</v>
      </c>
      <c r="H811" t="s">
        <v>74</v>
      </c>
      <c r="I811" t="s">
        <v>14524</v>
      </c>
      <c r="J811" t="s">
        <v>14525</v>
      </c>
      <c r="K811" t="s">
        <v>74</v>
      </c>
      <c r="L811" t="s">
        <v>74</v>
      </c>
      <c r="M811" t="s">
        <v>78</v>
      </c>
      <c r="N811" t="s">
        <v>5492</v>
      </c>
      <c r="O811" t="s">
        <v>74</v>
      </c>
      <c r="P811" t="s">
        <v>74</v>
      </c>
      <c r="Q811" t="s">
        <v>74</v>
      </c>
      <c r="R811" t="s">
        <v>74</v>
      </c>
      <c r="S811" t="s">
        <v>74</v>
      </c>
      <c r="T811" t="s">
        <v>14526</v>
      </c>
      <c r="U811" t="s">
        <v>14527</v>
      </c>
      <c r="V811" t="s">
        <v>14528</v>
      </c>
      <c r="W811" t="s">
        <v>14529</v>
      </c>
      <c r="X811" t="s">
        <v>74</v>
      </c>
      <c r="Y811" t="s">
        <v>14530</v>
      </c>
      <c r="Z811" t="s">
        <v>14531</v>
      </c>
      <c r="AA811" t="s">
        <v>74</v>
      </c>
      <c r="AB811" t="s">
        <v>74</v>
      </c>
      <c r="AC811" t="s">
        <v>74</v>
      </c>
      <c r="AD811" t="s">
        <v>74</v>
      </c>
      <c r="AE811" t="s">
        <v>74</v>
      </c>
      <c r="AF811" t="s">
        <v>74</v>
      </c>
      <c r="AG811">
        <v>81</v>
      </c>
      <c r="AH811">
        <v>0</v>
      </c>
      <c r="AI811">
        <v>0</v>
      </c>
      <c r="AJ811">
        <v>0</v>
      </c>
      <c r="AK811">
        <v>0</v>
      </c>
      <c r="AL811" t="s">
        <v>1188</v>
      </c>
      <c r="AM811" t="s">
        <v>93</v>
      </c>
      <c r="AN811" t="s">
        <v>1189</v>
      </c>
      <c r="AO811" t="s">
        <v>14532</v>
      </c>
      <c r="AP811" t="s">
        <v>14533</v>
      </c>
      <c r="AQ811" t="s">
        <v>74</v>
      </c>
      <c r="AR811" t="s">
        <v>14534</v>
      </c>
      <c r="AS811" t="s">
        <v>14535</v>
      </c>
      <c r="AT811" t="s">
        <v>14481</v>
      </c>
      <c r="AU811">
        <v>2023</v>
      </c>
      <c r="AV811" t="s">
        <v>74</v>
      </c>
      <c r="AW811" t="s">
        <v>74</v>
      </c>
      <c r="AX811" t="s">
        <v>74</v>
      </c>
      <c r="AY811" t="s">
        <v>74</v>
      </c>
      <c r="AZ811" t="s">
        <v>74</v>
      </c>
      <c r="BA811" t="s">
        <v>74</v>
      </c>
      <c r="BB811" t="s">
        <v>74</v>
      </c>
      <c r="BC811" t="s">
        <v>74</v>
      </c>
      <c r="BD811" t="s">
        <v>74</v>
      </c>
      <c r="BE811" t="s">
        <v>14536</v>
      </c>
      <c r="BF811" t="str">
        <f>HYPERLINK("http://dx.doi.org/10.1080/09585192.2023.2237865","http://dx.doi.org/10.1080/09585192.2023.2237865")</f>
        <v>http://dx.doi.org/10.1080/09585192.2023.2237865</v>
      </c>
      <c r="BG811" t="s">
        <v>74</v>
      </c>
      <c r="BH811" t="s">
        <v>12687</v>
      </c>
      <c r="BI811">
        <v>31</v>
      </c>
      <c r="BJ811" t="s">
        <v>6702</v>
      </c>
      <c r="BK811" t="s">
        <v>272</v>
      </c>
      <c r="BL811" t="s">
        <v>295</v>
      </c>
      <c r="BM811" t="s">
        <v>14537</v>
      </c>
      <c r="BN811" t="s">
        <v>74</v>
      </c>
      <c r="BO811" t="s">
        <v>74</v>
      </c>
      <c r="BP811" t="s">
        <v>74</v>
      </c>
      <c r="BQ811" t="s">
        <v>74</v>
      </c>
      <c r="BR811" t="s">
        <v>105</v>
      </c>
      <c r="BS811" t="s">
        <v>14538</v>
      </c>
      <c r="BT811" t="str">
        <f>HYPERLINK("https%3A%2F%2Fwww.webofscience.com%2Fwos%2Fwoscc%2Ffull-record%2FWOS:001034317200001","View Full Record in Web of Science")</f>
        <v>View Full Record in Web of Science</v>
      </c>
    </row>
    <row r="812" spans="1:72" x14ac:dyDescent="0.15">
      <c r="A812" t="s">
        <v>72</v>
      </c>
      <c r="B812" t="s">
        <v>14539</v>
      </c>
      <c r="C812" t="s">
        <v>74</v>
      </c>
      <c r="D812" t="s">
        <v>74</v>
      </c>
      <c r="E812" t="s">
        <v>74</v>
      </c>
      <c r="F812" t="s">
        <v>14540</v>
      </c>
      <c r="G812" t="s">
        <v>74</v>
      </c>
      <c r="H812" t="s">
        <v>74</v>
      </c>
      <c r="I812" t="s">
        <v>14541</v>
      </c>
      <c r="J812" t="s">
        <v>14542</v>
      </c>
      <c r="K812" t="s">
        <v>74</v>
      </c>
      <c r="L812" t="s">
        <v>74</v>
      </c>
      <c r="M812" t="s">
        <v>78</v>
      </c>
      <c r="N812" t="s">
        <v>171</v>
      </c>
      <c r="O812" t="s">
        <v>74</v>
      </c>
      <c r="P812" t="s">
        <v>74</v>
      </c>
      <c r="Q812" t="s">
        <v>74</v>
      </c>
      <c r="R812" t="s">
        <v>74</v>
      </c>
      <c r="S812" t="s">
        <v>74</v>
      </c>
      <c r="T812" t="s">
        <v>14543</v>
      </c>
      <c r="U812" t="s">
        <v>14544</v>
      </c>
      <c r="V812" t="s">
        <v>14545</v>
      </c>
      <c r="W812" t="s">
        <v>14546</v>
      </c>
      <c r="X812" t="s">
        <v>14547</v>
      </c>
      <c r="Y812" t="s">
        <v>14548</v>
      </c>
      <c r="Z812" t="s">
        <v>14549</v>
      </c>
      <c r="AA812" t="s">
        <v>74</v>
      </c>
      <c r="AB812" t="s">
        <v>74</v>
      </c>
      <c r="AC812" t="s">
        <v>74</v>
      </c>
      <c r="AD812" t="s">
        <v>74</v>
      </c>
      <c r="AE812" t="s">
        <v>74</v>
      </c>
      <c r="AF812" t="s">
        <v>74</v>
      </c>
      <c r="AG812">
        <v>47</v>
      </c>
      <c r="AH812">
        <v>0</v>
      </c>
      <c r="AI812">
        <v>0</v>
      </c>
      <c r="AJ812">
        <v>0</v>
      </c>
      <c r="AK812">
        <v>0</v>
      </c>
      <c r="AL812" t="s">
        <v>92</v>
      </c>
      <c r="AM812" t="s">
        <v>93</v>
      </c>
      <c r="AN812" t="s">
        <v>94</v>
      </c>
      <c r="AO812" t="s">
        <v>14550</v>
      </c>
      <c r="AP812" t="s">
        <v>14551</v>
      </c>
      <c r="AQ812" t="s">
        <v>74</v>
      </c>
      <c r="AR812" t="s">
        <v>14552</v>
      </c>
      <c r="AS812" t="s">
        <v>14553</v>
      </c>
      <c r="AT812" t="s">
        <v>7207</v>
      </c>
      <c r="AU812">
        <v>2023</v>
      </c>
      <c r="AV812">
        <v>23</v>
      </c>
      <c r="AW812">
        <v>8</v>
      </c>
      <c r="AX812" t="s">
        <v>74</v>
      </c>
      <c r="AY812" t="s">
        <v>74</v>
      </c>
      <c r="AZ812" t="s">
        <v>74</v>
      </c>
      <c r="BA812" t="s">
        <v>74</v>
      </c>
      <c r="BB812">
        <v>751</v>
      </c>
      <c r="BC812">
        <v>756</v>
      </c>
      <c r="BD812" t="s">
        <v>74</v>
      </c>
      <c r="BE812" t="s">
        <v>14554</v>
      </c>
      <c r="BF812" t="str">
        <f>HYPERLINK("http://dx.doi.org/10.1080/14737175.2023.2236795","http://dx.doi.org/10.1080/14737175.2023.2236795")</f>
        <v>http://dx.doi.org/10.1080/14737175.2023.2236795</v>
      </c>
      <c r="BG812" t="s">
        <v>74</v>
      </c>
      <c r="BH812" t="s">
        <v>12687</v>
      </c>
      <c r="BI812">
        <v>6</v>
      </c>
      <c r="BJ812" t="s">
        <v>14555</v>
      </c>
      <c r="BK812" t="s">
        <v>102</v>
      </c>
      <c r="BL812" t="s">
        <v>14556</v>
      </c>
      <c r="BM812" t="s">
        <v>14557</v>
      </c>
      <c r="BN812">
        <v>37458003</v>
      </c>
      <c r="BO812" t="s">
        <v>74</v>
      </c>
      <c r="BP812" t="s">
        <v>74</v>
      </c>
      <c r="BQ812" t="s">
        <v>74</v>
      </c>
      <c r="BR812" t="s">
        <v>105</v>
      </c>
      <c r="BS812" t="s">
        <v>14558</v>
      </c>
      <c r="BT812" t="str">
        <f>HYPERLINK("https%3A%2F%2Fwww.webofscience.com%2Fwos%2Fwoscc%2Ffull-record%2FWOS:001027150000001","View Full Record in Web of Science")</f>
        <v>View Full Record in Web of Science</v>
      </c>
    </row>
    <row r="813" spans="1:72" x14ac:dyDescent="0.15">
      <c r="A813" t="s">
        <v>72</v>
      </c>
      <c r="B813" t="s">
        <v>14559</v>
      </c>
      <c r="C813" t="s">
        <v>74</v>
      </c>
      <c r="D813" t="s">
        <v>74</v>
      </c>
      <c r="E813" t="s">
        <v>74</v>
      </c>
      <c r="F813" t="s">
        <v>14560</v>
      </c>
      <c r="G813" t="s">
        <v>74</v>
      </c>
      <c r="H813" t="s">
        <v>74</v>
      </c>
      <c r="I813" t="s">
        <v>14561</v>
      </c>
      <c r="J813" t="s">
        <v>7079</v>
      </c>
      <c r="K813" t="s">
        <v>74</v>
      </c>
      <c r="L813" t="s">
        <v>74</v>
      </c>
      <c r="M813" t="s">
        <v>78</v>
      </c>
      <c r="N813" t="s">
        <v>5492</v>
      </c>
      <c r="O813" t="s">
        <v>74</v>
      </c>
      <c r="P813" t="s">
        <v>74</v>
      </c>
      <c r="Q813" t="s">
        <v>74</v>
      </c>
      <c r="R813" t="s">
        <v>74</v>
      </c>
      <c r="S813" t="s">
        <v>74</v>
      </c>
      <c r="T813" t="s">
        <v>14562</v>
      </c>
      <c r="U813" t="s">
        <v>14563</v>
      </c>
      <c r="V813" t="s">
        <v>14564</v>
      </c>
      <c r="W813" t="s">
        <v>14565</v>
      </c>
      <c r="X813" t="s">
        <v>14566</v>
      </c>
      <c r="Y813" t="s">
        <v>14567</v>
      </c>
      <c r="Z813" t="s">
        <v>14568</v>
      </c>
      <c r="AA813" t="s">
        <v>14569</v>
      </c>
      <c r="AB813" t="s">
        <v>14570</v>
      </c>
      <c r="AC813" t="s">
        <v>74</v>
      </c>
      <c r="AD813" t="s">
        <v>74</v>
      </c>
      <c r="AE813" t="s">
        <v>74</v>
      </c>
      <c r="AF813" t="s">
        <v>74</v>
      </c>
      <c r="AG813">
        <v>43</v>
      </c>
      <c r="AH813">
        <v>1</v>
      </c>
      <c r="AI813">
        <v>1</v>
      </c>
      <c r="AJ813">
        <v>15</v>
      </c>
      <c r="AK813">
        <v>15</v>
      </c>
      <c r="AL813" t="s">
        <v>184</v>
      </c>
      <c r="AM813" t="s">
        <v>185</v>
      </c>
      <c r="AN813" t="s">
        <v>186</v>
      </c>
      <c r="AO813" t="s">
        <v>7091</v>
      </c>
      <c r="AP813" t="s">
        <v>7092</v>
      </c>
      <c r="AQ813" t="s">
        <v>74</v>
      </c>
      <c r="AR813" t="s">
        <v>7093</v>
      </c>
      <c r="AS813" t="s">
        <v>7094</v>
      </c>
      <c r="AT813" t="s">
        <v>14571</v>
      </c>
      <c r="AU813">
        <v>2023</v>
      </c>
      <c r="AV813" t="s">
        <v>74</v>
      </c>
      <c r="AW813" t="s">
        <v>74</v>
      </c>
      <c r="AX813" t="s">
        <v>74</v>
      </c>
      <c r="AY813" t="s">
        <v>74</v>
      </c>
      <c r="AZ813" t="s">
        <v>74</v>
      </c>
      <c r="BA813" t="s">
        <v>74</v>
      </c>
      <c r="BB813" t="s">
        <v>74</v>
      </c>
      <c r="BC813" t="s">
        <v>74</v>
      </c>
      <c r="BD813" t="s">
        <v>74</v>
      </c>
      <c r="BE813" t="s">
        <v>14572</v>
      </c>
      <c r="BF813" t="str">
        <f>HYPERLINK("http://dx.doi.org/10.1080/15226514.2023.2232874","http://dx.doi.org/10.1080/15226514.2023.2232874")</f>
        <v>http://dx.doi.org/10.1080/15226514.2023.2232874</v>
      </c>
      <c r="BG813" t="s">
        <v>74</v>
      </c>
      <c r="BH813" t="s">
        <v>12687</v>
      </c>
      <c r="BI813">
        <v>9</v>
      </c>
      <c r="BJ813" t="s">
        <v>7096</v>
      </c>
      <c r="BK813" t="s">
        <v>102</v>
      </c>
      <c r="BL813" t="s">
        <v>7097</v>
      </c>
      <c r="BM813" t="s">
        <v>14573</v>
      </c>
      <c r="BN813">
        <v>37368360</v>
      </c>
      <c r="BO813" t="s">
        <v>5486</v>
      </c>
      <c r="BP813" t="s">
        <v>74</v>
      </c>
      <c r="BQ813" t="s">
        <v>74</v>
      </c>
      <c r="BR813" t="s">
        <v>105</v>
      </c>
      <c r="BS813" t="s">
        <v>14574</v>
      </c>
      <c r="BT813" t="str">
        <f>HYPERLINK("https%3A%2F%2Fwww.webofscience.com%2Fwos%2Fwoscc%2Ffull-record%2FWOS:001032251300001","View Full Record in Web of Science")</f>
        <v>View Full Record in Web of Science</v>
      </c>
    </row>
    <row r="814" spans="1:72" x14ac:dyDescent="0.15">
      <c r="A814" t="s">
        <v>72</v>
      </c>
      <c r="B814" t="s">
        <v>14575</v>
      </c>
      <c r="C814" t="s">
        <v>74</v>
      </c>
      <c r="D814" t="s">
        <v>74</v>
      </c>
      <c r="E814" t="s">
        <v>74</v>
      </c>
      <c r="F814" t="s">
        <v>14576</v>
      </c>
      <c r="G814" t="s">
        <v>74</v>
      </c>
      <c r="H814" t="s">
        <v>74</v>
      </c>
      <c r="I814" t="s">
        <v>14577</v>
      </c>
      <c r="J814" t="s">
        <v>14578</v>
      </c>
      <c r="K814" t="s">
        <v>74</v>
      </c>
      <c r="L814" t="s">
        <v>74</v>
      </c>
      <c r="M814" t="s">
        <v>78</v>
      </c>
      <c r="N814" t="s">
        <v>5492</v>
      </c>
      <c r="O814" t="s">
        <v>74</v>
      </c>
      <c r="P814" t="s">
        <v>74</v>
      </c>
      <c r="Q814" t="s">
        <v>74</v>
      </c>
      <c r="R814" t="s">
        <v>74</v>
      </c>
      <c r="S814" t="s">
        <v>74</v>
      </c>
      <c r="T814" t="s">
        <v>14579</v>
      </c>
      <c r="U814" t="s">
        <v>14580</v>
      </c>
      <c r="V814" t="s">
        <v>14581</v>
      </c>
      <c r="W814" t="s">
        <v>14582</v>
      </c>
      <c r="X814" t="s">
        <v>14583</v>
      </c>
      <c r="Y814" t="s">
        <v>14584</v>
      </c>
      <c r="Z814" t="s">
        <v>14585</v>
      </c>
      <c r="AA814" t="s">
        <v>14586</v>
      </c>
      <c r="AB814" t="s">
        <v>14587</v>
      </c>
      <c r="AC814" t="s">
        <v>74</v>
      </c>
      <c r="AD814" t="s">
        <v>74</v>
      </c>
      <c r="AE814" t="s">
        <v>74</v>
      </c>
      <c r="AF814" t="s">
        <v>74</v>
      </c>
      <c r="AG814">
        <v>35</v>
      </c>
      <c r="AH814">
        <v>0</v>
      </c>
      <c r="AI814">
        <v>0</v>
      </c>
      <c r="AJ814">
        <v>14</v>
      </c>
      <c r="AK814">
        <v>14</v>
      </c>
      <c r="AL814" t="s">
        <v>184</v>
      </c>
      <c r="AM814" t="s">
        <v>185</v>
      </c>
      <c r="AN814" t="s">
        <v>186</v>
      </c>
      <c r="AO814" t="s">
        <v>14588</v>
      </c>
      <c r="AP814" t="s">
        <v>14589</v>
      </c>
      <c r="AQ814" t="s">
        <v>74</v>
      </c>
      <c r="AR814" t="s">
        <v>14590</v>
      </c>
      <c r="AS814" t="s">
        <v>14591</v>
      </c>
      <c r="AT814" t="s">
        <v>14571</v>
      </c>
      <c r="AU814">
        <v>2023</v>
      </c>
      <c r="AV814" t="s">
        <v>74</v>
      </c>
      <c r="AW814" t="s">
        <v>74</v>
      </c>
      <c r="AX814" t="s">
        <v>74</v>
      </c>
      <c r="AY814" t="s">
        <v>74</v>
      </c>
      <c r="AZ814" t="s">
        <v>74</v>
      </c>
      <c r="BA814" t="s">
        <v>74</v>
      </c>
      <c r="BB814" t="s">
        <v>74</v>
      </c>
      <c r="BC814" t="s">
        <v>74</v>
      </c>
      <c r="BD814" t="s">
        <v>74</v>
      </c>
      <c r="BE814" t="s">
        <v>14592</v>
      </c>
      <c r="BF814" t="str">
        <f>HYPERLINK("http://dx.doi.org/10.1080/10426914.2023.2236186","http://dx.doi.org/10.1080/10426914.2023.2236186")</f>
        <v>http://dx.doi.org/10.1080/10426914.2023.2236186</v>
      </c>
      <c r="BG814" t="s">
        <v>74</v>
      </c>
      <c r="BH814" t="s">
        <v>12687</v>
      </c>
      <c r="BI814">
        <v>11</v>
      </c>
      <c r="BJ814" t="s">
        <v>516</v>
      </c>
      <c r="BK814" t="s">
        <v>102</v>
      </c>
      <c r="BL814" t="s">
        <v>517</v>
      </c>
      <c r="BM814" t="s">
        <v>14593</v>
      </c>
      <c r="BN814" t="s">
        <v>74</v>
      </c>
      <c r="BO814" t="s">
        <v>74</v>
      </c>
      <c r="BP814" t="s">
        <v>74</v>
      </c>
      <c r="BQ814" t="s">
        <v>74</v>
      </c>
      <c r="BR814" t="s">
        <v>105</v>
      </c>
      <c r="BS814" t="s">
        <v>14594</v>
      </c>
      <c r="BT814" t="str">
        <f>HYPERLINK("https%3A%2F%2Fwww.webofscience.com%2Fwos%2Fwoscc%2Ffull-record%2FWOS:001030528200001","View Full Record in Web of Science")</f>
        <v>View Full Record in Web of Science</v>
      </c>
    </row>
    <row r="815" spans="1:72" x14ac:dyDescent="0.15">
      <c r="A815" t="s">
        <v>72</v>
      </c>
      <c r="B815" t="s">
        <v>14595</v>
      </c>
      <c r="C815" t="s">
        <v>74</v>
      </c>
      <c r="D815" t="s">
        <v>74</v>
      </c>
      <c r="E815" t="s">
        <v>74</v>
      </c>
      <c r="F815" t="s">
        <v>14596</v>
      </c>
      <c r="G815" t="s">
        <v>74</v>
      </c>
      <c r="H815" t="s">
        <v>74</v>
      </c>
      <c r="I815" t="s">
        <v>14597</v>
      </c>
      <c r="J815" t="s">
        <v>14598</v>
      </c>
      <c r="K815" t="s">
        <v>74</v>
      </c>
      <c r="L815" t="s">
        <v>74</v>
      </c>
      <c r="M815" t="s">
        <v>78</v>
      </c>
      <c r="N815" t="s">
        <v>5492</v>
      </c>
      <c r="O815" t="s">
        <v>74</v>
      </c>
      <c r="P815" t="s">
        <v>74</v>
      </c>
      <c r="Q815" t="s">
        <v>74</v>
      </c>
      <c r="R815" t="s">
        <v>74</v>
      </c>
      <c r="S815" t="s">
        <v>74</v>
      </c>
      <c r="T815" t="s">
        <v>74</v>
      </c>
      <c r="U815" t="s">
        <v>14599</v>
      </c>
      <c r="V815" t="s">
        <v>14600</v>
      </c>
      <c r="W815" t="s">
        <v>14601</v>
      </c>
      <c r="X815" t="s">
        <v>8407</v>
      </c>
      <c r="Y815" t="s">
        <v>14602</v>
      </c>
      <c r="Z815" t="s">
        <v>14603</v>
      </c>
      <c r="AA815" t="s">
        <v>74</v>
      </c>
      <c r="AB815" t="s">
        <v>14604</v>
      </c>
      <c r="AC815" t="s">
        <v>74</v>
      </c>
      <c r="AD815" t="s">
        <v>74</v>
      </c>
      <c r="AE815" t="s">
        <v>74</v>
      </c>
      <c r="AF815" t="s">
        <v>74</v>
      </c>
      <c r="AG815">
        <v>51</v>
      </c>
      <c r="AH815">
        <v>0</v>
      </c>
      <c r="AI815">
        <v>0</v>
      </c>
      <c r="AJ815">
        <v>2</v>
      </c>
      <c r="AK815">
        <v>2</v>
      </c>
      <c r="AL815" t="s">
        <v>184</v>
      </c>
      <c r="AM815" t="s">
        <v>185</v>
      </c>
      <c r="AN815" t="s">
        <v>186</v>
      </c>
      <c r="AO815" t="s">
        <v>14605</v>
      </c>
      <c r="AP815" t="s">
        <v>14606</v>
      </c>
      <c r="AQ815" t="s">
        <v>74</v>
      </c>
      <c r="AR815" t="s">
        <v>14607</v>
      </c>
      <c r="AS815" t="s">
        <v>14608</v>
      </c>
      <c r="AT815" t="s">
        <v>14571</v>
      </c>
      <c r="AU815">
        <v>2023</v>
      </c>
      <c r="AV815" t="s">
        <v>74</v>
      </c>
      <c r="AW815" t="s">
        <v>74</v>
      </c>
      <c r="AX815" t="s">
        <v>74</v>
      </c>
      <c r="AY815" t="s">
        <v>74</v>
      </c>
      <c r="AZ815" t="s">
        <v>74</v>
      </c>
      <c r="BA815" t="s">
        <v>74</v>
      </c>
      <c r="BB815" t="s">
        <v>74</v>
      </c>
      <c r="BC815" t="s">
        <v>74</v>
      </c>
      <c r="BD815" t="s">
        <v>74</v>
      </c>
      <c r="BE815" t="s">
        <v>14609</v>
      </c>
      <c r="BF815" t="str">
        <f>HYPERLINK("http://dx.doi.org/10.1080/10668926.2023.2228260","http://dx.doi.org/10.1080/10668926.2023.2228260")</f>
        <v>http://dx.doi.org/10.1080/10668926.2023.2228260</v>
      </c>
      <c r="BG815" t="s">
        <v>74</v>
      </c>
      <c r="BH815" t="s">
        <v>12687</v>
      </c>
      <c r="BI815">
        <v>13</v>
      </c>
      <c r="BJ815" t="s">
        <v>271</v>
      </c>
      <c r="BK815" t="s">
        <v>211</v>
      </c>
      <c r="BL815" t="s">
        <v>271</v>
      </c>
      <c r="BM815" t="s">
        <v>14610</v>
      </c>
      <c r="BN815" t="s">
        <v>74</v>
      </c>
      <c r="BO815" t="s">
        <v>5486</v>
      </c>
      <c r="BP815" t="s">
        <v>74</v>
      </c>
      <c r="BQ815" t="s">
        <v>74</v>
      </c>
      <c r="BR815" t="s">
        <v>105</v>
      </c>
      <c r="BS815" t="s">
        <v>14611</v>
      </c>
      <c r="BT815" t="str">
        <f>HYPERLINK("https%3A%2F%2Fwww.webofscience.com%2Fwos%2Fwoscc%2Ffull-record%2FWOS:001030341700001","View Full Record in Web of Science")</f>
        <v>View Full Record in Web of Science</v>
      </c>
    </row>
    <row r="816" spans="1:72" x14ac:dyDescent="0.15">
      <c r="A816" t="s">
        <v>72</v>
      </c>
      <c r="B816" t="s">
        <v>14612</v>
      </c>
      <c r="C816" t="s">
        <v>74</v>
      </c>
      <c r="D816" t="s">
        <v>74</v>
      </c>
      <c r="E816" t="s">
        <v>74</v>
      </c>
      <c r="F816" t="s">
        <v>14613</v>
      </c>
      <c r="G816" t="s">
        <v>74</v>
      </c>
      <c r="H816" t="s">
        <v>74</v>
      </c>
      <c r="I816" t="s">
        <v>14614</v>
      </c>
      <c r="J816" t="s">
        <v>14615</v>
      </c>
      <c r="K816" t="s">
        <v>74</v>
      </c>
      <c r="L816" t="s">
        <v>74</v>
      </c>
      <c r="M816" t="s">
        <v>78</v>
      </c>
      <c r="N816" t="s">
        <v>79</v>
      </c>
      <c r="O816" t="s">
        <v>74</v>
      </c>
      <c r="P816" t="s">
        <v>74</v>
      </c>
      <c r="Q816" t="s">
        <v>74</v>
      </c>
      <c r="R816" t="s">
        <v>74</v>
      </c>
      <c r="S816" t="s">
        <v>74</v>
      </c>
      <c r="T816" t="s">
        <v>14616</v>
      </c>
      <c r="U816" t="s">
        <v>14617</v>
      </c>
      <c r="V816" t="s">
        <v>14618</v>
      </c>
      <c r="W816" t="s">
        <v>14619</v>
      </c>
      <c r="X816" t="s">
        <v>14620</v>
      </c>
      <c r="Y816" t="s">
        <v>14621</v>
      </c>
      <c r="Z816" t="s">
        <v>14622</v>
      </c>
      <c r="AA816" t="s">
        <v>74</v>
      </c>
      <c r="AB816" t="s">
        <v>74</v>
      </c>
      <c r="AC816" t="s">
        <v>14623</v>
      </c>
      <c r="AD816" t="s">
        <v>14624</v>
      </c>
      <c r="AE816" t="s">
        <v>14625</v>
      </c>
      <c r="AF816" t="s">
        <v>74</v>
      </c>
      <c r="AG816">
        <v>84</v>
      </c>
      <c r="AH816">
        <v>0</v>
      </c>
      <c r="AI816">
        <v>0</v>
      </c>
      <c r="AJ816">
        <v>7</v>
      </c>
      <c r="AK816">
        <v>7</v>
      </c>
      <c r="AL816" t="s">
        <v>1188</v>
      </c>
      <c r="AM816" t="s">
        <v>93</v>
      </c>
      <c r="AN816" t="s">
        <v>1189</v>
      </c>
      <c r="AO816" t="s">
        <v>14626</v>
      </c>
      <c r="AP816" t="s">
        <v>14627</v>
      </c>
      <c r="AQ816" t="s">
        <v>74</v>
      </c>
      <c r="AR816" t="s">
        <v>14628</v>
      </c>
      <c r="AS816" t="s">
        <v>14629</v>
      </c>
      <c r="AT816" t="s">
        <v>7946</v>
      </c>
      <c r="AU816">
        <v>2023</v>
      </c>
      <c r="AV816">
        <v>59</v>
      </c>
      <c r="AW816">
        <v>11</v>
      </c>
      <c r="AX816" t="s">
        <v>74</v>
      </c>
      <c r="AY816" t="s">
        <v>74</v>
      </c>
      <c r="AZ816" t="s">
        <v>74</v>
      </c>
      <c r="BA816" t="s">
        <v>74</v>
      </c>
      <c r="BB816">
        <v>3550</v>
      </c>
      <c r="BC816">
        <v>3576</v>
      </c>
      <c r="BD816" t="s">
        <v>74</v>
      </c>
      <c r="BE816" t="s">
        <v>14630</v>
      </c>
      <c r="BF816" t="str">
        <f>HYPERLINK("http://dx.doi.org/10.1080/1540496X.2023.2223929","http://dx.doi.org/10.1080/1540496X.2023.2223929")</f>
        <v>http://dx.doi.org/10.1080/1540496X.2023.2223929</v>
      </c>
      <c r="BG816" t="s">
        <v>74</v>
      </c>
      <c r="BH816" t="s">
        <v>12687</v>
      </c>
      <c r="BI816">
        <v>27</v>
      </c>
      <c r="BJ816" t="s">
        <v>14631</v>
      </c>
      <c r="BK816" t="s">
        <v>272</v>
      </c>
      <c r="BL816" t="s">
        <v>14632</v>
      </c>
      <c r="BM816" t="s">
        <v>14633</v>
      </c>
      <c r="BN816" t="s">
        <v>74</v>
      </c>
      <c r="BO816" t="s">
        <v>74</v>
      </c>
      <c r="BP816" t="s">
        <v>74</v>
      </c>
      <c r="BQ816" t="s">
        <v>74</v>
      </c>
      <c r="BR816" t="s">
        <v>105</v>
      </c>
      <c r="BS816" t="s">
        <v>14634</v>
      </c>
      <c r="BT816" t="str">
        <f>HYPERLINK("https%3A%2F%2Fwww.webofscience.com%2Fwos%2Fwoscc%2Ffull-record%2FWOS:001026287800001","View Full Record in Web of Science")</f>
        <v>View Full Record in Web of Science</v>
      </c>
    </row>
    <row r="817" spans="1:72" x14ac:dyDescent="0.15">
      <c r="A817" t="s">
        <v>72</v>
      </c>
      <c r="B817" t="s">
        <v>14635</v>
      </c>
      <c r="C817" t="s">
        <v>74</v>
      </c>
      <c r="D817" t="s">
        <v>74</v>
      </c>
      <c r="E817" t="s">
        <v>74</v>
      </c>
      <c r="F817" t="s">
        <v>14636</v>
      </c>
      <c r="G817" t="s">
        <v>74</v>
      </c>
      <c r="H817" t="s">
        <v>74</v>
      </c>
      <c r="I817" t="s">
        <v>14637</v>
      </c>
      <c r="J817" t="s">
        <v>9398</v>
      </c>
      <c r="K817" t="s">
        <v>74</v>
      </c>
      <c r="L817" t="s">
        <v>74</v>
      </c>
      <c r="M817" t="s">
        <v>78</v>
      </c>
      <c r="N817" t="s">
        <v>79</v>
      </c>
      <c r="O817" t="s">
        <v>74</v>
      </c>
      <c r="P817" t="s">
        <v>74</v>
      </c>
      <c r="Q817" t="s">
        <v>74</v>
      </c>
      <c r="R817" t="s">
        <v>74</v>
      </c>
      <c r="S817" t="s">
        <v>74</v>
      </c>
      <c r="T817" t="s">
        <v>14638</v>
      </c>
      <c r="U817" t="s">
        <v>14639</v>
      </c>
      <c r="V817" t="s">
        <v>14640</v>
      </c>
      <c r="W817" t="s">
        <v>14641</v>
      </c>
      <c r="X817" t="s">
        <v>14642</v>
      </c>
      <c r="Y817" t="s">
        <v>14643</v>
      </c>
      <c r="Z817" t="s">
        <v>14644</v>
      </c>
      <c r="AA817" t="s">
        <v>14645</v>
      </c>
      <c r="AB817" t="s">
        <v>14646</v>
      </c>
      <c r="AC817" t="s">
        <v>74</v>
      </c>
      <c r="AD817" t="s">
        <v>74</v>
      </c>
      <c r="AE817" t="s">
        <v>74</v>
      </c>
      <c r="AF817" t="s">
        <v>74</v>
      </c>
      <c r="AG817">
        <v>49</v>
      </c>
      <c r="AH817">
        <v>0</v>
      </c>
      <c r="AI817">
        <v>0</v>
      </c>
      <c r="AJ817">
        <v>3</v>
      </c>
      <c r="AK817">
        <v>3</v>
      </c>
      <c r="AL817" t="s">
        <v>92</v>
      </c>
      <c r="AM817" t="s">
        <v>93</v>
      </c>
      <c r="AN817" t="s">
        <v>94</v>
      </c>
      <c r="AO817" t="s">
        <v>9411</v>
      </c>
      <c r="AP817" t="s">
        <v>9412</v>
      </c>
      <c r="AQ817" t="s">
        <v>74</v>
      </c>
      <c r="AR817" t="s">
        <v>9413</v>
      </c>
      <c r="AS817" t="s">
        <v>9414</v>
      </c>
      <c r="AT817" t="s">
        <v>9731</v>
      </c>
      <c r="AU817">
        <v>2023</v>
      </c>
      <c r="AV817">
        <v>41</v>
      </c>
      <c r="AW817">
        <v>7</v>
      </c>
      <c r="AX817" t="s">
        <v>74</v>
      </c>
      <c r="AY817" t="s">
        <v>74</v>
      </c>
      <c r="AZ817" t="s">
        <v>74</v>
      </c>
      <c r="BA817" t="s">
        <v>74</v>
      </c>
      <c r="BB817">
        <v>706</v>
      </c>
      <c r="BC817">
        <v>714</v>
      </c>
      <c r="BD817" t="s">
        <v>74</v>
      </c>
      <c r="BE817" t="s">
        <v>14647</v>
      </c>
      <c r="BF817" t="str">
        <f>HYPERLINK("http://dx.doi.org/10.1080/02640414.2023.2235162","http://dx.doi.org/10.1080/02640414.2023.2235162")</f>
        <v>http://dx.doi.org/10.1080/02640414.2023.2235162</v>
      </c>
      <c r="BG817" t="s">
        <v>74</v>
      </c>
      <c r="BH817" t="s">
        <v>12687</v>
      </c>
      <c r="BI817">
        <v>9</v>
      </c>
      <c r="BJ817" t="s">
        <v>9416</v>
      </c>
      <c r="BK817" t="s">
        <v>102</v>
      </c>
      <c r="BL817" t="s">
        <v>9416</v>
      </c>
      <c r="BM817" t="s">
        <v>14648</v>
      </c>
      <c r="BN817">
        <v>37454243</v>
      </c>
      <c r="BO817" t="s">
        <v>74</v>
      </c>
      <c r="BP817" t="s">
        <v>74</v>
      </c>
      <c r="BQ817" t="s">
        <v>74</v>
      </c>
      <c r="BR817" t="s">
        <v>105</v>
      </c>
      <c r="BS817" t="s">
        <v>14649</v>
      </c>
      <c r="BT817" t="str">
        <f>HYPERLINK("https%3A%2F%2Fwww.webofscience.com%2Fwos%2Fwoscc%2Ffull-record%2FWOS:001026284600001","View Full Record in Web of Science")</f>
        <v>View Full Record in Web of Science</v>
      </c>
    </row>
    <row r="818" spans="1:72" x14ac:dyDescent="0.15">
      <c r="A818" t="s">
        <v>72</v>
      </c>
      <c r="B818" t="s">
        <v>14650</v>
      </c>
      <c r="C818" t="s">
        <v>74</v>
      </c>
      <c r="D818" t="s">
        <v>74</v>
      </c>
      <c r="E818" t="s">
        <v>74</v>
      </c>
      <c r="F818" t="s">
        <v>14651</v>
      </c>
      <c r="G818" t="s">
        <v>74</v>
      </c>
      <c r="H818" t="s">
        <v>74</v>
      </c>
      <c r="I818" t="s">
        <v>14652</v>
      </c>
      <c r="J818" t="s">
        <v>14653</v>
      </c>
      <c r="K818" t="s">
        <v>74</v>
      </c>
      <c r="L818" t="s">
        <v>74</v>
      </c>
      <c r="M818" t="s">
        <v>78</v>
      </c>
      <c r="N818" t="s">
        <v>5492</v>
      </c>
      <c r="O818" t="s">
        <v>74</v>
      </c>
      <c r="P818" t="s">
        <v>74</v>
      </c>
      <c r="Q818" t="s">
        <v>74</v>
      </c>
      <c r="R818" t="s">
        <v>74</v>
      </c>
      <c r="S818" t="s">
        <v>74</v>
      </c>
      <c r="T818" t="s">
        <v>14654</v>
      </c>
      <c r="U818" t="s">
        <v>14655</v>
      </c>
      <c r="V818" t="s">
        <v>14656</v>
      </c>
      <c r="W818" t="s">
        <v>14657</v>
      </c>
      <c r="X818" t="s">
        <v>14658</v>
      </c>
      <c r="Y818" t="s">
        <v>14659</v>
      </c>
      <c r="Z818" t="s">
        <v>14660</v>
      </c>
      <c r="AA818" t="s">
        <v>14661</v>
      </c>
      <c r="AB818" t="s">
        <v>14662</v>
      </c>
      <c r="AC818" t="s">
        <v>74</v>
      </c>
      <c r="AD818" t="s">
        <v>74</v>
      </c>
      <c r="AE818" t="s">
        <v>74</v>
      </c>
      <c r="AF818" t="s">
        <v>74</v>
      </c>
      <c r="AG818">
        <v>89</v>
      </c>
      <c r="AH818">
        <v>0</v>
      </c>
      <c r="AI818">
        <v>0</v>
      </c>
      <c r="AJ818">
        <v>0</v>
      </c>
      <c r="AK818">
        <v>0</v>
      </c>
      <c r="AL818" t="s">
        <v>1188</v>
      </c>
      <c r="AM818" t="s">
        <v>93</v>
      </c>
      <c r="AN818" t="s">
        <v>1189</v>
      </c>
      <c r="AO818" t="s">
        <v>14663</v>
      </c>
      <c r="AP818" t="s">
        <v>14664</v>
      </c>
      <c r="AQ818" t="s">
        <v>74</v>
      </c>
      <c r="AR818" t="s">
        <v>14665</v>
      </c>
      <c r="AS818" t="s">
        <v>14666</v>
      </c>
      <c r="AT818" t="s">
        <v>14667</v>
      </c>
      <c r="AU818">
        <v>2023</v>
      </c>
      <c r="AV818" t="s">
        <v>74</v>
      </c>
      <c r="AW818" t="s">
        <v>74</v>
      </c>
      <c r="AX818" t="s">
        <v>74</v>
      </c>
      <c r="AY818" t="s">
        <v>74</v>
      </c>
      <c r="AZ818" t="s">
        <v>74</v>
      </c>
      <c r="BA818" t="s">
        <v>74</v>
      </c>
      <c r="BB818" t="s">
        <v>74</v>
      </c>
      <c r="BC818" t="s">
        <v>74</v>
      </c>
      <c r="BD818" t="s">
        <v>74</v>
      </c>
      <c r="BE818" t="s">
        <v>14668</v>
      </c>
      <c r="BF818" t="str">
        <f>HYPERLINK("http://dx.doi.org/10.1080/23750472.2023.2235363","http://dx.doi.org/10.1080/23750472.2023.2235363")</f>
        <v>http://dx.doi.org/10.1080/23750472.2023.2235363</v>
      </c>
      <c r="BG818" t="s">
        <v>74</v>
      </c>
      <c r="BH818" t="s">
        <v>12687</v>
      </c>
      <c r="BI818">
        <v>16</v>
      </c>
      <c r="BJ818" t="s">
        <v>6702</v>
      </c>
      <c r="BK818" t="s">
        <v>211</v>
      </c>
      <c r="BL818" t="s">
        <v>295</v>
      </c>
      <c r="BM818" t="s">
        <v>14669</v>
      </c>
      <c r="BN818" t="s">
        <v>74</v>
      </c>
      <c r="BO818" t="s">
        <v>887</v>
      </c>
      <c r="BP818" t="s">
        <v>74</v>
      </c>
      <c r="BQ818" t="s">
        <v>74</v>
      </c>
      <c r="BR818" t="s">
        <v>105</v>
      </c>
      <c r="BS818" t="s">
        <v>14670</v>
      </c>
      <c r="BT818" t="str">
        <f>HYPERLINK("https%3A%2F%2Fwww.webofscience.com%2Fwos%2Fwoscc%2Ffull-record%2FWOS:001030338800001","View Full Record in Web of Science")</f>
        <v>View Full Record in Web of Science</v>
      </c>
    </row>
    <row r="819" spans="1:72" x14ac:dyDescent="0.15">
      <c r="A819" t="s">
        <v>72</v>
      </c>
      <c r="B819" t="s">
        <v>14671</v>
      </c>
      <c r="C819" t="s">
        <v>74</v>
      </c>
      <c r="D819" t="s">
        <v>74</v>
      </c>
      <c r="E819" t="s">
        <v>74</v>
      </c>
      <c r="F819" t="s">
        <v>14672</v>
      </c>
      <c r="G819" t="s">
        <v>74</v>
      </c>
      <c r="H819" t="s">
        <v>74</v>
      </c>
      <c r="I819" t="s">
        <v>14673</v>
      </c>
      <c r="J819" t="s">
        <v>14674</v>
      </c>
      <c r="K819" t="s">
        <v>74</v>
      </c>
      <c r="L819" t="s">
        <v>74</v>
      </c>
      <c r="M819" t="s">
        <v>78</v>
      </c>
      <c r="N819" t="s">
        <v>5492</v>
      </c>
      <c r="O819" t="s">
        <v>74</v>
      </c>
      <c r="P819" t="s">
        <v>74</v>
      </c>
      <c r="Q819" t="s">
        <v>74</v>
      </c>
      <c r="R819" t="s">
        <v>74</v>
      </c>
      <c r="S819" t="s">
        <v>74</v>
      </c>
      <c r="T819" t="s">
        <v>14675</v>
      </c>
      <c r="U819" t="s">
        <v>14676</v>
      </c>
      <c r="V819" t="s">
        <v>14677</v>
      </c>
      <c r="W819" t="s">
        <v>14678</v>
      </c>
      <c r="X819" t="s">
        <v>14679</v>
      </c>
      <c r="Y819" t="s">
        <v>14680</v>
      </c>
      <c r="Z819" t="s">
        <v>14681</v>
      </c>
      <c r="AA819" t="s">
        <v>74</v>
      </c>
      <c r="AB819" t="s">
        <v>74</v>
      </c>
      <c r="AC819" t="s">
        <v>14682</v>
      </c>
      <c r="AD819" t="s">
        <v>14683</v>
      </c>
      <c r="AE819" t="s">
        <v>14684</v>
      </c>
      <c r="AF819" t="s">
        <v>74</v>
      </c>
      <c r="AG819">
        <v>23</v>
      </c>
      <c r="AH819">
        <v>0</v>
      </c>
      <c r="AI819">
        <v>0</v>
      </c>
      <c r="AJ819">
        <v>1</v>
      </c>
      <c r="AK819">
        <v>1</v>
      </c>
      <c r="AL819" t="s">
        <v>184</v>
      </c>
      <c r="AM819" t="s">
        <v>185</v>
      </c>
      <c r="AN819" t="s">
        <v>186</v>
      </c>
      <c r="AO819" t="s">
        <v>14685</v>
      </c>
      <c r="AP819" t="s">
        <v>14686</v>
      </c>
      <c r="AQ819" t="s">
        <v>74</v>
      </c>
      <c r="AR819" t="s">
        <v>14687</v>
      </c>
      <c r="AS819" t="s">
        <v>14688</v>
      </c>
      <c r="AT819" t="s">
        <v>14667</v>
      </c>
      <c r="AU819">
        <v>2023</v>
      </c>
      <c r="AV819" t="s">
        <v>74</v>
      </c>
      <c r="AW819" t="s">
        <v>74</v>
      </c>
      <c r="AX819" t="s">
        <v>74</v>
      </c>
      <c r="AY819" t="s">
        <v>74</v>
      </c>
      <c r="AZ819" t="s">
        <v>74</v>
      </c>
      <c r="BA819" t="s">
        <v>74</v>
      </c>
      <c r="BB819" t="s">
        <v>74</v>
      </c>
      <c r="BC819" t="s">
        <v>74</v>
      </c>
      <c r="BD819" t="s">
        <v>74</v>
      </c>
      <c r="BE819" t="s">
        <v>14689</v>
      </c>
      <c r="BF819" t="str">
        <f>HYPERLINK("http://dx.doi.org/10.1080/00032719.2023.2237145","http://dx.doi.org/10.1080/00032719.2023.2237145")</f>
        <v>http://dx.doi.org/10.1080/00032719.2023.2237145</v>
      </c>
      <c r="BG819" t="s">
        <v>74</v>
      </c>
      <c r="BH819" t="s">
        <v>12687</v>
      </c>
      <c r="BI819">
        <v>11</v>
      </c>
      <c r="BJ819" t="s">
        <v>14690</v>
      </c>
      <c r="BK819" t="s">
        <v>102</v>
      </c>
      <c r="BL819" t="s">
        <v>8693</v>
      </c>
      <c r="BM819" t="s">
        <v>14691</v>
      </c>
      <c r="BN819" t="s">
        <v>74</v>
      </c>
      <c r="BO819" t="s">
        <v>74</v>
      </c>
      <c r="BP819" t="s">
        <v>74</v>
      </c>
      <c r="BQ819" t="s">
        <v>74</v>
      </c>
      <c r="BR819" t="s">
        <v>105</v>
      </c>
      <c r="BS819" t="s">
        <v>14692</v>
      </c>
      <c r="BT819" t="str">
        <f>HYPERLINK("https%3A%2F%2Fwww.webofscience.com%2Fwos%2Fwoscc%2Ffull-record%2FWOS:001032224400001","View Full Record in Web of Science")</f>
        <v>View Full Record in Web of Science</v>
      </c>
    </row>
    <row r="820" spans="1:72" x14ac:dyDescent="0.15">
      <c r="A820" t="s">
        <v>72</v>
      </c>
      <c r="B820" t="s">
        <v>14693</v>
      </c>
      <c r="C820" t="s">
        <v>74</v>
      </c>
      <c r="D820" t="s">
        <v>74</v>
      </c>
      <c r="E820" t="s">
        <v>74</v>
      </c>
      <c r="F820" t="s">
        <v>14694</v>
      </c>
      <c r="G820" t="s">
        <v>74</v>
      </c>
      <c r="H820" t="s">
        <v>74</v>
      </c>
      <c r="I820" t="s">
        <v>14695</v>
      </c>
      <c r="J820" t="s">
        <v>14696</v>
      </c>
      <c r="K820" t="s">
        <v>74</v>
      </c>
      <c r="L820" t="s">
        <v>74</v>
      </c>
      <c r="M820" t="s">
        <v>78</v>
      </c>
      <c r="N820" t="s">
        <v>79</v>
      </c>
      <c r="O820" t="s">
        <v>74</v>
      </c>
      <c r="P820" t="s">
        <v>74</v>
      </c>
      <c r="Q820" t="s">
        <v>74</v>
      </c>
      <c r="R820" t="s">
        <v>74</v>
      </c>
      <c r="S820" t="s">
        <v>74</v>
      </c>
      <c r="T820" t="s">
        <v>14697</v>
      </c>
      <c r="U820" t="s">
        <v>14698</v>
      </c>
      <c r="V820" t="s">
        <v>14699</v>
      </c>
      <c r="W820" t="s">
        <v>14700</v>
      </c>
      <c r="X820" t="s">
        <v>14701</v>
      </c>
      <c r="Y820" t="s">
        <v>14702</v>
      </c>
      <c r="Z820" t="s">
        <v>14703</v>
      </c>
      <c r="AA820" t="s">
        <v>74</v>
      </c>
      <c r="AB820" t="s">
        <v>74</v>
      </c>
      <c r="AC820" t="s">
        <v>14704</v>
      </c>
      <c r="AD820" t="s">
        <v>14705</v>
      </c>
      <c r="AE820" t="s">
        <v>14706</v>
      </c>
      <c r="AF820" t="s">
        <v>74</v>
      </c>
      <c r="AG820">
        <v>33</v>
      </c>
      <c r="AH820">
        <v>0</v>
      </c>
      <c r="AI820">
        <v>0</v>
      </c>
      <c r="AJ820">
        <v>0</v>
      </c>
      <c r="AK820">
        <v>0</v>
      </c>
      <c r="AL820" t="s">
        <v>92</v>
      </c>
      <c r="AM820" t="s">
        <v>93</v>
      </c>
      <c r="AN820" t="s">
        <v>94</v>
      </c>
      <c r="AO820" t="s">
        <v>14707</v>
      </c>
      <c r="AP820" t="s">
        <v>14708</v>
      </c>
      <c r="AQ820" t="s">
        <v>74</v>
      </c>
      <c r="AR820" t="s">
        <v>14696</v>
      </c>
      <c r="AS820" t="s">
        <v>14709</v>
      </c>
      <c r="AT820" t="s">
        <v>14710</v>
      </c>
      <c r="AU820">
        <v>2023</v>
      </c>
      <c r="AV820">
        <v>39</v>
      </c>
      <c r="AW820">
        <v>5</v>
      </c>
      <c r="AX820" t="s">
        <v>74</v>
      </c>
      <c r="AY820" t="s">
        <v>74</v>
      </c>
      <c r="AZ820" t="s">
        <v>74</v>
      </c>
      <c r="BA820" t="s">
        <v>74</v>
      </c>
      <c r="BB820">
        <v>579</v>
      </c>
      <c r="BC820">
        <v>590</v>
      </c>
      <c r="BD820" t="s">
        <v>74</v>
      </c>
      <c r="BE820" t="s">
        <v>14711</v>
      </c>
      <c r="BF820" t="str">
        <f>HYPERLINK("http://dx.doi.org/10.1080/08927014.2023.2236949","http://dx.doi.org/10.1080/08927014.2023.2236949")</f>
        <v>http://dx.doi.org/10.1080/08927014.2023.2236949</v>
      </c>
      <c r="BG820" t="s">
        <v>74</v>
      </c>
      <c r="BH820" t="s">
        <v>12687</v>
      </c>
      <c r="BI820">
        <v>12</v>
      </c>
      <c r="BJ820" t="s">
        <v>14712</v>
      </c>
      <c r="BK820" t="s">
        <v>102</v>
      </c>
      <c r="BL820" t="s">
        <v>14712</v>
      </c>
      <c r="BM820" t="s">
        <v>14713</v>
      </c>
      <c r="BN820">
        <v>37482939</v>
      </c>
      <c r="BO820" t="s">
        <v>74</v>
      </c>
      <c r="BP820" t="s">
        <v>74</v>
      </c>
      <c r="BQ820" t="s">
        <v>74</v>
      </c>
      <c r="BR820" t="s">
        <v>105</v>
      </c>
      <c r="BS820" t="s">
        <v>14714</v>
      </c>
      <c r="BT820" t="str">
        <f>HYPERLINK("https%3A%2F%2Fwww.webofscience.com%2Fwos%2Fwoscc%2Ffull-record%2FWOS:001034359700001","View Full Record in Web of Science")</f>
        <v>View Full Record in Web of Science</v>
      </c>
    </row>
    <row r="821" spans="1:72" x14ac:dyDescent="0.15">
      <c r="A821" t="s">
        <v>72</v>
      </c>
      <c r="B821" t="s">
        <v>14715</v>
      </c>
      <c r="C821" t="s">
        <v>74</v>
      </c>
      <c r="D821" t="s">
        <v>74</v>
      </c>
      <c r="E821" t="s">
        <v>74</v>
      </c>
      <c r="F821" t="s">
        <v>14716</v>
      </c>
      <c r="G821" t="s">
        <v>74</v>
      </c>
      <c r="H821" t="s">
        <v>74</v>
      </c>
      <c r="I821" t="s">
        <v>14717</v>
      </c>
      <c r="J821" t="s">
        <v>14718</v>
      </c>
      <c r="K821" t="s">
        <v>74</v>
      </c>
      <c r="L821" t="s">
        <v>74</v>
      </c>
      <c r="M821" t="s">
        <v>78</v>
      </c>
      <c r="N821" t="s">
        <v>5492</v>
      </c>
      <c r="O821" t="s">
        <v>74</v>
      </c>
      <c r="P821" t="s">
        <v>74</v>
      </c>
      <c r="Q821" t="s">
        <v>74</v>
      </c>
      <c r="R821" t="s">
        <v>74</v>
      </c>
      <c r="S821" t="s">
        <v>74</v>
      </c>
      <c r="T821" t="s">
        <v>14719</v>
      </c>
      <c r="U821" t="s">
        <v>14720</v>
      </c>
      <c r="V821" t="s">
        <v>14721</v>
      </c>
      <c r="W821" t="s">
        <v>14722</v>
      </c>
      <c r="X821" t="s">
        <v>14723</v>
      </c>
      <c r="Y821" t="s">
        <v>14724</v>
      </c>
      <c r="Z821" t="s">
        <v>14725</v>
      </c>
      <c r="AA821" t="s">
        <v>14726</v>
      </c>
      <c r="AB821" t="s">
        <v>14727</v>
      </c>
      <c r="AC821" t="s">
        <v>74</v>
      </c>
      <c r="AD821" t="s">
        <v>74</v>
      </c>
      <c r="AE821" t="s">
        <v>74</v>
      </c>
      <c r="AF821" t="s">
        <v>74</v>
      </c>
      <c r="AG821">
        <v>55</v>
      </c>
      <c r="AH821">
        <v>0</v>
      </c>
      <c r="AI821">
        <v>0</v>
      </c>
      <c r="AJ821">
        <v>4</v>
      </c>
      <c r="AK821">
        <v>4</v>
      </c>
      <c r="AL821" t="s">
        <v>92</v>
      </c>
      <c r="AM821" t="s">
        <v>93</v>
      </c>
      <c r="AN821" t="s">
        <v>94</v>
      </c>
      <c r="AO821" t="s">
        <v>14728</v>
      </c>
      <c r="AP821" t="s">
        <v>14729</v>
      </c>
      <c r="AQ821" t="s">
        <v>74</v>
      </c>
      <c r="AR821" t="s">
        <v>14730</v>
      </c>
      <c r="AS821" t="s">
        <v>14731</v>
      </c>
      <c r="AT821" t="s">
        <v>14667</v>
      </c>
      <c r="AU821">
        <v>2023</v>
      </c>
      <c r="AV821" t="s">
        <v>74</v>
      </c>
      <c r="AW821" t="s">
        <v>74</v>
      </c>
      <c r="AX821" t="s">
        <v>74</v>
      </c>
      <c r="AY821" t="s">
        <v>74</v>
      </c>
      <c r="AZ821" t="s">
        <v>74</v>
      </c>
      <c r="BA821" t="s">
        <v>74</v>
      </c>
      <c r="BB821" t="s">
        <v>74</v>
      </c>
      <c r="BC821" t="s">
        <v>74</v>
      </c>
      <c r="BD821" t="s">
        <v>74</v>
      </c>
      <c r="BE821" t="s">
        <v>14732</v>
      </c>
      <c r="BF821" t="str">
        <f>HYPERLINK("http://dx.doi.org/10.1080/10406638.2023.2233666","http://dx.doi.org/10.1080/10406638.2023.2233666")</f>
        <v>http://dx.doi.org/10.1080/10406638.2023.2233666</v>
      </c>
      <c r="BG821" t="s">
        <v>74</v>
      </c>
      <c r="BH821" t="s">
        <v>12687</v>
      </c>
      <c r="BI821">
        <v>21</v>
      </c>
      <c r="BJ821" t="s">
        <v>8692</v>
      </c>
      <c r="BK821" t="s">
        <v>102</v>
      </c>
      <c r="BL821" t="s">
        <v>8693</v>
      </c>
      <c r="BM821" t="s">
        <v>14733</v>
      </c>
      <c r="BN821" t="s">
        <v>74</v>
      </c>
      <c r="BO821" t="s">
        <v>5486</v>
      </c>
      <c r="BP821" t="s">
        <v>74</v>
      </c>
      <c r="BQ821" t="s">
        <v>74</v>
      </c>
      <c r="BR821" t="s">
        <v>105</v>
      </c>
      <c r="BS821" t="s">
        <v>14734</v>
      </c>
      <c r="BT821" t="str">
        <f>HYPERLINK("https%3A%2F%2Fwww.webofscience.com%2Fwos%2Fwoscc%2Ffull-record%2FWOS:001027155000001","View Full Record in Web of Science")</f>
        <v>View Full Record in Web of Science</v>
      </c>
    </row>
    <row r="822" spans="1:72" x14ac:dyDescent="0.15">
      <c r="A822" t="s">
        <v>72</v>
      </c>
      <c r="B822" t="s">
        <v>14735</v>
      </c>
      <c r="C822" t="s">
        <v>74</v>
      </c>
      <c r="D822" t="s">
        <v>74</v>
      </c>
      <c r="E822" t="s">
        <v>74</v>
      </c>
      <c r="F822" t="s">
        <v>14736</v>
      </c>
      <c r="G822" t="s">
        <v>74</v>
      </c>
      <c r="H822" t="s">
        <v>74</v>
      </c>
      <c r="I822" t="s">
        <v>14737</v>
      </c>
      <c r="J822" t="s">
        <v>14738</v>
      </c>
      <c r="K822" t="s">
        <v>74</v>
      </c>
      <c r="L822" t="s">
        <v>74</v>
      </c>
      <c r="M822" t="s">
        <v>78</v>
      </c>
      <c r="N822" t="s">
        <v>5492</v>
      </c>
      <c r="O822" t="s">
        <v>74</v>
      </c>
      <c r="P822" t="s">
        <v>74</v>
      </c>
      <c r="Q822" t="s">
        <v>74</v>
      </c>
      <c r="R822" t="s">
        <v>74</v>
      </c>
      <c r="S822" t="s">
        <v>74</v>
      </c>
      <c r="T822" t="s">
        <v>14739</v>
      </c>
      <c r="U822" t="s">
        <v>14740</v>
      </c>
      <c r="V822" t="s">
        <v>14741</v>
      </c>
      <c r="W822" t="s">
        <v>14742</v>
      </c>
      <c r="X822" t="s">
        <v>14743</v>
      </c>
      <c r="Y822" t="s">
        <v>14744</v>
      </c>
      <c r="Z822" t="s">
        <v>14745</v>
      </c>
      <c r="AA822" t="s">
        <v>74</v>
      </c>
      <c r="AB822" t="s">
        <v>14746</v>
      </c>
      <c r="AC822" t="s">
        <v>74</v>
      </c>
      <c r="AD822" t="s">
        <v>74</v>
      </c>
      <c r="AE822" t="s">
        <v>74</v>
      </c>
      <c r="AF822" t="s">
        <v>74</v>
      </c>
      <c r="AG822">
        <v>44</v>
      </c>
      <c r="AH822">
        <v>0</v>
      </c>
      <c r="AI822">
        <v>0</v>
      </c>
      <c r="AJ822">
        <v>3</v>
      </c>
      <c r="AK822">
        <v>3</v>
      </c>
      <c r="AL822" t="s">
        <v>1188</v>
      </c>
      <c r="AM822" t="s">
        <v>93</v>
      </c>
      <c r="AN822" t="s">
        <v>1189</v>
      </c>
      <c r="AO822" t="s">
        <v>14747</v>
      </c>
      <c r="AP822" t="s">
        <v>14748</v>
      </c>
      <c r="AQ822" t="s">
        <v>74</v>
      </c>
      <c r="AR822" t="s">
        <v>14749</v>
      </c>
      <c r="AS822" t="s">
        <v>14750</v>
      </c>
      <c r="AT822" t="s">
        <v>14667</v>
      </c>
      <c r="AU822">
        <v>2023</v>
      </c>
      <c r="AV822" t="s">
        <v>74</v>
      </c>
      <c r="AW822" t="s">
        <v>74</v>
      </c>
      <c r="AX822" t="s">
        <v>74</v>
      </c>
      <c r="AY822" t="s">
        <v>74</v>
      </c>
      <c r="AZ822" t="s">
        <v>74</v>
      </c>
      <c r="BA822" t="s">
        <v>74</v>
      </c>
      <c r="BB822" t="s">
        <v>74</v>
      </c>
      <c r="BC822" t="s">
        <v>74</v>
      </c>
      <c r="BD822" t="s">
        <v>74</v>
      </c>
      <c r="BE822" t="s">
        <v>14751</v>
      </c>
      <c r="BF822" t="str">
        <f>HYPERLINK("http://dx.doi.org/10.1080/09571736.2023.2227866","http://dx.doi.org/10.1080/09571736.2023.2227866")</f>
        <v>http://dx.doi.org/10.1080/09571736.2023.2227866</v>
      </c>
      <c r="BG822" t="s">
        <v>74</v>
      </c>
      <c r="BH822" t="s">
        <v>12687</v>
      </c>
      <c r="BI822">
        <v>17</v>
      </c>
      <c r="BJ822" t="s">
        <v>271</v>
      </c>
      <c r="BK822" t="s">
        <v>211</v>
      </c>
      <c r="BL822" t="s">
        <v>271</v>
      </c>
      <c r="BM822" t="s">
        <v>14752</v>
      </c>
      <c r="BN822" t="s">
        <v>74</v>
      </c>
      <c r="BO822" t="s">
        <v>74</v>
      </c>
      <c r="BP822" t="s">
        <v>74</v>
      </c>
      <c r="BQ822" t="s">
        <v>74</v>
      </c>
      <c r="BR822" t="s">
        <v>105</v>
      </c>
      <c r="BS822" t="s">
        <v>14753</v>
      </c>
      <c r="BT822" t="str">
        <f>HYPERLINK("https%3A%2F%2Fwww.webofscience.com%2Fwos%2Fwoscc%2Ffull-record%2FWOS:001033405900001","View Full Record in Web of Science")</f>
        <v>View Full Record in Web of Science</v>
      </c>
    </row>
    <row r="823" spans="1:72" x14ac:dyDescent="0.15">
      <c r="A823" t="s">
        <v>72</v>
      </c>
      <c r="B823" t="s">
        <v>14754</v>
      </c>
      <c r="C823" t="s">
        <v>74</v>
      </c>
      <c r="D823" t="s">
        <v>74</v>
      </c>
      <c r="E823" t="s">
        <v>74</v>
      </c>
      <c r="F823" t="s">
        <v>14755</v>
      </c>
      <c r="G823" t="s">
        <v>74</v>
      </c>
      <c r="H823" t="s">
        <v>74</v>
      </c>
      <c r="I823" t="s">
        <v>14756</v>
      </c>
      <c r="J823" t="s">
        <v>13011</v>
      </c>
      <c r="K823" t="s">
        <v>74</v>
      </c>
      <c r="L823" t="s">
        <v>74</v>
      </c>
      <c r="M823" t="s">
        <v>78</v>
      </c>
      <c r="N823" t="s">
        <v>79</v>
      </c>
      <c r="O823" t="s">
        <v>74</v>
      </c>
      <c r="P823" t="s">
        <v>74</v>
      </c>
      <c r="Q823" t="s">
        <v>74</v>
      </c>
      <c r="R823" t="s">
        <v>74</v>
      </c>
      <c r="S823" t="s">
        <v>74</v>
      </c>
      <c r="T823" t="s">
        <v>14757</v>
      </c>
      <c r="U823" t="s">
        <v>14758</v>
      </c>
      <c r="V823" t="s">
        <v>14759</v>
      </c>
      <c r="W823" t="s">
        <v>14760</v>
      </c>
      <c r="X823" t="s">
        <v>14761</v>
      </c>
      <c r="Y823" t="s">
        <v>14762</v>
      </c>
      <c r="Z823" t="s">
        <v>14763</v>
      </c>
      <c r="AA823" t="s">
        <v>74</v>
      </c>
      <c r="AB823" t="s">
        <v>74</v>
      </c>
      <c r="AC823" t="s">
        <v>74</v>
      </c>
      <c r="AD823" t="s">
        <v>74</v>
      </c>
      <c r="AE823" t="s">
        <v>74</v>
      </c>
      <c r="AF823" t="s">
        <v>74</v>
      </c>
      <c r="AG823">
        <v>53</v>
      </c>
      <c r="AH823">
        <v>0</v>
      </c>
      <c r="AI823">
        <v>0</v>
      </c>
      <c r="AJ823">
        <v>0</v>
      </c>
      <c r="AK823">
        <v>0</v>
      </c>
      <c r="AL823" t="s">
        <v>1188</v>
      </c>
      <c r="AM823" t="s">
        <v>93</v>
      </c>
      <c r="AN823" t="s">
        <v>1189</v>
      </c>
      <c r="AO823" t="s">
        <v>13021</v>
      </c>
      <c r="AP823" t="s">
        <v>13022</v>
      </c>
      <c r="AQ823" t="s">
        <v>74</v>
      </c>
      <c r="AR823" t="s">
        <v>13023</v>
      </c>
      <c r="AS823" t="s">
        <v>13024</v>
      </c>
      <c r="AT823" t="s">
        <v>8098</v>
      </c>
      <c r="AU823">
        <v>2023</v>
      </c>
      <c r="AV823">
        <v>49</v>
      </c>
      <c r="AW823">
        <v>5</v>
      </c>
      <c r="AX823" t="s">
        <v>74</v>
      </c>
      <c r="AY823" t="s">
        <v>74</v>
      </c>
      <c r="AZ823" t="s">
        <v>74</v>
      </c>
      <c r="BA823" t="s">
        <v>74</v>
      </c>
      <c r="BB823">
        <v>530</v>
      </c>
      <c r="BC823">
        <v>545</v>
      </c>
      <c r="BD823" t="s">
        <v>74</v>
      </c>
      <c r="BE823" t="s">
        <v>14764</v>
      </c>
      <c r="BF823" t="str">
        <f>HYPERLINK("http://dx.doi.org/10.1080/01488376.2023.2237542","http://dx.doi.org/10.1080/01488376.2023.2237542")</f>
        <v>http://dx.doi.org/10.1080/01488376.2023.2237542</v>
      </c>
      <c r="BG823" t="s">
        <v>74</v>
      </c>
      <c r="BH823" t="s">
        <v>12687</v>
      </c>
      <c r="BI823">
        <v>16</v>
      </c>
      <c r="BJ823" t="s">
        <v>5869</v>
      </c>
      <c r="BK823" t="s">
        <v>272</v>
      </c>
      <c r="BL823" t="s">
        <v>5869</v>
      </c>
      <c r="BM823" t="s">
        <v>13026</v>
      </c>
      <c r="BN823" t="s">
        <v>74</v>
      </c>
      <c r="BO823" t="s">
        <v>74</v>
      </c>
      <c r="BP823" t="s">
        <v>74</v>
      </c>
      <c r="BQ823" t="s">
        <v>74</v>
      </c>
      <c r="BR823" t="s">
        <v>105</v>
      </c>
      <c r="BS823" t="s">
        <v>14765</v>
      </c>
      <c r="BT823" t="str">
        <f>HYPERLINK("https%3A%2F%2Fwww.webofscience.com%2Fwos%2Fwoscc%2Ffull-record%2FWOS:001040774500001","View Full Record in Web of Science")</f>
        <v>View Full Record in Web of Science</v>
      </c>
    </row>
    <row r="824" spans="1:72" x14ac:dyDescent="0.15">
      <c r="A824" t="s">
        <v>72</v>
      </c>
      <c r="B824" t="s">
        <v>14766</v>
      </c>
      <c r="C824" t="s">
        <v>74</v>
      </c>
      <c r="D824" t="s">
        <v>74</v>
      </c>
      <c r="E824" t="s">
        <v>74</v>
      </c>
      <c r="F824" t="s">
        <v>14767</v>
      </c>
      <c r="G824" t="s">
        <v>74</v>
      </c>
      <c r="H824" t="s">
        <v>74</v>
      </c>
      <c r="I824" t="s">
        <v>14768</v>
      </c>
      <c r="J824" t="s">
        <v>8819</v>
      </c>
      <c r="K824" t="s">
        <v>74</v>
      </c>
      <c r="L824" t="s">
        <v>74</v>
      </c>
      <c r="M824" t="s">
        <v>78</v>
      </c>
      <c r="N824" t="s">
        <v>5492</v>
      </c>
      <c r="O824" t="s">
        <v>74</v>
      </c>
      <c r="P824" t="s">
        <v>74</v>
      </c>
      <c r="Q824" t="s">
        <v>74</v>
      </c>
      <c r="R824" t="s">
        <v>74</v>
      </c>
      <c r="S824" t="s">
        <v>74</v>
      </c>
      <c r="T824" t="s">
        <v>14769</v>
      </c>
      <c r="U824" t="s">
        <v>14770</v>
      </c>
      <c r="V824" t="s">
        <v>14771</v>
      </c>
      <c r="W824" t="s">
        <v>14772</v>
      </c>
      <c r="X824" t="s">
        <v>14773</v>
      </c>
      <c r="Y824" t="s">
        <v>14774</v>
      </c>
      <c r="Z824" t="s">
        <v>14775</v>
      </c>
      <c r="AA824" t="s">
        <v>74</v>
      </c>
      <c r="AB824" t="s">
        <v>74</v>
      </c>
      <c r="AC824" t="s">
        <v>14776</v>
      </c>
      <c r="AD824" t="s">
        <v>14777</v>
      </c>
      <c r="AE824" t="s">
        <v>14778</v>
      </c>
      <c r="AF824" t="s">
        <v>74</v>
      </c>
      <c r="AG824">
        <v>67</v>
      </c>
      <c r="AH824">
        <v>0</v>
      </c>
      <c r="AI824">
        <v>0</v>
      </c>
      <c r="AJ824">
        <v>3</v>
      </c>
      <c r="AK824">
        <v>3</v>
      </c>
      <c r="AL824" t="s">
        <v>92</v>
      </c>
      <c r="AM824" t="s">
        <v>93</v>
      </c>
      <c r="AN824" t="s">
        <v>94</v>
      </c>
      <c r="AO824" t="s">
        <v>8830</v>
      </c>
      <c r="AP824" t="s">
        <v>8831</v>
      </c>
      <c r="AQ824" t="s">
        <v>74</v>
      </c>
      <c r="AR824" t="s">
        <v>8832</v>
      </c>
      <c r="AS824" t="s">
        <v>8833</v>
      </c>
      <c r="AT824" t="s">
        <v>14667</v>
      </c>
      <c r="AU824">
        <v>2023</v>
      </c>
      <c r="AV824" t="s">
        <v>74</v>
      </c>
      <c r="AW824" t="s">
        <v>74</v>
      </c>
      <c r="AX824" t="s">
        <v>74</v>
      </c>
      <c r="AY824" t="s">
        <v>74</v>
      </c>
      <c r="AZ824" t="s">
        <v>74</v>
      </c>
      <c r="BA824" t="s">
        <v>74</v>
      </c>
      <c r="BB824" t="s">
        <v>74</v>
      </c>
      <c r="BC824" t="s">
        <v>74</v>
      </c>
      <c r="BD824" t="s">
        <v>74</v>
      </c>
      <c r="BE824" t="s">
        <v>14779</v>
      </c>
      <c r="BF824" t="str">
        <f>HYPERLINK("http://dx.doi.org/10.1080/01431161.2023.2232551","http://dx.doi.org/10.1080/01431161.2023.2232551")</f>
        <v>http://dx.doi.org/10.1080/01431161.2023.2232551</v>
      </c>
      <c r="BG824" t="s">
        <v>74</v>
      </c>
      <c r="BH824" t="s">
        <v>12687</v>
      </c>
      <c r="BI824">
        <v>19</v>
      </c>
      <c r="BJ824" t="s">
        <v>8835</v>
      </c>
      <c r="BK824" t="s">
        <v>102</v>
      </c>
      <c r="BL824" t="s">
        <v>8835</v>
      </c>
      <c r="BM824" t="s">
        <v>14780</v>
      </c>
      <c r="BN824" t="s">
        <v>74</v>
      </c>
      <c r="BO824" t="s">
        <v>74</v>
      </c>
      <c r="BP824" t="s">
        <v>74</v>
      </c>
      <c r="BQ824" t="s">
        <v>74</v>
      </c>
      <c r="BR824" t="s">
        <v>105</v>
      </c>
      <c r="BS824" t="s">
        <v>14781</v>
      </c>
      <c r="BT824" t="str">
        <f>HYPERLINK("https%3A%2F%2Fwww.webofscience.com%2Fwos%2Fwoscc%2Ffull-record%2FWOS:001029256700001","View Full Record in Web of Science")</f>
        <v>View Full Record in Web of Science</v>
      </c>
    </row>
    <row r="825" spans="1:72" x14ac:dyDescent="0.15">
      <c r="A825" t="s">
        <v>72</v>
      </c>
      <c r="B825" t="s">
        <v>14782</v>
      </c>
      <c r="C825" t="s">
        <v>74</v>
      </c>
      <c r="D825" t="s">
        <v>74</v>
      </c>
      <c r="E825" t="s">
        <v>74</v>
      </c>
      <c r="F825" t="s">
        <v>14783</v>
      </c>
      <c r="G825" t="s">
        <v>74</v>
      </c>
      <c r="H825" t="s">
        <v>74</v>
      </c>
      <c r="I825" t="s">
        <v>14784</v>
      </c>
      <c r="J825" t="s">
        <v>14785</v>
      </c>
      <c r="K825" t="s">
        <v>74</v>
      </c>
      <c r="L825" t="s">
        <v>74</v>
      </c>
      <c r="M825" t="s">
        <v>78</v>
      </c>
      <c r="N825" t="s">
        <v>5492</v>
      </c>
      <c r="O825" t="s">
        <v>74</v>
      </c>
      <c r="P825" t="s">
        <v>74</v>
      </c>
      <c r="Q825" t="s">
        <v>74</v>
      </c>
      <c r="R825" t="s">
        <v>74</v>
      </c>
      <c r="S825" t="s">
        <v>74</v>
      </c>
      <c r="T825" t="s">
        <v>14786</v>
      </c>
      <c r="U825" t="s">
        <v>14787</v>
      </c>
      <c r="V825" t="s">
        <v>14788</v>
      </c>
      <c r="W825" t="s">
        <v>14789</v>
      </c>
      <c r="X825" t="s">
        <v>14790</v>
      </c>
      <c r="Y825" t="s">
        <v>14791</v>
      </c>
      <c r="Z825" t="s">
        <v>14792</v>
      </c>
      <c r="AA825" t="s">
        <v>74</v>
      </c>
      <c r="AB825" t="s">
        <v>74</v>
      </c>
      <c r="AC825" t="s">
        <v>14793</v>
      </c>
      <c r="AD825" t="s">
        <v>4770</v>
      </c>
      <c r="AE825" t="s">
        <v>14794</v>
      </c>
      <c r="AF825" t="s">
        <v>74</v>
      </c>
      <c r="AG825">
        <v>89</v>
      </c>
      <c r="AH825">
        <v>0</v>
      </c>
      <c r="AI825">
        <v>0</v>
      </c>
      <c r="AJ825">
        <v>1</v>
      </c>
      <c r="AK825">
        <v>1</v>
      </c>
      <c r="AL825" t="s">
        <v>1188</v>
      </c>
      <c r="AM825" t="s">
        <v>93</v>
      </c>
      <c r="AN825" t="s">
        <v>1189</v>
      </c>
      <c r="AO825" t="s">
        <v>14795</v>
      </c>
      <c r="AP825" t="s">
        <v>14796</v>
      </c>
      <c r="AQ825" t="s">
        <v>74</v>
      </c>
      <c r="AR825" t="s">
        <v>14797</v>
      </c>
      <c r="AS825" t="s">
        <v>14798</v>
      </c>
      <c r="AT825" t="s">
        <v>14799</v>
      </c>
      <c r="AU825">
        <v>2023</v>
      </c>
      <c r="AV825" t="s">
        <v>74</v>
      </c>
      <c r="AW825" t="s">
        <v>74</v>
      </c>
      <c r="AX825" t="s">
        <v>74</v>
      </c>
      <c r="AY825" t="s">
        <v>74</v>
      </c>
      <c r="AZ825" t="s">
        <v>74</v>
      </c>
      <c r="BA825" t="s">
        <v>74</v>
      </c>
      <c r="BB825" t="s">
        <v>74</v>
      </c>
      <c r="BC825" t="s">
        <v>74</v>
      </c>
      <c r="BD825" t="s">
        <v>74</v>
      </c>
      <c r="BE825" t="s">
        <v>14800</v>
      </c>
      <c r="BF825" t="str">
        <f>HYPERLINK("http://dx.doi.org/10.1080/13668803.2023.2235071","http://dx.doi.org/10.1080/13668803.2023.2235071")</f>
        <v>http://dx.doi.org/10.1080/13668803.2023.2235071</v>
      </c>
      <c r="BG825" t="s">
        <v>74</v>
      </c>
      <c r="BH825" t="s">
        <v>12687</v>
      </c>
      <c r="BI825">
        <v>22</v>
      </c>
      <c r="BJ825" t="s">
        <v>14801</v>
      </c>
      <c r="BK825" t="s">
        <v>211</v>
      </c>
      <c r="BL825" t="s">
        <v>14801</v>
      </c>
      <c r="BM825" t="s">
        <v>14802</v>
      </c>
      <c r="BN825" t="s">
        <v>74</v>
      </c>
      <c r="BO825" t="s">
        <v>74</v>
      </c>
      <c r="BP825" t="s">
        <v>74</v>
      </c>
      <c r="BQ825" t="s">
        <v>74</v>
      </c>
      <c r="BR825" t="s">
        <v>105</v>
      </c>
      <c r="BS825" t="s">
        <v>14803</v>
      </c>
      <c r="BT825" t="str">
        <f>HYPERLINK("https%3A%2F%2Fwww.webofscience.com%2Fwos%2Fwoscc%2Ffull-record%2FWOS:001027394000001","View Full Record in Web of Science")</f>
        <v>View Full Record in Web of Science</v>
      </c>
    </row>
    <row r="826" spans="1:72" x14ac:dyDescent="0.15">
      <c r="A826" t="s">
        <v>72</v>
      </c>
      <c r="B826" t="s">
        <v>14804</v>
      </c>
      <c r="C826" t="s">
        <v>74</v>
      </c>
      <c r="D826" t="s">
        <v>74</v>
      </c>
      <c r="E826" t="s">
        <v>74</v>
      </c>
      <c r="F826" t="s">
        <v>14805</v>
      </c>
      <c r="G826" t="s">
        <v>74</v>
      </c>
      <c r="H826" t="s">
        <v>74</v>
      </c>
      <c r="I826" t="s">
        <v>14806</v>
      </c>
      <c r="J826" t="s">
        <v>14807</v>
      </c>
      <c r="K826" t="s">
        <v>74</v>
      </c>
      <c r="L826" t="s">
        <v>74</v>
      </c>
      <c r="M826" t="s">
        <v>78</v>
      </c>
      <c r="N826" t="s">
        <v>5492</v>
      </c>
      <c r="O826" t="s">
        <v>74</v>
      </c>
      <c r="P826" t="s">
        <v>74</v>
      </c>
      <c r="Q826" t="s">
        <v>74</v>
      </c>
      <c r="R826" t="s">
        <v>74</v>
      </c>
      <c r="S826" t="s">
        <v>74</v>
      </c>
      <c r="T826" t="s">
        <v>14808</v>
      </c>
      <c r="U826" t="s">
        <v>14809</v>
      </c>
      <c r="V826" t="s">
        <v>14810</v>
      </c>
      <c r="W826" t="s">
        <v>14811</v>
      </c>
      <c r="X826" t="s">
        <v>14812</v>
      </c>
      <c r="Y826" t="s">
        <v>14813</v>
      </c>
      <c r="Z826" t="s">
        <v>14814</v>
      </c>
      <c r="AA826" t="s">
        <v>14815</v>
      </c>
      <c r="AB826" t="s">
        <v>14816</v>
      </c>
      <c r="AC826" t="s">
        <v>74</v>
      </c>
      <c r="AD826" t="s">
        <v>74</v>
      </c>
      <c r="AE826" t="s">
        <v>74</v>
      </c>
      <c r="AF826" t="s">
        <v>74</v>
      </c>
      <c r="AG826">
        <v>92</v>
      </c>
      <c r="AH826">
        <v>0</v>
      </c>
      <c r="AI826">
        <v>0</v>
      </c>
      <c r="AJ826">
        <v>19</v>
      </c>
      <c r="AK826">
        <v>19</v>
      </c>
      <c r="AL826" t="s">
        <v>1188</v>
      </c>
      <c r="AM826" t="s">
        <v>93</v>
      </c>
      <c r="AN826" t="s">
        <v>1189</v>
      </c>
      <c r="AO826" t="s">
        <v>14817</v>
      </c>
      <c r="AP826" t="s">
        <v>14818</v>
      </c>
      <c r="AQ826" t="s">
        <v>74</v>
      </c>
      <c r="AR826" t="s">
        <v>14819</v>
      </c>
      <c r="AS826" t="s">
        <v>14820</v>
      </c>
      <c r="AT826" t="s">
        <v>14799</v>
      </c>
      <c r="AU826">
        <v>2023</v>
      </c>
      <c r="AV826" t="s">
        <v>74</v>
      </c>
      <c r="AW826" t="s">
        <v>74</v>
      </c>
      <c r="AX826" t="s">
        <v>74</v>
      </c>
      <c r="AY826" t="s">
        <v>74</v>
      </c>
      <c r="AZ826" t="s">
        <v>74</v>
      </c>
      <c r="BA826" t="s">
        <v>74</v>
      </c>
      <c r="BB826" t="s">
        <v>74</v>
      </c>
      <c r="BC826" t="s">
        <v>74</v>
      </c>
      <c r="BD826" t="s">
        <v>74</v>
      </c>
      <c r="BE826" t="s">
        <v>14821</v>
      </c>
      <c r="BF826" t="str">
        <f>HYPERLINK("http://dx.doi.org/10.1080/02188791.2023.2233704","http://dx.doi.org/10.1080/02188791.2023.2233704")</f>
        <v>http://dx.doi.org/10.1080/02188791.2023.2233704</v>
      </c>
      <c r="BG826" t="s">
        <v>74</v>
      </c>
      <c r="BH826" t="s">
        <v>12687</v>
      </c>
      <c r="BI826">
        <v>17</v>
      </c>
      <c r="BJ826" t="s">
        <v>271</v>
      </c>
      <c r="BK826" t="s">
        <v>272</v>
      </c>
      <c r="BL826" t="s">
        <v>271</v>
      </c>
      <c r="BM826" t="s">
        <v>14822</v>
      </c>
      <c r="BN826" t="s">
        <v>74</v>
      </c>
      <c r="BO826" t="s">
        <v>74</v>
      </c>
      <c r="BP826" t="s">
        <v>74</v>
      </c>
      <c r="BQ826" t="s">
        <v>74</v>
      </c>
      <c r="BR826" t="s">
        <v>105</v>
      </c>
      <c r="BS826" t="s">
        <v>14823</v>
      </c>
      <c r="BT826" t="str">
        <f>HYPERLINK("https%3A%2F%2Fwww.webofscience.com%2Fwos%2Fwoscc%2Ffull-record%2FWOS:001027567300001","View Full Record in Web of Science")</f>
        <v>View Full Record in Web of Science</v>
      </c>
    </row>
    <row r="827" spans="1:72" x14ac:dyDescent="0.15">
      <c r="A827" t="s">
        <v>72</v>
      </c>
      <c r="B827" t="s">
        <v>14824</v>
      </c>
      <c r="C827" t="s">
        <v>74</v>
      </c>
      <c r="D827" t="s">
        <v>74</v>
      </c>
      <c r="E827" t="s">
        <v>74</v>
      </c>
      <c r="F827" t="s">
        <v>14825</v>
      </c>
      <c r="G827" t="s">
        <v>74</v>
      </c>
      <c r="H827" t="s">
        <v>74</v>
      </c>
      <c r="I827" t="s">
        <v>14826</v>
      </c>
      <c r="J827" t="s">
        <v>7394</v>
      </c>
      <c r="K827" t="s">
        <v>74</v>
      </c>
      <c r="L827" t="s">
        <v>74</v>
      </c>
      <c r="M827" t="s">
        <v>78</v>
      </c>
      <c r="N827" t="s">
        <v>5492</v>
      </c>
      <c r="O827" t="s">
        <v>74</v>
      </c>
      <c r="P827" t="s">
        <v>74</v>
      </c>
      <c r="Q827" t="s">
        <v>74</v>
      </c>
      <c r="R827" t="s">
        <v>74</v>
      </c>
      <c r="S827" t="s">
        <v>74</v>
      </c>
      <c r="T827" t="s">
        <v>14827</v>
      </c>
      <c r="U827" t="s">
        <v>74</v>
      </c>
      <c r="V827" t="s">
        <v>14828</v>
      </c>
      <c r="W827" t="s">
        <v>14829</v>
      </c>
      <c r="X827" t="s">
        <v>14830</v>
      </c>
      <c r="Y827" t="s">
        <v>14831</v>
      </c>
      <c r="Z827" t="s">
        <v>14832</v>
      </c>
      <c r="AA827" t="s">
        <v>74</v>
      </c>
      <c r="AB827" t="s">
        <v>74</v>
      </c>
      <c r="AC827" t="s">
        <v>14833</v>
      </c>
      <c r="AD827" t="s">
        <v>14834</v>
      </c>
      <c r="AE827" t="s">
        <v>14835</v>
      </c>
      <c r="AF827" t="s">
        <v>74</v>
      </c>
      <c r="AG827">
        <v>48</v>
      </c>
      <c r="AH827">
        <v>0</v>
      </c>
      <c r="AI827">
        <v>0</v>
      </c>
      <c r="AJ827">
        <v>3</v>
      </c>
      <c r="AK827">
        <v>3</v>
      </c>
      <c r="AL827" t="s">
        <v>1188</v>
      </c>
      <c r="AM827" t="s">
        <v>93</v>
      </c>
      <c r="AN827" t="s">
        <v>1189</v>
      </c>
      <c r="AO827" t="s">
        <v>7399</v>
      </c>
      <c r="AP827" t="s">
        <v>7400</v>
      </c>
      <c r="AQ827" t="s">
        <v>74</v>
      </c>
      <c r="AR827" t="s">
        <v>7401</v>
      </c>
      <c r="AS827" t="s">
        <v>7402</v>
      </c>
      <c r="AT827" t="s">
        <v>14799</v>
      </c>
      <c r="AU827">
        <v>2023</v>
      </c>
      <c r="AV827" t="s">
        <v>74</v>
      </c>
      <c r="AW827" t="s">
        <v>74</v>
      </c>
      <c r="AX827" t="s">
        <v>74</v>
      </c>
      <c r="AY827" t="s">
        <v>74</v>
      </c>
      <c r="AZ827" t="s">
        <v>74</v>
      </c>
      <c r="BA827" t="s">
        <v>74</v>
      </c>
      <c r="BB827" t="s">
        <v>74</v>
      </c>
      <c r="BC827" t="s">
        <v>74</v>
      </c>
      <c r="BD827" t="s">
        <v>74</v>
      </c>
      <c r="BE827" t="s">
        <v>14836</v>
      </c>
      <c r="BF827" t="str">
        <f>HYPERLINK("http://dx.doi.org/10.1080/1359866X.2023.2235304","http://dx.doi.org/10.1080/1359866X.2023.2235304")</f>
        <v>http://dx.doi.org/10.1080/1359866X.2023.2235304</v>
      </c>
      <c r="BG827" t="s">
        <v>74</v>
      </c>
      <c r="BH827" t="s">
        <v>12687</v>
      </c>
      <c r="BI827">
        <v>22</v>
      </c>
      <c r="BJ827" t="s">
        <v>271</v>
      </c>
      <c r="BK827" t="s">
        <v>272</v>
      </c>
      <c r="BL827" t="s">
        <v>271</v>
      </c>
      <c r="BM827" t="s">
        <v>14837</v>
      </c>
      <c r="BN827" t="s">
        <v>74</v>
      </c>
      <c r="BO827" t="s">
        <v>74</v>
      </c>
      <c r="BP827" t="s">
        <v>74</v>
      </c>
      <c r="BQ827" t="s">
        <v>74</v>
      </c>
      <c r="BR827" t="s">
        <v>105</v>
      </c>
      <c r="BS827" t="s">
        <v>14838</v>
      </c>
      <c r="BT827" t="str">
        <f>HYPERLINK("https%3A%2F%2Fwww.webofscience.com%2Fwos%2Fwoscc%2Ffull-record%2FWOS:001029190000001","View Full Record in Web of Science")</f>
        <v>View Full Record in Web of Science</v>
      </c>
    </row>
    <row r="828" spans="1:72" x14ac:dyDescent="0.15">
      <c r="A828" t="s">
        <v>72</v>
      </c>
      <c r="B828" t="s">
        <v>14839</v>
      </c>
      <c r="C828" t="s">
        <v>74</v>
      </c>
      <c r="D828" t="s">
        <v>74</v>
      </c>
      <c r="E828" t="s">
        <v>74</v>
      </c>
      <c r="F828" t="s">
        <v>14840</v>
      </c>
      <c r="G828" t="s">
        <v>74</v>
      </c>
      <c r="H828" t="s">
        <v>74</v>
      </c>
      <c r="I828" t="s">
        <v>14841</v>
      </c>
      <c r="J828" t="s">
        <v>14842</v>
      </c>
      <c r="K828" t="s">
        <v>74</v>
      </c>
      <c r="L828" t="s">
        <v>74</v>
      </c>
      <c r="M828" t="s">
        <v>78</v>
      </c>
      <c r="N828" t="s">
        <v>5492</v>
      </c>
      <c r="O828" t="s">
        <v>74</v>
      </c>
      <c r="P828" t="s">
        <v>74</v>
      </c>
      <c r="Q828" t="s">
        <v>74</v>
      </c>
      <c r="R828" t="s">
        <v>74</v>
      </c>
      <c r="S828" t="s">
        <v>74</v>
      </c>
      <c r="T828" t="s">
        <v>14843</v>
      </c>
      <c r="U828" t="s">
        <v>14844</v>
      </c>
      <c r="V828" t="s">
        <v>14845</v>
      </c>
      <c r="W828" t="s">
        <v>14846</v>
      </c>
      <c r="X828" t="s">
        <v>14847</v>
      </c>
      <c r="Y828" t="s">
        <v>14848</v>
      </c>
      <c r="Z828" t="s">
        <v>14849</v>
      </c>
      <c r="AA828" t="s">
        <v>14850</v>
      </c>
      <c r="AB828" t="s">
        <v>14851</v>
      </c>
      <c r="AC828" t="s">
        <v>74</v>
      </c>
      <c r="AD828" t="s">
        <v>74</v>
      </c>
      <c r="AE828" t="s">
        <v>74</v>
      </c>
      <c r="AF828" t="s">
        <v>74</v>
      </c>
      <c r="AG828">
        <v>27</v>
      </c>
      <c r="AH828">
        <v>0</v>
      </c>
      <c r="AI828">
        <v>0</v>
      </c>
      <c r="AJ828">
        <v>6</v>
      </c>
      <c r="AK828">
        <v>6</v>
      </c>
      <c r="AL828" t="s">
        <v>184</v>
      </c>
      <c r="AM828" t="s">
        <v>185</v>
      </c>
      <c r="AN828" t="s">
        <v>186</v>
      </c>
      <c r="AO828" t="s">
        <v>14852</v>
      </c>
      <c r="AP828" t="s">
        <v>14853</v>
      </c>
      <c r="AQ828" t="s">
        <v>74</v>
      </c>
      <c r="AR828" t="s">
        <v>14854</v>
      </c>
      <c r="AS828" t="s">
        <v>14855</v>
      </c>
      <c r="AT828" t="s">
        <v>14799</v>
      </c>
      <c r="AU828">
        <v>2023</v>
      </c>
      <c r="AV828" t="s">
        <v>74</v>
      </c>
      <c r="AW828" t="s">
        <v>74</v>
      </c>
      <c r="AX828" t="s">
        <v>74</v>
      </c>
      <c r="AY828" t="s">
        <v>74</v>
      </c>
      <c r="AZ828" t="s">
        <v>74</v>
      </c>
      <c r="BA828" t="s">
        <v>74</v>
      </c>
      <c r="BB828" t="s">
        <v>74</v>
      </c>
      <c r="BC828" t="s">
        <v>74</v>
      </c>
      <c r="BD828" t="s">
        <v>74</v>
      </c>
      <c r="BE828" t="s">
        <v>14856</v>
      </c>
      <c r="BF828" t="str">
        <f>HYPERLINK("http://dx.doi.org/10.1080/15472450.2023.2227959","http://dx.doi.org/10.1080/15472450.2023.2227959")</f>
        <v>http://dx.doi.org/10.1080/15472450.2023.2227959</v>
      </c>
      <c r="BG828" t="s">
        <v>74</v>
      </c>
      <c r="BH828" t="s">
        <v>12687</v>
      </c>
      <c r="BI828">
        <v>16</v>
      </c>
      <c r="BJ828" t="s">
        <v>10771</v>
      </c>
      <c r="BK828" t="s">
        <v>123</v>
      </c>
      <c r="BL828" t="s">
        <v>6006</v>
      </c>
      <c r="BM828" t="s">
        <v>14857</v>
      </c>
      <c r="BN828" t="s">
        <v>74</v>
      </c>
      <c r="BO828" t="s">
        <v>74</v>
      </c>
      <c r="BP828" t="s">
        <v>74</v>
      </c>
      <c r="BQ828" t="s">
        <v>74</v>
      </c>
      <c r="BR828" t="s">
        <v>105</v>
      </c>
      <c r="BS828" t="s">
        <v>14858</v>
      </c>
      <c r="BT828" t="str">
        <f>HYPERLINK("https%3A%2F%2Fwww.webofscience.com%2Fwos%2Fwoscc%2Ffull-record%2FWOS:001043576300001","View Full Record in Web of Science")</f>
        <v>View Full Record in Web of Science</v>
      </c>
    </row>
    <row r="829" spans="1:72" x14ac:dyDescent="0.15">
      <c r="A829" t="s">
        <v>72</v>
      </c>
      <c r="B829" t="s">
        <v>14859</v>
      </c>
      <c r="C829" t="s">
        <v>74</v>
      </c>
      <c r="D829" t="s">
        <v>74</v>
      </c>
      <c r="E829" t="s">
        <v>74</v>
      </c>
      <c r="F829" t="s">
        <v>14860</v>
      </c>
      <c r="G829" t="s">
        <v>74</v>
      </c>
      <c r="H829" t="s">
        <v>74</v>
      </c>
      <c r="I829" t="s">
        <v>14861</v>
      </c>
      <c r="J829" t="s">
        <v>11986</v>
      </c>
      <c r="K829" t="s">
        <v>74</v>
      </c>
      <c r="L829" t="s">
        <v>74</v>
      </c>
      <c r="M829" t="s">
        <v>78</v>
      </c>
      <c r="N829" t="s">
        <v>79</v>
      </c>
      <c r="O829" t="s">
        <v>74</v>
      </c>
      <c r="P829" t="s">
        <v>74</v>
      </c>
      <c r="Q829" t="s">
        <v>74</v>
      </c>
      <c r="R829" t="s">
        <v>74</v>
      </c>
      <c r="S829" t="s">
        <v>74</v>
      </c>
      <c r="T829" t="s">
        <v>74</v>
      </c>
      <c r="U829" t="s">
        <v>14862</v>
      </c>
      <c r="V829" t="s">
        <v>14863</v>
      </c>
      <c r="W829" t="s">
        <v>14864</v>
      </c>
      <c r="X829" t="s">
        <v>14865</v>
      </c>
      <c r="Y829" t="s">
        <v>14866</v>
      </c>
      <c r="Z829" t="s">
        <v>14867</v>
      </c>
      <c r="AA829" t="s">
        <v>74</v>
      </c>
      <c r="AB829" t="s">
        <v>74</v>
      </c>
      <c r="AC829" t="s">
        <v>14868</v>
      </c>
      <c r="AD829" t="s">
        <v>14869</v>
      </c>
      <c r="AE829" t="s">
        <v>14870</v>
      </c>
      <c r="AF829" t="s">
        <v>74</v>
      </c>
      <c r="AG829">
        <v>46</v>
      </c>
      <c r="AH829">
        <v>0</v>
      </c>
      <c r="AI829">
        <v>0</v>
      </c>
      <c r="AJ829">
        <v>1</v>
      </c>
      <c r="AK829">
        <v>1</v>
      </c>
      <c r="AL829" t="s">
        <v>1188</v>
      </c>
      <c r="AM829" t="s">
        <v>93</v>
      </c>
      <c r="AN829" t="s">
        <v>1189</v>
      </c>
      <c r="AO829" t="s">
        <v>11998</v>
      </c>
      <c r="AP829" t="s">
        <v>11999</v>
      </c>
      <c r="AQ829" t="s">
        <v>74</v>
      </c>
      <c r="AR829" t="s">
        <v>12000</v>
      </c>
      <c r="AS829" t="s">
        <v>12001</v>
      </c>
      <c r="AT829" t="s">
        <v>14871</v>
      </c>
      <c r="AU829">
        <v>2023</v>
      </c>
      <c r="AV829">
        <v>75</v>
      </c>
      <c r="AW829">
        <v>9</v>
      </c>
      <c r="AX829" t="s">
        <v>74</v>
      </c>
      <c r="AY829" t="s">
        <v>74</v>
      </c>
      <c r="AZ829" t="s">
        <v>74</v>
      </c>
      <c r="BA829" t="s">
        <v>74</v>
      </c>
      <c r="BB829">
        <v>1752</v>
      </c>
      <c r="BC829">
        <v>1767</v>
      </c>
      <c r="BD829" t="s">
        <v>74</v>
      </c>
      <c r="BE829" t="s">
        <v>14872</v>
      </c>
      <c r="BF829" t="str">
        <f>HYPERLINK("http://dx.doi.org/10.1080/01635581.2023.2237217","http://dx.doi.org/10.1080/01635581.2023.2237217")</f>
        <v>http://dx.doi.org/10.1080/01635581.2023.2237217</v>
      </c>
      <c r="BG829" t="s">
        <v>74</v>
      </c>
      <c r="BH829" t="s">
        <v>12687</v>
      </c>
      <c r="BI829">
        <v>16</v>
      </c>
      <c r="BJ829" t="s">
        <v>12003</v>
      </c>
      <c r="BK829" t="s">
        <v>102</v>
      </c>
      <c r="BL829" t="s">
        <v>12003</v>
      </c>
      <c r="BM829" t="s">
        <v>14873</v>
      </c>
      <c r="BN829">
        <v>37469169</v>
      </c>
      <c r="BO829" t="s">
        <v>887</v>
      </c>
      <c r="BP829" t="s">
        <v>74</v>
      </c>
      <c r="BQ829" t="s">
        <v>74</v>
      </c>
      <c r="BR829" t="s">
        <v>105</v>
      </c>
      <c r="BS829" t="s">
        <v>14874</v>
      </c>
      <c r="BT829" t="str">
        <f>HYPERLINK("https%3A%2F%2Fwww.webofscience.com%2Fwos%2Fwoscc%2Ffull-record%2FWOS:001029914900001","View Full Record in Web of Science")</f>
        <v>View Full Record in Web of Science</v>
      </c>
    </row>
    <row r="830" spans="1:72" x14ac:dyDescent="0.15">
      <c r="A830" t="s">
        <v>72</v>
      </c>
      <c r="B830" t="s">
        <v>14875</v>
      </c>
      <c r="C830" t="s">
        <v>74</v>
      </c>
      <c r="D830" t="s">
        <v>74</v>
      </c>
      <c r="E830" t="s">
        <v>74</v>
      </c>
      <c r="F830" t="s">
        <v>14876</v>
      </c>
      <c r="G830" t="s">
        <v>74</v>
      </c>
      <c r="H830" t="s">
        <v>74</v>
      </c>
      <c r="I830" t="s">
        <v>14877</v>
      </c>
      <c r="J830" t="s">
        <v>14878</v>
      </c>
      <c r="K830" t="s">
        <v>74</v>
      </c>
      <c r="L830" t="s">
        <v>74</v>
      </c>
      <c r="M830" t="s">
        <v>78</v>
      </c>
      <c r="N830" t="s">
        <v>5492</v>
      </c>
      <c r="O830" t="s">
        <v>74</v>
      </c>
      <c r="P830" t="s">
        <v>74</v>
      </c>
      <c r="Q830" t="s">
        <v>74</v>
      </c>
      <c r="R830" t="s">
        <v>74</v>
      </c>
      <c r="S830" t="s">
        <v>74</v>
      </c>
      <c r="T830" t="s">
        <v>14879</v>
      </c>
      <c r="U830" t="s">
        <v>14880</v>
      </c>
      <c r="V830" t="s">
        <v>14881</v>
      </c>
      <c r="W830" t="s">
        <v>14882</v>
      </c>
      <c r="X830" t="s">
        <v>14883</v>
      </c>
      <c r="Y830" t="s">
        <v>14884</v>
      </c>
      <c r="Z830" t="s">
        <v>14885</v>
      </c>
      <c r="AA830" t="s">
        <v>14886</v>
      </c>
      <c r="AB830" t="s">
        <v>14887</v>
      </c>
      <c r="AC830" t="s">
        <v>14888</v>
      </c>
      <c r="AD830" t="s">
        <v>14889</v>
      </c>
      <c r="AE830" t="s">
        <v>14890</v>
      </c>
      <c r="AF830" t="s">
        <v>74</v>
      </c>
      <c r="AG830">
        <v>83</v>
      </c>
      <c r="AH830">
        <v>0</v>
      </c>
      <c r="AI830">
        <v>0</v>
      </c>
      <c r="AJ830">
        <v>4</v>
      </c>
      <c r="AK830">
        <v>4</v>
      </c>
      <c r="AL830" t="s">
        <v>1188</v>
      </c>
      <c r="AM830" t="s">
        <v>93</v>
      </c>
      <c r="AN830" t="s">
        <v>1189</v>
      </c>
      <c r="AO830" t="s">
        <v>14891</v>
      </c>
      <c r="AP830" t="s">
        <v>14892</v>
      </c>
      <c r="AQ830" t="s">
        <v>74</v>
      </c>
      <c r="AR830" t="s">
        <v>14893</v>
      </c>
      <c r="AS830" t="s">
        <v>14894</v>
      </c>
      <c r="AT830" t="s">
        <v>14895</v>
      </c>
      <c r="AU830">
        <v>2023</v>
      </c>
      <c r="AV830" t="s">
        <v>74</v>
      </c>
      <c r="AW830" t="s">
        <v>74</v>
      </c>
      <c r="AX830" t="s">
        <v>74</v>
      </c>
      <c r="AY830" t="s">
        <v>74</v>
      </c>
      <c r="AZ830" t="s">
        <v>74</v>
      </c>
      <c r="BA830" t="s">
        <v>74</v>
      </c>
      <c r="BB830" t="s">
        <v>74</v>
      </c>
      <c r="BC830" t="s">
        <v>74</v>
      </c>
      <c r="BD830" t="s">
        <v>74</v>
      </c>
      <c r="BE830" t="s">
        <v>14896</v>
      </c>
      <c r="BF830" t="str">
        <f>HYPERLINK("http://dx.doi.org/10.1080/13645579.2023.2228600","http://dx.doi.org/10.1080/13645579.2023.2228600")</f>
        <v>http://dx.doi.org/10.1080/13645579.2023.2228600</v>
      </c>
      <c r="BG830" t="s">
        <v>74</v>
      </c>
      <c r="BH830" t="s">
        <v>12687</v>
      </c>
      <c r="BI830">
        <v>16</v>
      </c>
      <c r="BJ830" t="s">
        <v>396</v>
      </c>
      <c r="BK830" t="s">
        <v>272</v>
      </c>
      <c r="BL830" t="s">
        <v>397</v>
      </c>
      <c r="BM830" t="s">
        <v>14897</v>
      </c>
      <c r="BN830" t="s">
        <v>74</v>
      </c>
      <c r="BO830" t="s">
        <v>887</v>
      </c>
      <c r="BP830" t="s">
        <v>74</v>
      </c>
      <c r="BQ830" t="s">
        <v>74</v>
      </c>
      <c r="BR830" t="s">
        <v>105</v>
      </c>
      <c r="BS830" t="s">
        <v>14898</v>
      </c>
      <c r="BT830" t="str">
        <f>HYPERLINK("https%3A%2F%2Fwww.webofscience.com%2Fwos%2Fwoscc%2Ffull-record%2FWOS:001023897400001","View Full Record in Web of Science")</f>
        <v>View Full Record in Web of Science</v>
      </c>
    </row>
    <row r="831" spans="1:72" x14ac:dyDescent="0.15">
      <c r="A831" t="s">
        <v>72</v>
      </c>
      <c r="B831" t="s">
        <v>14899</v>
      </c>
      <c r="C831" t="s">
        <v>74</v>
      </c>
      <c r="D831" t="s">
        <v>74</v>
      </c>
      <c r="E831" t="s">
        <v>74</v>
      </c>
      <c r="F831" t="s">
        <v>14900</v>
      </c>
      <c r="G831" t="s">
        <v>74</v>
      </c>
      <c r="H831" t="s">
        <v>74</v>
      </c>
      <c r="I831" t="s">
        <v>14901</v>
      </c>
      <c r="J831" t="s">
        <v>14902</v>
      </c>
      <c r="K831" t="s">
        <v>74</v>
      </c>
      <c r="L831" t="s">
        <v>74</v>
      </c>
      <c r="M831" t="s">
        <v>78</v>
      </c>
      <c r="N831" t="s">
        <v>5492</v>
      </c>
      <c r="O831" t="s">
        <v>74</v>
      </c>
      <c r="P831" t="s">
        <v>74</v>
      </c>
      <c r="Q831" t="s">
        <v>74</v>
      </c>
      <c r="R831" t="s">
        <v>74</v>
      </c>
      <c r="S831" t="s">
        <v>74</v>
      </c>
      <c r="T831" t="s">
        <v>14903</v>
      </c>
      <c r="U831" t="s">
        <v>74</v>
      </c>
      <c r="V831" t="s">
        <v>14904</v>
      </c>
      <c r="W831" t="s">
        <v>14905</v>
      </c>
      <c r="X831" t="s">
        <v>14906</v>
      </c>
      <c r="Y831" t="s">
        <v>14907</v>
      </c>
      <c r="Z831" t="s">
        <v>14908</v>
      </c>
      <c r="AA831" t="s">
        <v>14909</v>
      </c>
      <c r="AB831" t="s">
        <v>14910</v>
      </c>
      <c r="AC831" t="s">
        <v>14911</v>
      </c>
      <c r="AD831" t="s">
        <v>14911</v>
      </c>
      <c r="AE831" t="s">
        <v>14912</v>
      </c>
      <c r="AF831" t="s">
        <v>74</v>
      </c>
      <c r="AG831">
        <v>36</v>
      </c>
      <c r="AH831">
        <v>0</v>
      </c>
      <c r="AI831">
        <v>0</v>
      </c>
      <c r="AJ831">
        <v>1</v>
      </c>
      <c r="AK831">
        <v>1</v>
      </c>
      <c r="AL831" t="s">
        <v>1188</v>
      </c>
      <c r="AM831" t="s">
        <v>93</v>
      </c>
      <c r="AN831" t="s">
        <v>1189</v>
      </c>
      <c r="AO831" t="s">
        <v>14913</v>
      </c>
      <c r="AP831" t="s">
        <v>14914</v>
      </c>
      <c r="AQ831" t="s">
        <v>74</v>
      </c>
      <c r="AR831" t="s">
        <v>14915</v>
      </c>
      <c r="AS831" t="s">
        <v>14916</v>
      </c>
      <c r="AT831" t="s">
        <v>14895</v>
      </c>
      <c r="AU831">
        <v>2023</v>
      </c>
      <c r="AV831" t="s">
        <v>74</v>
      </c>
      <c r="AW831" t="s">
        <v>74</v>
      </c>
      <c r="AX831" t="s">
        <v>74</v>
      </c>
      <c r="AY831" t="s">
        <v>74</v>
      </c>
      <c r="AZ831" t="s">
        <v>74</v>
      </c>
      <c r="BA831" t="s">
        <v>74</v>
      </c>
      <c r="BB831" t="s">
        <v>74</v>
      </c>
      <c r="BC831" t="s">
        <v>74</v>
      </c>
      <c r="BD831" t="s">
        <v>74</v>
      </c>
      <c r="BE831" t="s">
        <v>14917</v>
      </c>
      <c r="BF831" t="str">
        <f>HYPERLINK("http://dx.doi.org/10.1080/14681811.2023.2230445","http://dx.doi.org/10.1080/14681811.2023.2230445")</f>
        <v>http://dx.doi.org/10.1080/14681811.2023.2230445</v>
      </c>
      <c r="BG831" t="s">
        <v>74</v>
      </c>
      <c r="BH831" t="s">
        <v>12687</v>
      </c>
      <c r="BI831">
        <v>15</v>
      </c>
      <c r="BJ831" t="s">
        <v>14918</v>
      </c>
      <c r="BK831" t="s">
        <v>272</v>
      </c>
      <c r="BL831" t="s">
        <v>14918</v>
      </c>
      <c r="BM831" t="s">
        <v>14919</v>
      </c>
      <c r="BN831" t="s">
        <v>74</v>
      </c>
      <c r="BO831" t="s">
        <v>74</v>
      </c>
      <c r="BP831" t="s">
        <v>74</v>
      </c>
      <c r="BQ831" t="s">
        <v>74</v>
      </c>
      <c r="BR831" t="s">
        <v>105</v>
      </c>
      <c r="BS831" t="s">
        <v>14920</v>
      </c>
      <c r="BT831" t="str">
        <f>HYPERLINK("https%3A%2F%2Fwww.webofscience.com%2Fwos%2Fwoscc%2Ffull-record%2FWOS:001026376000001","View Full Record in Web of Science")</f>
        <v>View Full Record in Web of Science</v>
      </c>
    </row>
    <row r="832" spans="1:72" x14ac:dyDescent="0.15">
      <c r="A832" t="s">
        <v>72</v>
      </c>
      <c r="B832" t="s">
        <v>14921</v>
      </c>
      <c r="C832" t="s">
        <v>74</v>
      </c>
      <c r="D832" t="s">
        <v>74</v>
      </c>
      <c r="E832" t="s">
        <v>74</v>
      </c>
      <c r="F832" t="s">
        <v>14922</v>
      </c>
      <c r="G832" t="s">
        <v>74</v>
      </c>
      <c r="H832" t="s">
        <v>74</v>
      </c>
      <c r="I832" t="s">
        <v>14923</v>
      </c>
      <c r="J832" t="s">
        <v>14924</v>
      </c>
      <c r="K832" t="s">
        <v>74</v>
      </c>
      <c r="L832" t="s">
        <v>74</v>
      </c>
      <c r="M832" t="s">
        <v>78</v>
      </c>
      <c r="N832" t="s">
        <v>5492</v>
      </c>
      <c r="O832" t="s">
        <v>74</v>
      </c>
      <c r="P832" t="s">
        <v>74</v>
      </c>
      <c r="Q832" t="s">
        <v>74</v>
      </c>
      <c r="R832" t="s">
        <v>74</v>
      </c>
      <c r="S832" t="s">
        <v>74</v>
      </c>
      <c r="T832" t="s">
        <v>14925</v>
      </c>
      <c r="U832" t="s">
        <v>14926</v>
      </c>
      <c r="V832" t="s">
        <v>14927</v>
      </c>
      <c r="W832" t="s">
        <v>14928</v>
      </c>
      <c r="X832" t="s">
        <v>14929</v>
      </c>
      <c r="Y832" t="s">
        <v>14930</v>
      </c>
      <c r="Z832" t="s">
        <v>14931</v>
      </c>
      <c r="AA832" t="s">
        <v>74</v>
      </c>
      <c r="AB832" t="s">
        <v>74</v>
      </c>
      <c r="AC832" t="s">
        <v>14932</v>
      </c>
      <c r="AD832" t="s">
        <v>1368</v>
      </c>
      <c r="AE832" t="s">
        <v>14933</v>
      </c>
      <c r="AF832" t="s">
        <v>74</v>
      </c>
      <c r="AG832">
        <v>29</v>
      </c>
      <c r="AH832">
        <v>0</v>
      </c>
      <c r="AI832">
        <v>0</v>
      </c>
      <c r="AJ832">
        <v>0</v>
      </c>
      <c r="AK832">
        <v>0</v>
      </c>
      <c r="AL832" t="s">
        <v>92</v>
      </c>
      <c r="AM832" t="s">
        <v>93</v>
      </c>
      <c r="AN832" t="s">
        <v>94</v>
      </c>
      <c r="AO832" t="s">
        <v>14934</v>
      </c>
      <c r="AP832" t="s">
        <v>14935</v>
      </c>
      <c r="AQ832" t="s">
        <v>74</v>
      </c>
      <c r="AR832" t="s">
        <v>14936</v>
      </c>
      <c r="AS832" t="s">
        <v>14937</v>
      </c>
      <c r="AT832" t="s">
        <v>14895</v>
      </c>
      <c r="AU832">
        <v>2023</v>
      </c>
      <c r="AV832" t="s">
        <v>74</v>
      </c>
      <c r="AW832" t="s">
        <v>74</v>
      </c>
      <c r="AX832" t="s">
        <v>74</v>
      </c>
      <c r="AY832" t="s">
        <v>74</v>
      </c>
      <c r="AZ832" t="s">
        <v>74</v>
      </c>
      <c r="BA832" t="s">
        <v>74</v>
      </c>
      <c r="BB832" t="s">
        <v>74</v>
      </c>
      <c r="BC832" t="s">
        <v>74</v>
      </c>
      <c r="BD832" t="s">
        <v>74</v>
      </c>
      <c r="BE832" t="s">
        <v>14938</v>
      </c>
      <c r="BF832" t="str">
        <f>HYPERLINK("http://dx.doi.org/10.2989/16073606.2023.2169205","http://dx.doi.org/10.2989/16073606.2023.2169205")</f>
        <v>http://dx.doi.org/10.2989/16073606.2023.2169205</v>
      </c>
      <c r="BG832" t="s">
        <v>74</v>
      </c>
      <c r="BH832" t="s">
        <v>12687</v>
      </c>
      <c r="BI832">
        <v>10</v>
      </c>
      <c r="BJ832" t="s">
        <v>5435</v>
      </c>
      <c r="BK832" t="s">
        <v>102</v>
      </c>
      <c r="BL832" t="s">
        <v>5435</v>
      </c>
      <c r="BM832" t="s">
        <v>14939</v>
      </c>
      <c r="BN832" t="s">
        <v>74</v>
      </c>
      <c r="BO832" t="s">
        <v>74</v>
      </c>
      <c r="BP832" t="s">
        <v>74</v>
      </c>
      <c r="BQ832" t="s">
        <v>74</v>
      </c>
      <c r="BR832" t="s">
        <v>105</v>
      </c>
      <c r="BS832" t="s">
        <v>14940</v>
      </c>
      <c r="BT832" t="str">
        <f>HYPERLINK("https%3A%2F%2Fwww.webofscience.com%2Fwos%2Fwoscc%2Ffull-record%2FWOS:001030517700001","View Full Record in Web of Science")</f>
        <v>View Full Record in Web of Science</v>
      </c>
    </row>
    <row r="833" spans="1:72" x14ac:dyDescent="0.15">
      <c r="A833" t="s">
        <v>72</v>
      </c>
      <c r="B833" t="s">
        <v>14941</v>
      </c>
      <c r="C833" t="s">
        <v>74</v>
      </c>
      <c r="D833" t="s">
        <v>74</v>
      </c>
      <c r="E833" t="s">
        <v>74</v>
      </c>
      <c r="F833" t="s">
        <v>14942</v>
      </c>
      <c r="G833" t="s">
        <v>74</v>
      </c>
      <c r="H833" t="s">
        <v>74</v>
      </c>
      <c r="I833" t="s">
        <v>14943</v>
      </c>
      <c r="J833" t="s">
        <v>8246</v>
      </c>
      <c r="K833" t="s">
        <v>74</v>
      </c>
      <c r="L833" t="s">
        <v>74</v>
      </c>
      <c r="M833" t="s">
        <v>78</v>
      </c>
      <c r="N833" t="s">
        <v>5492</v>
      </c>
      <c r="O833" t="s">
        <v>74</v>
      </c>
      <c r="P833" t="s">
        <v>74</v>
      </c>
      <c r="Q833" t="s">
        <v>74</v>
      </c>
      <c r="R833" t="s">
        <v>74</v>
      </c>
      <c r="S833" t="s">
        <v>74</v>
      </c>
      <c r="T833" t="s">
        <v>14944</v>
      </c>
      <c r="U833" t="s">
        <v>14945</v>
      </c>
      <c r="V833" t="s">
        <v>14946</v>
      </c>
      <c r="W833" t="s">
        <v>14947</v>
      </c>
      <c r="X833" t="s">
        <v>14948</v>
      </c>
      <c r="Y833" t="s">
        <v>14949</v>
      </c>
      <c r="Z833" t="s">
        <v>14950</v>
      </c>
      <c r="AA833" t="s">
        <v>74</v>
      </c>
      <c r="AB833" t="s">
        <v>74</v>
      </c>
      <c r="AC833" t="s">
        <v>14951</v>
      </c>
      <c r="AD833" t="s">
        <v>14952</v>
      </c>
      <c r="AE833" t="s">
        <v>14953</v>
      </c>
      <c r="AF833" t="s">
        <v>74</v>
      </c>
      <c r="AG833">
        <v>54</v>
      </c>
      <c r="AH833">
        <v>0</v>
      </c>
      <c r="AI833">
        <v>0</v>
      </c>
      <c r="AJ833">
        <v>1</v>
      </c>
      <c r="AK833">
        <v>1</v>
      </c>
      <c r="AL833" t="s">
        <v>92</v>
      </c>
      <c r="AM833" t="s">
        <v>93</v>
      </c>
      <c r="AN833" t="s">
        <v>94</v>
      </c>
      <c r="AO833" t="s">
        <v>8256</v>
      </c>
      <c r="AP833" t="s">
        <v>8257</v>
      </c>
      <c r="AQ833" t="s">
        <v>74</v>
      </c>
      <c r="AR833" t="s">
        <v>8258</v>
      </c>
      <c r="AS833" t="s">
        <v>8259</v>
      </c>
      <c r="AT833" t="s">
        <v>14895</v>
      </c>
      <c r="AU833">
        <v>2023</v>
      </c>
      <c r="AV833" t="s">
        <v>74</v>
      </c>
      <c r="AW833" t="s">
        <v>74</v>
      </c>
      <c r="AX833" t="s">
        <v>74</v>
      </c>
      <c r="AY833" t="s">
        <v>74</v>
      </c>
      <c r="AZ833" t="s">
        <v>74</v>
      </c>
      <c r="BA833" t="s">
        <v>74</v>
      </c>
      <c r="BB833" t="s">
        <v>74</v>
      </c>
      <c r="BC833" t="s">
        <v>74</v>
      </c>
      <c r="BD833" t="s">
        <v>74</v>
      </c>
      <c r="BE833" t="s">
        <v>14954</v>
      </c>
      <c r="BF833" t="str">
        <f>HYPERLINK("http://dx.doi.org/10.1080/10255842.2023.2236747","http://dx.doi.org/10.1080/10255842.2023.2236747")</f>
        <v>http://dx.doi.org/10.1080/10255842.2023.2236747</v>
      </c>
      <c r="BG833" t="s">
        <v>74</v>
      </c>
      <c r="BH833" t="s">
        <v>12687</v>
      </c>
      <c r="BI833">
        <v>14</v>
      </c>
      <c r="BJ833" t="s">
        <v>8261</v>
      </c>
      <c r="BK833" t="s">
        <v>102</v>
      </c>
      <c r="BL833" t="s">
        <v>1556</v>
      </c>
      <c r="BM833" t="s">
        <v>14955</v>
      </c>
      <c r="BN833">
        <v>37458327</v>
      </c>
      <c r="BO833" t="s">
        <v>74</v>
      </c>
      <c r="BP833" t="s">
        <v>74</v>
      </c>
      <c r="BQ833" t="s">
        <v>74</v>
      </c>
      <c r="BR833" t="s">
        <v>105</v>
      </c>
      <c r="BS833" t="s">
        <v>14956</v>
      </c>
      <c r="BT833" t="str">
        <f>HYPERLINK("https%3A%2F%2Fwww.webofscience.com%2Fwos%2Fwoscc%2Ffull-record%2FWOS:001029146200001","View Full Record in Web of Science")</f>
        <v>View Full Record in Web of Science</v>
      </c>
    </row>
    <row r="834" spans="1:72" x14ac:dyDescent="0.15">
      <c r="A834" t="s">
        <v>72</v>
      </c>
      <c r="B834" t="s">
        <v>14957</v>
      </c>
      <c r="C834" t="s">
        <v>74</v>
      </c>
      <c r="D834" t="s">
        <v>74</v>
      </c>
      <c r="E834" t="s">
        <v>74</v>
      </c>
      <c r="F834" t="s">
        <v>14958</v>
      </c>
      <c r="G834" t="s">
        <v>74</v>
      </c>
      <c r="H834" t="s">
        <v>74</v>
      </c>
      <c r="I834" t="s">
        <v>14959</v>
      </c>
      <c r="J834" t="s">
        <v>14960</v>
      </c>
      <c r="K834" t="s">
        <v>74</v>
      </c>
      <c r="L834" t="s">
        <v>74</v>
      </c>
      <c r="M834" t="s">
        <v>78</v>
      </c>
      <c r="N834" t="s">
        <v>79</v>
      </c>
      <c r="O834" t="s">
        <v>74</v>
      </c>
      <c r="P834" t="s">
        <v>74</v>
      </c>
      <c r="Q834" t="s">
        <v>74</v>
      </c>
      <c r="R834" t="s">
        <v>74</v>
      </c>
      <c r="S834" t="s">
        <v>74</v>
      </c>
      <c r="T834" t="s">
        <v>14961</v>
      </c>
      <c r="U834" t="s">
        <v>14962</v>
      </c>
      <c r="V834" t="s">
        <v>14963</v>
      </c>
      <c r="W834" t="s">
        <v>14964</v>
      </c>
      <c r="X834" t="s">
        <v>14965</v>
      </c>
      <c r="Y834" t="s">
        <v>14966</v>
      </c>
      <c r="Z834" t="s">
        <v>14967</v>
      </c>
      <c r="AA834" t="s">
        <v>74</v>
      </c>
      <c r="AB834" t="s">
        <v>74</v>
      </c>
      <c r="AC834" t="s">
        <v>74</v>
      </c>
      <c r="AD834" t="s">
        <v>74</v>
      </c>
      <c r="AE834" t="s">
        <v>74</v>
      </c>
      <c r="AF834" t="s">
        <v>74</v>
      </c>
      <c r="AG834">
        <v>33</v>
      </c>
      <c r="AH834">
        <v>0</v>
      </c>
      <c r="AI834">
        <v>0</v>
      </c>
      <c r="AJ834">
        <v>0</v>
      </c>
      <c r="AK834">
        <v>0</v>
      </c>
      <c r="AL834" t="s">
        <v>92</v>
      </c>
      <c r="AM834" t="s">
        <v>93</v>
      </c>
      <c r="AN834" t="s">
        <v>94</v>
      </c>
      <c r="AO834" t="s">
        <v>14968</v>
      </c>
      <c r="AP834" t="s">
        <v>14969</v>
      </c>
      <c r="AQ834" t="s">
        <v>74</v>
      </c>
      <c r="AR834" t="s">
        <v>14960</v>
      </c>
      <c r="AS834" t="s">
        <v>14970</v>
      </c>
      <c r="AT834" t="s">
        <v>9731</v>
      </c>
      <c r="AU834">
        <v>2023</v>
      </c>
      <c r="AV834">
        <v>53</v>
      </c>
      <c r="AW834">
        <v>4</v>
      </c>
      <c r="AX834" t="s">
        <v>74</v>
      </c>
      <c r="AY834" t="s">
        <v>74</v>
      </c>
      <c r="AZ834" t="s">
        <v>74</v>
      </c>
      <c r="BA834" t="s">
        <v>74</v>
      </c>
      <c r="BB834">
        <v>288</v>
      </c>
      <c r="BC834">
        <v>308</v>
      </c>
      <c r="BD834" t="s">
        <v>74</v>
      </c>
      <c r="BE834" t="s">
        <v>14971</v>
      </c>
      <c r="BF834" t="str">
        <f>HYPERLINK("http://dx.doi.org/10.1080/00498254.2023.2230490","http://dx.doi.org/10.1080/00498254.2023.2230490")</f>
        <v>http://dx.doi.org/10.1080/00498254.2023.2230490</v>
      </c>
      <c r="BG834" t="s">
        <v>74</v>
      </c>
      <c r="BH834" t="s">
        <v>12687</v>
      </c>
      <c r="BI834">
        <v>21</v>
      </c>
      <c r="BJ834" t="s">
        <v>14972</v>
      </c>
      <c r="BK834" t="s">
        <v>102</v>
      </c>
      <c r="BL834" t="s">
        <v>14972</v>
      </c>
      <c r="BM834" t="s">
        <v>14973</v>
      </c>
      <c r="BN834">
        <v>37376730</v>
      </c>
      <c r="BO834" t="s">
        <v>74</v>
      </c>
      <c r="BP834" t="s">
        <v>74</v>
      </c>
      <c r="BQ834" t="s">
        <v>74</v>
      </c>
      <c r="BR834" t="s">
        <v>105</v>
      </c>
      <c r="BS834" t="s">
        <v>14974</v>
      </c>
      <c r="BT834" t="str">
        <f>HYPERLINK("https%3A%2F%2Fwww.webofscience.com%2Fwos%2Fwoscc%2Ffull-record%2FWOS:001025253400001","View Full Record in Web of Science")</f>
        <v>View Full Record in Web of Science</v>
      </c>
    </row>
    <row r="835" spans="1:72" x14ac:dyDescent="0.15">
      <c r="A835" t="s">
        <v>72</v>
      </c>
      <c r="B835" t="s">
        <v>14975</v>
      </c>
      <c r="C835" t="s">
        <v>74</v>
      </c>
      <c r="D835" t="s">
        <v>74</v>
      </c>
      <c r="E835" t="s">
        <v>74</v>
      </c>
      <c r="F835" t="s">
        <v>14976</v>
      </c>
      <c r="G835" t="s">
        <v>74</v>
      </c>
      <c r="H835" t="s">
        <v>74</v>
      </c>
      <c r="I835" t="s">
        <v>14977</v>
      </c>
      <c r="J835" t="s">
        <v>14978</v>
      </c>
      <c r="K835" t="s">
        <v>74</v>
      </c>
      <c r="L835" t="s">
        <v>74</v>
      </c>
      <c r="M835" t="s">
        <v>78</v>
      </c>
      <c r="N835" t="s">
        <v>5492</v>
      </c>
      <c r="O835" t="s">
        <v>74</v>
      </c>
      <c r="P835" t="s">
        <v>74</v>
      </c>
      <c r="Q835" t="s">
        <v>74</v>
      </c>
      <c r="R835" t="s">
        <v>74</v>
      </c>
      <c r="S835" t="s">
        <v>74</v>
      </c>
      <c r="T835" t="s">
        <v>14979</v>
      </c>
      <c r="U835" t="s">
        <v>14980</v>
      </c>
      <c r="V835" t="s">
        <v>14981</v>
      </c>
      <c r="W835" t="s">
        <v>14982</v>
      </c>
      <c r="X835" t="s">
        <v>14983</v>
      </c>
      <c r="Y835" t="s">
        <v>14984</v>
      </c>
      <c r="Z835" t="s">
        <v>14985</v>
      </c>
      <c r="AA835" t="s">
        <v>74</v>
      </c>
      <c r="AB835" t="s">
        <v>14986</v>
      </c>
      <c r="AC835" t="s">
        <v>14987</v>
      </c>
      <c r="AD835" t="s">
        <v>14988</v>
      </c>
      <c r="AE835" t="s">
        <v>14989</v>
      </c>
      <c r="AF835" t="s">
        <v>74</v>
      </c>
      <c r="AG835">
        <v>35</v>
      </c>
      <c r="AH835">
        <v>0</v>
      </c>
      <c r="AI835">
        <v>0</v>
      </c>
      <c r="AJ835">
        <v>1</v>
      </c>
      <c r="AK835">
        <v>1</v>
      </c>
      <c r="AL835" t="s">
        <v>92</v>
      </c>
      <c r="AM835" t="s">
        <v>93</v>
      </c>
      <c r="AN835" t="s">
        <v>94</v>
      </c>
      <c r="AO835" t="s">
        <v>14990</v>
      </c>
      <c r="AP835" t="s">
        <v>14991</v>
      </c>
      <c r="AQ835" t="s">
        <v>74</v>
      </c>
      <c r="AR835" t="s">
        <v>14992</v>
      </c>
      <c r="AS835" t="s">
        <v>14993</v>
      </c>
      <c r="AT835" t="s">
        <v>14895</v>
      </c>
      <c r="AU835">
        <v>2023</v>
      </c>
      <c r="AV835" t="s">
        <v>74</v>
      </c>
      <c r="AW835" t="s">
        <v>74</v>
      </c>
      <c r="AX835" t="s">
        <v>74</v>
      </c>
      <c r="AY835" t="s">
        <v>74</v>
      </c>
      <c r="AZ835" t="s">
        <v>74</v>
      </c>
      <c r="BA835" t="s">
        <v>74</v>
      </c>
      <c r="BB835" t="s">
        <v>74</v>
      </c>
      <c r="BC835" t="s">
        <v>74</v>
      </c>
      <c r="BD835" t="s">
        <v>74</v>
      </c>
      <c r="BE835" t="s">
        <v>14994</v>
      </c>
      <c r="BF835" t="str">
        <f>HYPERLINK("http://dx.doi.org/10.1080/20426445.2023.2232653","http://dx.doi.org/10.1080/20426445.2023.2232653")</f>
        <v>http://dx.doi.org/10.1080/20426445.2023.2232653</v>
      </c>
      <c r="BG835" t="s">
        <v>74</v>
      </c>
      <c r="BH835" t="s">
        <v>12687</v>
      </c>
      <c r="BI835">
        <v>7</v>
      </c>
      <c r="BJ835" t="s">
        <v>14995</v>
      </c>
      <c r="BK835" t="s">
        <v>211</v>
      </c>
      <c r="BL835" t="s">
        <v>1594</v>
      </c>
      <c r="BM835" t="s">
        <v>14996</v>
      </c>
      <c r="BN835" t="s">
        <v>74</v>
      </c>
      <c r="BO835" t="s">
        <v>74</v>
      </c>
      <c r="BP835" t="s">
        <v>74</v>
      </c>
      <c r="BQ835" t="s">
        <v>74</v>
      </c>
      <c r="BR835" t="s">
        <v>105</v>
      </c>
      <c r="BS835" t="s">
        <v>14997</v>
      </c>
      <c r="BT835" t="str">
        <f>HYPERLINK("https%3A%2F%2Fwww.webofscience.com%2Fwos%2Fwoscc%2Ffull-record%2FWOS:001024607000001","View Full Record in Web of Science")</f>
        <v>View Full Record in Web of Science</v>
      </c>
    </row>
    <row r="836" spans="1:72" x14ac:dyDescent="0.15">
      <c r="A836" t="s">
        <v>72</v>
      </c>
      <c r="B836" t="s">
        <v>14998</v>
      </c>
      <c r="C836" t="s">
        <v>74</v>
      </c>
      <c r="D836" t="s">
        <v>74</v>
      </c>
      <c r="E836" t="s">
        <v>74</v>
      </c>
      <c r="F836" t="s">
        <v>14999</v>
      </c>
      <c r="G836" t="s">
        <v>74</v>
      </c>
      <c r="H836" t="s">
        <v>74</v>
      </c>
      <c r="I836" t="s">
        <v>15000</v>
      </c>
      <c r="J836" t="s">
        <v>11902</v>
      </c>
      <c r="K836" t="s">
        <v>74</v>
      </c>
      <c r="L836" t="s">
        <v>74</v>
      </c>
      <c r="M836" t="s">
        <v>78</v>
      </c>
      <c r="N836" t="s">
        <v>5492</v>
      </c>
      <c r="O836" t="s">
        <v>74</v>
      </c>
      <c r="P836" t="s">
        <v>74</v>
      </c>
      <c r="Q836" t="s">
        <v>74</v>
      </c>
      <c r="R836" t="s">
        <v>74</v>
      </c>
      <c r="S836" t="s">
        <v>74</v>
      </c>
      <c r="T836" t="s">
        <v>15001</v>
      </c>
      <c r="U836" t="s">
        <v>15002</v>
      </c>
      <c r="V836" t="s">
        <v>15003</v>
      </c>
      <c r="W836" t="s">
        <v>15004</v>
      </c>
      <c r="X836" t="s">
        <v>15005</v>
      </c>
      <c r="Y836" t="s">
        <v>15006</v>
      </c>
      <c r="Z836" t="s">
        <v>15007</v>
      </c>
      <c r="AA836" t="s">
        <v>74</v>
      </c>
      <c r="AB836" t="s">
        <v>74</v>
      </c>
      <c r="AC836" t="s">
        <v>15008</v>
      </c>
      <c r="AD836" t="s">
        <v>1368</v>
      </c>
      <c r="AE836" t="s">
        <v>15009</v>
      </c>
      <c r="AF836" t="s">
        <v>74</v>
      </c>
      <c r="AG836">
        <v>31</v>
      </c>
      <c r="AH836">
        <v>0</v>
      </c>
      <c r="AI836">
        <v>0</v>
      </c>
      <c r="AJ836">
        <v>3</v>
      </c>
      <c r="AK836">
        <v>3</v>
      </c>
      <c r="AL836" t="s">
        <v>184</v>
      </c>
      <c r="AM836" t="s">
        <v>185</v>
      </c>
      <c r="AN836" t="s">
        <v>186</v>
      </c>
      <c r="AO836" t="s">
        <v>11911</v>
      </c>
      <c r="AP836" t="s">
        <v>11912</v>
      </c>
      <c r="AQ836" t="s">
        <v>74</v>
      </c>
      <c r="AR836" t="s">
        <v>11913</v>
      </c>
      <c r="AS836" t="s">
        <v>11914</v>
      </c>
      <c r="AT836" t="s">
        <v>14895</v>
      </c>
      <c r="AU836">
        <v>2023</v>
      </c>
      <c r="AV836" t="s">
        <v>74</v>
      </c>
      <c r="AW836" t="s">
        <v>74</v>
      </c>
      <c r="AX836" t="s">
        <v>74</v>
      </c>
      <c r="AY836" t="s">
        <v>74</v>
      </c>
      <c r="AZ836" t="s">
        <v>74</v>
      </c>
      <c r="BA836" t="s">
        <v>74</v>
      </c>
      <c r="BB836" t="s">
        <v>74</v>
      </c>
      <c r="BC836" t="s">
        <v>74</v>
      </c>
      <c r="BD836" t="s">
        <v>74</v>
      </c>
      <c r="BE836" t="s">
        <v>15010</v>
      </c>
      <c r="BF836" t="str">
        <f>HYPERLINK("http://dx.doi.org/10.1080/15376494.2023.2236610","http://dx.doi.org/10.1080/15376494.2023.2236610")</f>
        <v>http://dx.doi.org/10.1080/15376494.2023.2236610</v>
      </c>
      <c r="BG836" t="s">
        <v>74</v>
      </c>
      <c r="BH836" t="s">
        <v>12687</v>
      </c>
      <c r="BI836">
        <v>10</v>
      </c>
      <c r="BJ836" t="s">
        <v>11916</v>
      </c>
      <c r="BK836" t="s">
        <v>102</v>
      </c>
      <c r="BL836" t="s">
        <v>11917</v>
      </c>
      <c r="BM836" t="s">
        <v>15011</v>
      </c>
      <c r="BN836" t="s">
        <v>74</v>
      </c>
      <c r="BO836" t="s">
        <v>74</v>
      </c>
      <c r="BP836" t="s">
        <v>74</v>
      </c>
      <c r="BQ836" t="s">
        <v>74</v>
      </c>
      <c r="BR836" t="s">
        <v>105</v>
      </c>
      <c r="BS836" t="s">
        <v>15012</v>
      </c>
      <c r="BT836" t="str">
        <f>HYPERLINK("https%3A%2F%2Fwww.webofscience.com%2Fwos%2Fwoscc%2Ffull-record%2FWOS:001037280100001","View Full Record in Web of Science")</f>
        <v>View Full Record in Web of Science</v>
      </c>
    </row>
    <row r="837" spans="1:72" x14ac:dyDescent="0.15">
      <c r="A837" t="s">
        <v>72</v>
      </c>
      <c r="B837" t="s">
        <v>15013</v>
      </c>
      <c r="C837" t="s">
        <v>74</v>
      </c>
      <c r="D837" t="s">
        <v>74</v>
      </c>
      <c r="E837" t="s">
        <v>74</v>
      </c>
      <c r="F837" t="s">
        <v>15014</v>
      </c>
      <c r="G837" t="s">
        <v>74</v>
      </c>
      <c r="H837" t="s">
        <v>74</v>
      </c>
      <c r="I837" t="s">
        <v>15015</v>
      </c>
      <c r="J837" t="s">
        <v>15016</v>
      </c>
      <c r="K837" t="s">
        <v>74</v>
      </c>
      <c r="L837" t="s">
        <v>74</v>
      </c>
      <c r="M837" t="s">
        <v>78</v>
      </c>
      <c r="N837" t="s">
        <v>3443</v>
      </c>
      <c r="O837" t="s">
        <v>74</v>
      </c>
      <c r="P837" t="s">
        <v>74</v>
      </c>
      <c r="Q837" t="s">
        <v>74</v>
      </c>
      <c r="R837" t="s">
        <v>74</v>
      </c>
      <c r="S837" t="s">
        <v>74</v>
      </c>
      <c r="T837" t="s">
        <v>74</v>
      </c>
      <c r="U837" t="s">
        <v>74</v>
      </c>
      <c r="V837" t="s">
        <v>74</v>
      </c>
      <c r="W837" t="s">
        <v>15017</v>
      </c>
      <c r="X837" t="s">
        <v>15018</v>
      </c>
      <c r="Y837" t="s">
        <v>15019</v>
      </c>
      <c r="Z837" t="s">
        <v>74</v>
      </c>
      <c r="AA837" t="s">
        <v>74</v>
      </c>
      <c r="AB837" t="s">
        <v>74</v>
      </c>
      <c r="AC837" t="s">
        <v>74</v>
      </c>
      <c r="AD837" t="s">
        <v>74</v>
      </c>
      <c r="AE837" t="s">
        <v>74</v>
      </c>
      <c r="AF837" t="s">
        <v>74</v>
      </c>
      <c r="AG837">
        <v>7</v>
      </c>
      <c r="AH837">
        <v>0</v>
      </c>
      <c r="AI837">
        <v>0</v>
      </c>
      <c r="AJ837">
        <v>0</v>
      </c>
      <c r="AK837">
        <v>0</v>
      </c>
      <c r="AL837" t="s">
        <v>1188</v>
      </c>
      <c r="AM837" t="s">
        <v>93</v>
      </c>
      <c r="AN837" t="s">
        <v>1189</v>
      </c>
      <c r="AO837" t="s">
        <v>15020</v>
      </c>
      <c r="AP837" t="s">
        <v>15021</v>
      </c>
      <c r="AQ837" t="s">
        <v>74</v>
      </c>
      <c r="AR837" t="s">
        <v>15022</v>
      </c>
      <c r="AS837" t="s">
        <v>15023</v>
      </c>
      <c r="AT837" t="s">
        <v>11328</v>
      </c>
      <c r="AU837">
        <v>2023</v>
      </c>
      <c r="AV837">
        <v>28</v>
      </c>
      <c r="AW837">
        <v>4</v>
      </c>
      <c r="AX837" t="s">
        <v>74</v>
      </c>
      <c r="AY837" t="s">
        <v>74</v>
      </c>
      <c r="AZ837" t="s">
        <v>5344</v>
      </c>
      <c r="BA837" t="s">
        <v>74</v>
      </c>
      <c r="BB837">
        <v>505</v>
      </c>
      <c r="BC837">
        <v>507</v>
      </c>
      <c r="BD837" t="s">
        <v>74</v>
      </c>
      <c r="BE837" t="s">
        <v>15024</v>
      </c>
      <c r="BF837" t="str">
        <f>HYPERLINK("http://dx.doi.org/10.1080/1354571X.2023.2228108","http://dx.doi.org/10.1080/1354571X.2023.2228108")</f>
        <v>http://dx.doi.org/10.1080/1354571X.2023.2228108</v>
      </c>
      <c r="BG837" t="s">
        <v>74</v>
      </c>
      <c r="BH837" t="s">
        <v>12687</v>
      </c>
      <c r="BI837">
        <v>3</v>
      </c>
      <c r="BJ837" t="s">
        <v>6263</v>
      </c>
      <c r="BK837" t="s">
        <v>7170</v>
      </c>
      <c r="BL837" t="s">
        <v>6263</v>
      </c>
      <c r="BM837" t="s">
        <v>15025</v>
      </c>
      <c r="BN837" t="s">
        <v>74</v>
      </c>
      <c r="BO837" t="s">
        <v>74</v>
      </c>
      <c r="BP837" t="s">
        <v>74</v>
      </c>
      <c r="BQ837" t="s">
        <v>74</v>
      </c>
      <c r="BR837" t="s">
        <v>105</v>
      </c>
      <c r="BS837" t="s">
        <v>15026</v>
      </c>
      <c r="BT837" t="str">
        <f>HYPERLINK("https%3A%2F%2Fwww.webofscience.com%2Fwos%2Fwoscc%2Ffull-record%2FWOS:001029410300001","View Full Record in Web of Science")</f>
        <v>View Full Record in Web of Science</v>
      </c>
    </row>
    <row r="838" spans="1:72" x14ac:dyDescent="0.15">
      <c r="A838" t="s">
        <v>72</v>
      </c>
      <c r="B838" t="s">
        <v>15027</v>
      </c>
      <c r="C838" t="s">
        <v>74</v>
      </c>
      <c r="D838" t="s">
        <v>74</v>
      </c>
      <c r="E838" t="s">
        <v>74</v>
      </c>
      <c r="F838" t="s">
        <v>15028</v>
      </c>
      <c r="G838" t="s">
        <v>74</v>
      </c>
      <c r="H838" t="s">
        <v>74</v>
      </c>
      <c r="I838" t="s">
        <v>15029</v>
      </c>
      <c r="J838" t="s">
        <v>15030</v>
      </c>
      <c r="K838" t="s">
        <v>74</v>
      </c>
      <c r="L838" t="s">
        <v>74</v>
      </c>
      <c r="M838" t="s">
        <v>78</v>
      </c>
      <c r="N838" t="s">
        <v>5492</v>
      </c>
      <c r="O838" t="s">
        <v>74</v>
      </c>
      <c r="P838" t="s">
        <v>74</v>
      </c>
      <c r="Q838" t="s">
        <v>74</v>
      </c>
      <c r="R838" t="s">
        <v>74</v>
      </c>
      <c r="S838" t="s">
        <v>74</v>
      </c>
      <c r="T838" t="s">
        <v>15031</v>
      </c>
      <c r="U838" t="s">
        <v>15032</v>
      </c>
      <c r="V838" t="s">
        <v>15033</v>
      </c>
      <c r="W838" t="s">
        <v>15034</v>
      </c>
      <c r="X838" t="s">
        <v>15035</v>
      </c>
      <c r="Y838" t="s">
        <v>15036</v>
      </c>
      <c r="Z838" t="s">
        <v>15037</v>
      </c>
      <c r="AA838" t="s">
        <v>74</v>
      </c>
      <c r="AB838" t="s">
        <v>15038</v>
      </c>
      <c r="AC838" t="s">
        <v>74</v>
      </c>
      <c r="AD838" t="s">
        <v>74</v>
      </c>
      <c r="AE838" t="s">
        <v>74</v>
      </c>
      <c r="AF838" t="s">
        <v>74</v>
      </c>
      <c r="AG838">
        <v>48</v>
      </c>
      <c r="AH838">
        <v>0</v>
      </c>
      <c r="AI838">
        <v>0</v>
      </c>
      <c r="AJ838">
        <v>0</v>
      </c>
      <c r="AK838">
        <v>0</v>
      </c>
      <c r="AL838" t="s">
        <v>92</v>
      </c>
      <c r="AM838" t="s">
        <v>93</v>
      </c>
      <c r="AN838" t="s">
        <v>94</v>
      </c>
      <c r="AO838" t="s">
        <v>15039</v>
      </c>
      <c r="AP838" t="s">
        <v>15040</v>
      </c>
      <c r="AQ838" t="s">
        <v>74</v>
      </c>
      <c r="AR838" t="s">
        <v>15041</v>
      </c>
      <c r="AS838" t="s">
        <v>15042</v>
      </c>
      <c r="AT838" t="s">
        <v>14895</v>
      </c>
      <c r="AU838">
        <v>2023</v>
      </c>
      <c r="AV838" t="s">
        <v>74</v>
      </c>
      <c r="AW838" t="s">
        <v>74</v>
      </c>
      <c r="AX838" t="s">
        <v>74</v>
      </c>
      <c r="AY838" t="s">
        <v>74</v>
      </c>
      <c r="AZ838" t="s">
        <v>74</v>
      </c>
      <c r="BA838" t="s">
        <v>74</v>
      </c>
      <c r="BB838" t="s">
        <v>74</v>
      </c>
      <c r="BC838" t="s">
        <v>74</v>
      </c>
      <c r="BD838" t="s">
        <v>74</v>
      </c>
      <c r="BE838" t="s">
        <v>15043</v>
      </c>
      <c r="BF838" t="str">
        <f>HYPERLINK("http://dx.doi.org/10.1080/19427867.2023.2234709","http://dx.doi.org/10.1080/19427867.2023.2234709")</f>
        <v>http://dx.doi.org/10.1080/19427867.2023.2234709</v>
      </c>
      <c r="BG838" t="s">
        <v>74</v>
      </c>
      <c r="BH838" t="s">
        <v>12687</v>
      </c>
      <c r="BI838">
        <v>12</v>
      </c>
      <c r="BJ838" t="s">
        <v>10771</v>
      </c>
      <c r="BK838" t="s">
        <v>123</v>
      </c>
      <c r="BL838" t="s">
        <v>6006</v>
      </c>
      <c r="BM838" t="s">
        <v>15044</v>
      </c>
      <c r="BN838" t="s">
        <v>74</v>
      </c>
      <c r="BO838" t="s">
        <v>74</v>
      </c>
      <c r="BP838" t="s">
        <v>74</v>
      </c>
      <c r="BQ838" t="s">
        <v>74</v>
      </c>
      <c r="BR838" t="s">
        <v>105</v>
      </c>
      <c r="BS838" t="s">
        <v>15045</v>
      </c>
      <c r="BT838" t="str">
        <f>HYPERLINK("https%3A%2F%2Fwww.webofscience.com%2Fwos%2Fwoscc%2Ffull-record%2FWOS:001026723100001","View Full Record in Web of Science")</f>
        <v>View Full Record in Web of Science</v>
      </c>
    </row>
    <row r="839" spans="1:72" x14ac:dyDescent="0.15">
      <c r="A839" t="s">
        <v>72</v>
      </c>
      <c r="B839" t="s">
        <v>15046</v>
      </c>
      <c r="C839" t="s">
        <v>74</v>
      </c>
      <c r="D839" t="s">
        <v>74</v>
      </c>
      <c r="E839" t="s">
        <v>74</v>
      </c>
      <c r="F839" t="s">
        <v>15047</v>
      </c>
      <c r="G839" t="s">
        <v>74</v>
      </c>
      <c r="H839" t="s">
        <v>74</v>
      </c>
      <c r="I839" t="s">
        <v>15048</v>
      </c>
      <c r="J839" t="s">
        <v>15049</v>
      </c>
      <c r="K839" t="s">
        <v>74</v>
      </c>
      <c r="L839" t="s">
        <v>74</v>
      </c>
      <c r="M839" t="s">
        <v>78</v>
      </c>
      <c r="N839" t="s">
        <v>5492</v>
      </c>
      <c r="O839" t="s">
        <v>74</v>
      </c>
      <c r="P839" t="s">
        <v>74</v>
      </c>
      <c r="Q839" t="s">
        <v>74</v>
      </c>
      <c r="R839" t="s">
        <v>74</v>
      </c>
      <c r="S839" t="s">
        <v>74</v>
      </c>
      <c r="T839" t="s">
        <v>15050</v>
      </c>
      <c r="U839" t="s">
        <v>15051</v>
      </c>
      <c r="V839" t="s">
        <v>15052</v>
      </c>
      <c r="W839" t="s">
        <v>15053</v>
      </c>
      <c r="X839" t="s">
        <v>15054</v>
      </c>
      <c r="Y839" t="s">
        <v>15055</v>
      </c>
      <c r="Z839" t="s">
        <v>15056</v>
      </c>
      <c r="AA839" t="s">
        <v>15057</v>
      </c>
      <c r="AB839" t="s">
        <v>15058</v>
      </c>
      <c r="AC839" t="s">
        <v>74</v>
      </c>
      <c r="AD839" t="s">
        <v>74</v>
      </c>
      <c r="AE839" t="s">
        <v>74</v>
      </c>
      <c r="AF839" t="s">
        <v>74</v>
      </c>
      <c r="AG839">
        <v>28</v>
      </c>
      <c r="AH839">
        <v>0</v>
      </c>
      <c r="AI839">
        <v>0</v>
      </c>
      <c r="AJ839">
        <v>1</v>
      </c>
      <c r="AK839">
        <v>1</v>
      </c>
      <c r="AL839" t="s">
        <v>92</v>
      </c>
      <c r="AM839" t="s">
        <v>93</v>
      </c>
      <c r="AN839" t="s">
        <v>94</v>
      </c>
      <c r="AO839" t="s">
        <v>15059</v>
      </c>
      <c r="AP839" t="s">
        <v>15060</v>
      </c>
      <c r="AQ839" t="s">
        <v>74</v>
      </c>
      <c r="AR839" t="s">
        <v>15061</v>
      </c>
      <c r="AS839" t="s">
        <v>15062</v>
      </c>
      <c r="AT839" t="s">
        <v>14895</v>
      </c>
      <c r="AU839">
        <v>2023</v>
      </c>
      <c r="AV839" t="s">
        <v>74</v>
      </c>
      <c r="AW839" t="s">
        <v>74</v>
      </c>
      <c r="AX839" t="s">
        <v>74</v>
      </c>
      <c r="AY839" t="s">
        <v>74</v>
      </c>
      <c r="AZ839" t="s">
        <v>74</v>
      </c>
      <c r="BA839" t="s">
        <v>74</v>
      </c>
      <c r="BB839" t="s">
        <v>74</v>
      </c>
      <c r="BC839" t="s">
        <v>74</v>
      </c>
      <c r="BD839" t="s">
        <v>74</v>
      </c>
      <c r="BE839" t="s">
        <v>15063</v>
      </c>
      <c r="BF839" t="str">
        <f>HYPERLINK("http://dx.doi.org/10.1080/2374068X.2023.2233855","http://dx.doi.org/10.1080/2374068X.2023.2233855")</f>
        <v>http://dx.doi.org/10.1080/2374068X.2023.2233855</v>
      </c>
      <c r="BG839" t="s">
        <v>74</v>
      </c>
      <c r="BH839" t="s">
        <v>12687</v>
      </c>
      <c r="BI839">
        <v>12</v>
      </c>
      <c r="BJ839" t="s">
        <v>1593</v>
      </c>
      <c r="BK839" t="s">
        <v>211</v>
      </c>
      <c r="BL839" t="s">
        <v>1594</v>
      </c>
      <c r="BM839" t="s">
        <v>15064</v>
      </c>
      <c r="BN839" t="s">
        <v>74</v>
      </c>
      <c r="BO839" t="s">
        <v>74</v>
      </c>
      <c r="BP839" t="s">
        <v>74</v>
      </c>
      <c r="BQ839" t="s">
        <v>74</v>
      </c>
      <c r="BR839" t="s">
        <v>105</v>
      </c>
      <c r="BS839" t="s">
        <v>15065</v>
      </c>
      <c r="BT839" t="str">
        <f>HYPERLINK("https%3A%2F%2Fwww.webofscience.com%2Fwos%2Fwoscc%2Ffull-record%2FWOS:001026396100001","View Full Record in Web of Science")</f>
        <v>View Full Record in Web of Science</v>
      </c>
    </row>
    <row r="840" spans="1:72" x14ac:dyDescent="0.15">
      <c r="A840" t="s">
        <v>72</v>
      </c>
      <c r="B840" t="s">
        <v>15066</v>
      </c>
      <c r="C840" t="s">
        <v>74</v>
      </c>
      <c r="D840" t="s">
        <v>74</v>
      </c>
      <c r="E840" t="s">
        <v>74</v>
      </c>
      <c r="F840" t="s">
        <v>15067</v>
      </c>
      <c r="G840" t="s">
        <v>74</v>
      </c>
      <c r="H840" t="s">
        <v>74</v>
      </c>
      <c r="I840" t="s">
        <v>15068</v>
      </c>
      <c r="J840" t="s">
        <v>15069</v>
      </c>
      <c r="K840" t="s">
        <v>74</v>
      </c>
      <c r="L840" t="s">
        <v>74</v>
      </c>
      <c r="M840" t="s">
        <v>78</v>
      </c>
      <c r="N840" t="s">
        <v>5492</v>
      </c>
      <c r="O840" t="s">
        <v>74</v>
      </c>
      <c r="P840" t="s">
        <v>74</v>
      </c>
      <c r="Q840" t="s">
        <v>74</v>
      </c>
      <c r="R840" t="s">
        <v>74</v>
      </c>
      <c r="S840" t="s">
        <v>74</v>
      </c>
      <c r="T840" t="s">
        <v>15070</v>
      </c>
      <c r="U840" t="s">
        <v>74</v>
      </c>
      <c r="V840" t="s">
        <v>15071</v>
      </c>
      <c r="W840" t="s">
        <v>15072</v>
      </c>
      <c r="X840" t="s">
        <v>15073</v>
      </c>
      <c r="Y840" t="s">
        <v>15074</v>
      </c>
      <c r="Z840" t="s">
        <v>15075</v>
      </c>
      <c r="AA840" t="s">
        <v>74</v>
      </c>
      <c r="AB840" t="s">
        <v>74</v>
      </c>
      <c r="AC840" t="s">
        <v>15076</v>
      </c>
      <c r="AD840" t="s">
        <v>15076</v>
      </c>
      <c r="AE840" t="s">
        <v>15077</v>
      </c>
      <c r="AF840" t="s">
        <v>74</v>
      </c>
      <c r="AG840">
        <v>40</v>
      </c>
      <c r="AH840">
        <v>0</v>
      </c>
      <c r="AI840">
        <v>0</v>
      </c>
      <c r="AJ840">
        <v>4</v>
      </c>
      <c r="AK840">
        <v>4</v>
      </c>
      <c r="AL840" t="s">
        <v>1188</v>
      </c>
      <c r="AM840" t="s">
        <v>93</v>
      </c>
      <c r="AN840" t="s">
        <v>1189</v>
      </c>
      <c r="AO840" t="s">
        <v>15078</v>
      </c>
      <c r="AP840" t="s">
        <v>15079</v>
      </c>
      <c r="AQ840" t="s">
        <v>74</v>
      </c>
      <c r="AR840" t="s">
        <v>15080</v>
      </c>
      <c r="AS840" t="s">
        <v>15081</v>
      </c>
      <c r="AT840" t="s">
        <v>14895</v>
      </c>
      <c r="AU840">
        <v>2023</v>
      </c>
      <c r="AV840" t="s">
        <v>74</v>
      </c>
      <c r="AW840" t="s">
        <v>74</v>
      </c>
      <c r="AX840" t="s">
        <v>74</v>
      </c>
      <c r="AY840" t="s">
        <v>74</v>
      </c>
      <c r="AZ840" t="s">
        <v>74</v>
      </c>
      <c r="BA840" t="s">
        <v>74</v>
      </c>
      <c r="BB840" t="s">
        <v>74</v>
      </c>
      <c r="BC840" t="s">
        <v>74</v>
      </c>
      <c r="BD840" t="s">
        <v>74</v>
      </c>
      <c r="BE840" t="s">
        <v>15082</v>
      </c>
      <c r="BF840" t="str">
        <f>HYPERLINK("http://dx.doi.org/10.1080/17439884.2023.2235279","http://dx.doi.org/10.1080/17439884.2023.2235279")</f>
        <v>http://dx.doi.org/10.1080/17439884.2023.2235279</v>
      </c>
      <c r="BG840" t="s">
        <v>74</v>
      </c>
      <c r="BH840" t="s">
        <v>12687</v>
      </c>
      <c r="BI840">
        <v>14</v>
      </c>
      <c r="BJ840" t="s">
        <v>271</v>
      </c>
      <c r="BK840" t="s">
        <v>272</v>
      </c>
      <c r="BL840" t="s">
        <v>271</v>
      </c>
      <c r="BM840" t="s">
        <v>15083</v>
      </c>
      <c r="BN840" t="s">
        <v>74</v>
      </c>
      <c r="BO840" t="s">
        <v>74</v>
      </c>
      <c r="BP840" t="s">
        <v>74</v>
      </c>
      <c r="BQ840" t="s">
        <v>74</v>
      </c>
      <c r="BR840" t="s">
        <v>105</v>
      </c>
      <c r="BS840" t="s">
        <v>15084</v>
      </c>
      <c r="BT840" t="str">
        <f>HYPERLINK("https%3A%2F%2Fwww.webofscience.com%2Fwos%2Fwoscc%2Ffull-record%2FWOS:001024646300001","View Full Record in Web of Science")</f>
        <v>View Full Record in Web of Science</v>
      </c>
    </row>
    <row r="841" spans="1:72" x14ac:dyDescent="0.15">
      <c r="A841" t="s">
        <v>72</v>
      </c>
      <c r="B841" t="s">
        <v>15085</v>
      </c>
      <c r="C841" t="s">
        <v>74</v>
      </c>
      <c r="D841" t="s">
        <v>74</v>
      </c>
      <c r="E841" t="s">
        <v>74</v>
      </c>
      <c r="F841" t="s">
        <v>15086</v>
      </c>
      <c r="G841" t="s">
        <v>74</v>
      </c>
      <c r="H841" t="s">
        <v>74</v>
      </c>
      <c r="I841" t="s">
        <v>15087</v>
      </c>
      <c r="J841" t="s">
        <v>8699</v>
      </c>
      <c r="K841" t="s">
        <v>74</v>
      </c>
      <c r="L841" t="s">
        <v>74</v>
      </c>
      <c r="M841" t="s">
        <v>78</v>
      </c>
      <c r="N841" t="s">
        <v>5492</v>
      </c>
      <c r="O841" t="s">
        <v>74</v>
      </c>
      <c r="P841" t="s">
        <v>74</v>
      </c>
      <c r="Q841" t="s">
        <v>74</v>
      </c>
      <c r="R841" t="s">
        <v>74</v>
      </c>
      <c r="S841" t="s">
        <v>74</v>
      </c>
      <c r="T841" t="s">
        <v>15088</v>
      </c>
      <c r="U841" t="s">
        <v>74</v>
      </c>
      <c r="V841" t="s">
        <v>15089</v>
      </c>
      <c r="W841" t="s">
        <v>15090</v>
      </c>
      <c r="X841" t="s">
        <v>15091</v>
      </c>
      <c r="Y841" t="s">
        <v>15092</v>
      </c>
      <c r="Z841" t="s">
        <v>15093</v>
      </c>
      <c r="AA841" t="s">
        <v>74</v>
      </c>
      <c r="AB841" t="s">
        <v>74</v>
      </c>
      <c r="AC841" t="s">
        <v>74</v>
      </c>
      <c r="AD841" t="s">
        <v>74</v>
      </c>
      <c r="AE841" t="s">
        <v>74</v>
      </c>
      <c r="AF841" t="s">
        <v>74</v>
      </c>
      <c r="AG841">
        <v>16</v>
      </c>
      <c r="AH841">
        <v>0</v>
      </c>
      <c r="AI841">
        <v>0</v>
      </c>
      <c r="AJ841">
        <v>0</v>
      </c>
      <c r="AK841">
        <v>0</v>
      </c>
      <c r="AL841" t="s">
        <v>1188</v>
      </c>
      <c r="AM841" t="s">
        <v>93</v>
      </c>
      <c r="AN841" t="s">
        <v>1189</v>
      </c>
      <c r="AO841" t="s">
        <v>8706</v>
      </c>
      <c r="AP841" t="s">
        <v>8707</v>
      </c>
      <c r="AQ841" t="s">
        <v>74</v>
      </c>
      <c r="AR841" t="s">
        <v>8708</v>
      </c>
      <c r="AS841" t="s">
        <v>8709</v>
      </c>
      <c r="AT841" t="s">
        <v>14895</v>
      </c>
      <c r="AU841">
        <v>2023</v>
      </c>
      <c r="AV841" t="s">
        <v>74</v>
      </c>
      <c r="AW841" t="s">
        <v>74</v>
      </c>
      <c r="AX841" t="s">
        <v>74</v>
      </c>
      <c r="AY841" t="s">
        <v>74</v>
      </c>
      <c r="AZ841" t="s">
        <v>74</v>
      </c>
      <c r="BA841" t="s">
        <v>74</v>
      </c>
      <c r="BB841" t="s">
        <v>74</v>
      </c>
      <c r="BC841" t="s">
        <v>74</v>
      </c>
      <c r="BD841" t="s">
        <v>74</v>
      </c>
      <c r="BE841" t="s">
        <v>15094</v>
      </c>
      <c r="BF841" t="str">
        <f>HYPERLINK("http://dx.doi.org/10.1080/01416200.2023.2233055","http://dx.doi.org/10.1080/01416200.2023.2233055")</f>
        <v>http://dx.doi.org/10.1080/01416200.2023.2233055</v>
      </c>
      <c r="BG841" t="s">
        <v>74</v>
      </c>
      <c r="BH841" t="s">
        <v>12687</v>
      </c>
      <c r="BI841">
        <v>9</v>
      </c>
      <c r="BJ841" t="s">
        <v>8711</v>
      </c>
      <c r="BK841" t="s">
        <v>7170</v>
      </c>
      <c r="BL841" t="s">
        <v>8711</v>
      </c>
      <c r="BM841" t="s">
        <v>15095</v>
      </c>
      <c r="BN841" t="s">
        <v>74</v>
      </c>
      <c r="BO841" t="s">
        <v>887</v>
      </c>
      <c r="BP841" t="s">
        <v>74</v>
      </c>
      <c r="BQ841" t="s">
        <v>74</v>
      </c>
      <c r="BR841" t="s">
        <v>105</v>
      </c>
      <c r="BS841" t="s">
        <v>15096</v>
      </c>
      <c r="BT841" t="str">
        <f>HYPERLINK("https%3A%2F%2Fwww.webofscience.com%2Fwos%2Fwoscc%2Ffull-record%2FWOS:001027853800001","View Full Record in Web of Science")</f>
        <v>View Full Record in Web of Science</v>
      </c>
    </row>
    <row r="842" spans="1:72" x14ac:dyDescent="0.15">
      <c r="A842" t="s">
        <v>72</v>
      </c>
      <c r="B842" t="s">
        <v>15097</v>
      </c>
      <c r="C842" t="s">
        <v>74</v>
      </c>
      <c r="D842" t="s">
        <v>74</v>
      </c>
      <c r="E842" t="s">
        <v>74</v>
      </c>
      <c r="F842" t="s">
        <v>15098</v>
      </c>
      <c r="G842" t="s">
        <v>74</v>
      </c>
      <c r="H842" t="s">
        <v>74</v>
      </c>
      <c r="I842" t="s">
        <v>15099</v>
      </c>
      <c r="J842" t="s">
        <v>15100</v>
      </c>
      <c r="K842" t="s">
        <v>74</v>
      </c>
      <c r="L842" t="s">
        <v>74</v>
      </c>
      <c r="M842" t="s">
        <v>78</v>
      </c>
      <c r="N842" t="s">
        <v>6253</v>
      </c>
      <c r="O842" t="s">
        <v>74</v>
      </c>
      <c r="P842" t="s">
        <v>74</v>
      </c>
      <c r="Q842" t="s">
        <v>74</v>
      </c>
      <c r="R842" t="s">
        <v>74</v>
      </c>
      <c r="S842" t="s">
        <v>74</v>
      </c>
      <c r="T842" t="s">
        <v>74</v>
      </c>
      <c r="U842" t="s">
        <v>74</v>
      </c>
      <c r="V842" t="s">
        <v>74</v>
      </c>
      <c r="W842" t="s">
        <v>15101</v>
      </c>
      <c r="X842" t="s">
        <v>74</v>
      </c>
      <c r="Y842" t="s">
        <v>15102</v>
      </c>
      <c r="Z842" t="s">
        <v>15103</v>
      </c>
      <c r="AA842" t="s">
        <v>15104</v>
      </c>
      <c r="AB842" t="s">
        <v>74</v>
      </c>
      <c r="AC842" t="s">
        <v>74</v>
      </c>
      <c r="AD842" t="s">
        <v>74</v>
      </c>
      <c r="AE842" t="s">
        <v>74</v>
      </c>
      <c r="AF842" t="s">
        <v>74</v>
      </c>
      <c r="AG842">
        <v>1</v>
      </c>
      <c r="AH842">
        <v>0</v>
      </c>
      <c r="AI842">
        <v>0</v>
      </c>
      <c r="AJ842">
        <v>0</v>
      </c>
      <c r="AK842">
        <v>0</v>
      </c>
      <c r="AL842" t="s">
        <v>1188</v>
      </c>
      <c r="AM842" t="s">
        <v>93</v>
      </c>
      <c r="AN842" t="s">
        <v>1189</v>
      </c>
      <c r="AO842" t="s">
        <v>15105</v>
      </c>
      <c r="AP842" t="s">
        <v>15106</v>
      </c>
      <c r="AQ842" t="s">
        <v>74</v>
      </c>
      <c r="AR842" t="s">
        <v>15107</v>
      </c>
      <c r="AS842" t="s">
        <v>15108</v>
      </c>
      <c r="AT842" t="s">
        <v>14895</v>
      </c>
      <c r="AU842">
        <v>2023</v>
      </c>
      <c r="AV842" t="s">
        <v>74</v>
      </c>
      <c r="AW842" t="s">
        <v>74</v>
      </c>
      <c r="AX842" t="s">
        <v>74</v>
      </c>
      <c r="AY842" t="s">
        <v>74</v>
      </c>
      <c r="AZ842" t="s">
        <v>74</v>
      </c>
      <c r="BA842" t="s">
        <v>74</v>
      </c>
      <c r="BB842" t="s">
        <v>74</v>
      </c>
      <c r="BC842" t="s">
        <v>74</v>
      </c>
      <c r="BD842" t="s">
        <v>74</v>
      </c>
      <c r="BE842" t="s">
        <v>15109</v>
      </c>
      <c r="BF842" t="str">
        <f>HYPERLINK("http://dx.doi.org/10.1080/10632921.2023.2237010","http://dx.doi.org/10.1080/10632921.2023.2237010")</f>
        <v>http://dx.doi.org/10.1080/10632921.2023.2237010</v>
      </c>
      <c r="BG842" t="s">
        <v>74</v>
      </c>
      <c r="BH842" t="s">
        <v>12687</v>
      </c>
      <c r="BI842">
        <v>2</v>
      </c>
      <c r="BJ842" t="s">
        <v>575</v>
      </c>
      <c r="BK842" t="s">
        <v>6264</v>
      </c>
      <c r="BL842" t="s">
        <v>576</v>
      </c>
      <c r="BM842" t="s">
        <v>15110</v>
      </c>
      <c r="BN842" t="s">
        <v>74</v>
      </c>
      <c r="BO842" t="s">
        <v>74</v>
      </c>
      <c r="BP842" t="s">
        <v>74</v>
      </c>
      <c r="BQ842" t="s">
        <v>74</v>
      </c>
      <c r="BR842" t="s">
        <v>105</v>
      </c>
      <c r="BS842" t="s">
        <v>15111</v>
      </c>
      <c r="BT842" t="str">
        <f>HYPERLINK("https%3A%2F%2Fwww.webofscience.com%2Fwos%2Fwoscc%2Ffull-record%2FWOS:001035637000001","View Full Record in Web of Science")</f>
        <v>View Full Record in Web of Science</v>
      </c>
    </row>
    <row r="843" spans="1:72" x14ac:dyDescent="0.15">
      <c r="A843" t="s">
        <v>72</v>
      </c>
      <c r="B843" t="s">
        <v>15112</v>
      </c>
      <c r="C843" t="s">
        <v>74</v>
      </c>
      <c r="D843" t="s">
        <v>74</v>
      </c>
      <c r="E843" t="s">
        <v>74</v>
      </c>
      <c r="F843" t="s">
        <v>15113</v>
      </c>
      <c r="G843" t="s">
        <v>74</v>
      </c>
      <c r="H843" t="s">
        <v>74</v>
      </c>
      <c r="I843" t="s">
        <v>15114</v>
      </c>
      <c r="J843" t="s">
        <v>12122</v>
      </c>
      <c r="K843" t="s">
        <v>74</v>
      </c>
      <c r="L843" t="s">
        <v>74</v>
      </c>
      <c r="M843" t="s">
        <v>78</v>
      </c>
      <c r="N843" t="s">
        <v>5492</v>
      </c>
      <c r="O843" t="s">
        <v>74</v>
      </c>
      <c r="P843" t="s">
        <v>74</v>
      </c>
      <c r="Q843" t="s">
        <v>74</v>
      </c>
      <c r="R843" t="s">
        <v>74</v>
      </c>
      <c r="S843" t="s">
        <v>74</v>
      </c>
      <c r="T843" t="s">
        <v>15115</v>
      </c>
      <c r="U843" t="s">
        <v>74</v>
      </c>
      <c r="V843" t="s">
        <v>15116</v>
      </c>
      <c r="W843" t="s">
        <v>15117</v>
      </c>
      <c r="X843" t="s">
        <v>15118</v>
      </c>
      <c r="Y843" t="s">
        <v>15119</v>
      </c>
      <c r="Z843" t="s">
        <v>15120</v>
      </c>
      <c r="AA843" t="s">
        <v>74</v>
      </c>
      <c r="AB843" t="s">
        <v>74</v>
      </c>
      <c r="AC843" t="s">
        <v>15121</v>
      </c>
      <c r="AD843" t="s">
        <v>15122</v>
      </c>
      <c r="AE843" t="s">
        <v>15123</v>
      </c>
      <c r="AF843" t="s">
        <v>74</v>
      </c>
      <c r="AG843">
        <v>26</v>
      </c>
      <c r="AH843">
        <v>0</v>
      </c>
      <c r="AI843">
        <v>0</v>
      </c>
      <c r="AJ843">
        <v>0</v>
      </c>
      <c r="AK843">
        <v>0</v>
      </c>
      <c r="AL843" t="s">
        <v>1188</v>
      </c>
      <c r="AM843" t="s">
        <v>93</v>
      </c>
      <c r="AN843" t="s">
        <v>1189</v>
      </c>
      <c r="AO843" t="s">
        <v>12130</v>
      </c>
      <c r="AP843" t="s">
        <v>12131</v>
      </c>
      <c r="AQ843" t="s">
        <v>74</v>
      </c>
      <c r="AR843" t="s">
        <v>12132</v>
      </c>
      <c r="AS843" t="s">
        <v>12133</v>
      </c>
      <c r="AT843" t="s">
        <v>14895</v>
      </c>
      <c r="AU843">
        <v>2023</v>
      </c>
      <c r="AV843" t="s">
        <v>74</v>
      </c>
      <c r="AW843" t="s">
        <v>74</v>
      </c>
      <c r="AX843" t="s">
        <v>74</v>
      </c>
      <c r="AY843" t="s">
        <v>74</v>
      </c>
      <c r="AZ843" t="s">
        <v>74</v>
      </c>
      <c r="BA843" t="s">
        <v>74</v>
      </c>
      <c r="BB843" t="s">
        <v>74</v>
      </c>
      <c r="BC843" t="s">
        <v>74</v>
      </c>
      <c r="BD843" t="s">
        <v>74</v>
      </c>
      <c r="BE843" t="s">
        <v>15124</v>
      </c>
      <c r="BF843" t="str">
        <f>HYPERLINK("http://dx.doi.org/10.1080/02691728.2023.2212372","http://dx.doi.org/10.1080/02691728.2023.2212372")</f>
        <v>http://dx.doi.org/10.1080/02691728.2023.2212372</v>
      </c>
      <c r="BG843" t="s">
        <v>74</v>
      </c>
      <c r="BH843" t="s">
        <v>12687</v>
      </c>
      <c r="BI843">
        <v>22</v>
      </c>
      <c r="BJ843" t="s">
        <v>12135</v>
      </c>
      <c r="BK843" t="s">
        <v>7170</v>
      </c>
      <c r="BL843" t="s">
        <v>12136</v>
      </c>
      <c r="BM843" t="s">
        <v>15125</v>
      </c>
      <c r="BN843" t="s">
        <v>74</v>
      </c>
      <c r="BO843" t="s">
        <v>74</v>
      </c>
      <c r="BP843" t="s">
        <v>74</v>
      </c>
      <c r="BQ843" t="s">
        <v>74</v>
      </c>
      <c r="BR843" t="s">
        <v>105</v>
      </c>
      <c r="BS843" t="s">
        <v>15126</v>
      </c>
      <c r="BT843" t="str">
        <f>HYPERLINK("https%3A%2F%2Fwww.webofscience.com%2Fwos%2Fwoscc%2Ffull-record%2FWOS:001026747500001","View Full Record in Web of Science")</f>
        <v>View Full Record in Web of Science</v>
      </c>
    </row>
    <row r="844" spans="1:72" x14ac:dyDescent="0.15">
      <c r="A844" t="s">
        <v>72</v>
      </c>
      <c r="B844" t="s">
        <v>15127</v>
      </c>
      <c r="C844" t="s">
        <v>74</v>
      </c>
      <c r="D844" t="s">
        <v>74</v>
      </c>
      <c r="E844" t="s">
        <v>74</v>
      </c>
      <c r="F844" t="s">
        <v>15128</v>
      </c>
      <c r="G844" t="s">
        <v>74</v>
      </c>
      <c r="H844" t="s">
        <v>74</v>
      </c>
      <c r="I844" t="s">
        <v>15129</v>
      </c>
      <c r="J844" t="s">
        <v>15130</v>
      </c>
      <c r="K844" t="s">
        <v>74</v>
      </c>
      <c r="L844" t="s">
        <v>74</v>
      </c>
      <c r="M844" t="s">
        <v>78</v>
      </c>
      <c r="N844" t="s">
        <v>5492</v>
      </c>
      <c r="O844" t="s">
        <v>74</v>
      </c>
      <c r="P844" t="s">
        <v>74</v>
      </c>
      <c r="Q844" t="s">
        <v>74</v>
      </c>
      <c r="R844" t="s">
        <v>74</v>
      </c>
      <c r="S844" t="s">
        <v>74</v>
      </c>
      <c r="T844" t="s">
        <v>15131</v>
      </c>
      <c r="U844" t="s">
        <v>15132</v>
      </c>
      <c r="V844" t="s">
        <v>15133</v>
      </c>
      <c r="W844" t="s">
        <v>15134</v>
      </c>
      <c r="X844" t="s">
        <v>15135</v>
      </c>
      <c r="Y844" t="s">
        <v>15136</v>
      </c>
      <c r="Z844" t="s">
        <v>15137</v>
      </c>
      <c r="AA844" t="s">
        <v>74</v>
      </c>
      <c r="AB844" t="s">
        <v>74</v>
      </c>
      <c r="AC844" t="s">
        <v>15138</v>
      </c>
      <c r="AD844" t="s">
        <v>15138</v>
      </c>
      <c r="AE844" t="s">
        <v>15139</v>
      </c>
      <c r="AF844" t="s">
        <v>74</v>
      </c>
      <c r="AG844">
        <v>65</v>
      </c>
      <c r="AH844">
        <v>0</v>
      </c>
      <c r="AI844">
        <v>0</v>
      </c>
      <c r="AJ844">
        <v>3</v>
      </c>
      <c r="AK844">
        <v>3</v>
      </c>
      <c r="AL844" t="s">
        <v>1188</v>
      </c>
      <c r="AM844" t="s">
        <v>93</v>
      </c>
      <c r="AN844" t="s">
        <v>1189</v>
      </c>
      <c r="AO844" t="s">
        <v>15140</v>
      </c>
      <c r="AP844" t="s">
        <v>74</v>
      </c>
      <c r="AQ844" t="s">
        <v>74</v>
      </c>
      <c r="AR844" t="s">
        <v>15141</v>
      </c>
      <c r="AS844" t="s">
        <v>15142</v>
      </c>
      <c r="AT844" t="s">
        <v>14895</v>
      </c>
      <c r="AU844">
        <v>2023</v>
      </c>
      <c r="AV844" t="s">
        <v>74</v>
      </c>
      <c r="AW844" t="s">
        <v>74</v>
      </c>
      <c r="AX844" t="s">
        <v>74</v>
      </c>
      <c r="AY844" t="s">
        <v>74</v>
      </c>
      <c r="AZ844" t="s">
        <v>74</v>
      </c>
      <c r="BA844" t="s">
        <v>74</v>
      </c>
      <c r="BB844" t="s">
        <v>74</v>
      </c>
      <c r="BC844" t="s">
        <v>74</v>
      </c>
      <c r="BD844" t="s">
        <v>74</v>
      </c>
      <c r="BE844" t="s">
        <v>15143</v>
      </c>
      <c r="BF844" t="str">
        <f>HYPERLINK("http://dx.doi.org/10.1080/23251042.2023.2234644","http://dx.doi.org/10.1080/23251042.2023.2234644")</f>
        <v>http://dx.doi.org/10.1080/23251042.2023.2234644</v>
      </c>
      <c r="BG844" t="s">
        <v>74</v>
      </c>
      <c r="BH844" t="s">
        <v>12687</v>
      </c>
      <c r="BI844">
        <v>18</v>
      </c>
      <c r="BJ844" t="s">
        <v>15144</v>
      </c>
      <c r="BK844" t="s">
        <v>211</v>
      </c>
      <c r="BL844" t="s">
        <v>7097</v>
      </c>
      <c r="BM844" t="s">
        <v>15145</v>
      </c>
      <c r="BN844" t="s">
        <v>74</v>
      </c>
      <c r="BO844" t="s">
        <v>74</v>
      </c>
      <c r="BP844" t="s">
        <v>74</v>
      </c>
      <c r="BQ844" t="s">
        <v>74</v>
      </c>
      <c r="BR844" t="s">
        <v>105</v>
      </c>
      <c r="BS844" t="s">
        <v>15146</v>
      </c>
      <c r="BT844" t="str">
        <f>HYPERLINK("https%3A%2F%2Fwww.webofscience.com%2Fwos%2Fwoscc%2Ffull-record%2FWOS:001024155200001","View Full Record in Web of Science")</f>
        <v>View Full Record in Web of Science</v>
      </c>
    </row>
    <row r="845" spans="1:72" x14ac:dyDescent="0.15">
      <c r="A845" t="s">
        <v>72</v>
      </c>
      <c r="B845" t="s">
        <v>15147</v>
      </c>
      <c r="C845" t="s">
        <v>74</v>
      </c>
      <c r="D845" t="s">
        <v>74</v>
      </c>
      <c r="E845" t="s">
        <v>74</v>
      </c>
      <c r="F845" t="s">
        <v>15148</v>
      </c>
      <c r="G845" t="s">
        <v>74</v>
      </c>
      <c r="H845" t="s">
        <v>74</v>
      </c>
      <c r="I845" t="s">
        <v>15149</v>
      </c>
      <c r="J845" t="s">
        <v>12122</v>
      </c>
      <c r="K845" t="s">
        <v>74</v>
      </c>
      <c r="L845" t="s">
        <v>74</v>
      </c>
      <c r="M845" t="s">
        <v>78</v>
      </c>
      <c r="N845" t="s">
        <v>79</v>
      </c>
      <c r="O845" t="s">
        <v>74</v>
      </c>
      <c r="P845" t="s">
        <v>74</v>
      </c>
      <c r="Q845" t="s">
        <v>74</v>
      </c>
      <c r="R845" t="s">
        <v>74</v>
      </c>
      <c r="S845" t="s">
        <v>74</v>
      </c>
      <c r="T845" t="s">
        <v>15150</v>
      </c>
      <c r="U845" t="s">
        <v>15151</v>
      </c>
      <c r="V845" t="s">
        <v>15152</v>
      </c>
      <c r="W845" t="s">
        <v>15153</v>
      </c>
      <c r="X845" t="s">
        <v>15154</v>
      </c>
      <c r="Y845" t="s">
        <v>15155</v>
      </c>
      <c r="Z845" t="s">
        <v>15156</v>
      </c>
      <c r="AA845" t="s">
        <v>15157</v>
      </c>
      <c r="AB845" t="s">
        <v>15158</v>
      </c>
      <c r="AC845" t="s">
        <v>74</v>
      </c>
      <c r="AD845" t="s">
        <v>74</v>
      </c>
      <c r="AE845" t="s">
        <v>74</v>
      </c>
      <c r="AF845" t="s">
        <v>74</v>
      </c>
      <c r="AG845">
        <v>396</v>
      </c>
      <c r="AH845">
        <v>0</v>
      </c>
      <c r="AI845">
        <v>0</v>
      </c>
      <c r="AJ845">
        <v>5</v>
      </c>
      <c r="AK845">
        <v>5</v>
      </c>
      <c r="AL845" t="s">
        <v>1188</v>
      </c>
      <c r="AM845" t="s">
        <v>93</v>
      </c>
      <c r="AN845" t="s">
        <v>1189</v>
      </c>
      <c r="AO845" t="s">
        <v>12130</v>
      </c>
      <c r="AP845" t="s">
        <v>12131</v>
      </c>
      <c r="AQ845" t="s">
        <v>74</v>
      </c>
      <c r="AR845" t="s">
        <v>12132</v>
      </c>
      <c r="AS845" t="s">
        <v>12133</v>
      </c>
      <c r="AT845" t="s">
        <v>8098</v>
      </c>
      <c r="AU845">
        <v>2023</v>
      </c>
      <c r="AV845">
        <v>37</v>
      </c>
      <c r="AW845">
        <v>5</v>
      </c>
      <c r="AX845" t="s">
        <v>74</v>
      </c>
      <c r="AY845" t="s">
        <v>74</v>
      </c>
      <c r="AZ845" t="s">
        <v>74</v>
      </c>
      <c r="BA845" t="s">
        <v>74</v>
      </c>
      <c r="BB845">
        <v>545</v>
      </c>
      <c r="BC845">
        <v>591</v>
      </c>
      <c r="BD845" t="s">
        <v>74</v>
      </c>
      <c r="BE845" t="s">
        <v>15159</v>
      </c>
      <c r="BF845" t="str">
        <f>HYPERLINK("http://dx.doi.org/10.1080/02691728.2023.2201578","http://dx.doi.org/10.1080/02691728.2023.2201578")</f>
        <v>http://dx.doi.org/10.1080/02691728.2023.2201578</v>
      </c>
      <c r="BG845" t="s">
        <v>74</v>
      </c>
      <c r="BH845" t="s">
        <v>12687</v>
      </c>
      <c r="BI845">
        <v>47</v>
      </c>
      <c r="BJ845" t="s">
        <v>12135</v>
      </c>
      <c r="BK845" t="s">
        <v>7170</v>
      </c>
      <c r="BL845" t="s">
        <v>12136</v>
      </c>
      <c r="BM845" t="s">
        <v>15160</v>
      </c>
      <c r="BN845" t="s">
        <v>74</v>
      </c>
      <c r="BO845" t="s">
        <v>887</v>
      </c>
      <c r="BP845" t="s">
        <v>74</v>
      </c>
      <c r="BQ845" t="s">
        <v>74</v>
      </c>
      <c r="BR845" t="s">
        <v>105</v>
      </c>
      <c r="BS845" t="s">
        <v>15161</v>
      </c>
      <c r="BT845" t="str">
        <f>HYPERLINK("https%3A%2F%2Fwww.webofscience.com%2Fwos%2Fwoscc%2Ffull-record%2FWOS:001023859000001","View Full Record in Web of Science")</f>
        <v>View Full Record in Web of Science</v>
      </c>
    </row>
    <row r="846" spans="1:72" x14ac:dyDescent="0.15">
      <c r="A846" t="s">
        <v>72</v>
      </c>
      <c r="B846" t="s">
        <v>15162</v>
      </c>
      <c r="C846" t="s">
        <v>74</v>
      </c>
      <c r="D846" t="s">
        <v>74</v>
      </c>
      <c r="E846" t="s">
        <v>74</v>
      </c>
      <c r="F846" t="s">
        <v>15163</v>
      </c>
      <c r="G846" t="s">
        <v>74</v>
      </c>
      <c r="H846" t="s">
        <v>74</v>
      </c>
      <c r="I846" t="s">
        <v>15164</v>
      </c>
      <c r="J846" t="s">
        <v>7062</v>
      </c>
      <c r="K846" t="s">
        <v>74</v>
      </c>
      <c r="L846" t="s">
        <v>74</v>
      </c>
      <c r="M846" t="s">
        <v>78</v>
      </c>
      <c r="N846" t="s">
        <v>5492</v>
      </c>
      <c r="O846" t="s">
        <v>74</v>
      </c>
      <c r="P846" t="s">
        <v>74</v>
      </c>
      <c r="Q846" t="s">
        <v>74</v>
      </c>
      <c r="R846" t="s">
        <v>74</v>
      </c>
      <c r="S846" t="s">
        <v>74</v>
      </c>
      <c r="T846" t="s">
        <v>15165</v>
      </c>
      <c r="U846" t="s">
        <v>15166</v>
      </c>
      <c r="V846" t="s">
        <v>15167</v>
      </c>
      <c r="W846" t="s">
        <v>15168</v>
      </c>
      <c r="X846" t="s">
        <v>15169</v>
      </c>
      <c r="Y846" t="s">
        <v>15170</v>
      </c>
      <c r="Z846" t="s">
        <v>15171</v>
      </c>
      <c r="AA846" t="s">
        <v>74</v>
      </c>
      <c r="AB846" t="s">
        <v>74</v>
      </c>
      <c r="AC846" t="s">
        <v>15172</v>
      </c>
      <c r="AD846" t="s">
        <v>15173</v>
      </c>
      <c r="AE846" t="s">
        <v>15174</v>
      </c>
      <c r="AF846" t="s">
        <v>74</v>
      </c>
      <c r="AG846">
        <v>53</v>
      </c>
      <c r="AH846">
        <v>0</v>
      </c>
      <c r="AI846">
        <v>0</v>
      </c>
      <c r="AJ846">
        <v>0</v>
      </c>
      <c r="AK846">
        <v>0</v>
      </c>
      <c r="AL846" t="s">
        <v>1188</v>
      </c>
      <c r="AM846" t="s">
        <v>93</v>
      </c>
      <c r="AN846" t="s">
        <v>1189</v>
      </c>
      <c r="AO846" t="s">
        <v>7069</v>
      </c>
      <c r="AP846" t="s">
        <v>7070</v>
      </c>
      <c r="AQ846" t="s">
        <v>74</v>
      </c>
      <c r="AR846" t="s">
        <v>7071</v>
      </c>
      <c r="AS846" t="s">
        <v>7072</v>
      </c>
      <c r="AT846" t="s">
        <v>14895</v>
      </c>
      <c r="AU846">
        <v>2023</v>
      </c>
      <c r="AV846" t="s">
        <v>74</v>
      </c>
      <c r="AW846" t="s">
        <v>74</v>
      </c>
      <c r="AX846" t="s">
        <v>74</v>
      </c>
      <c r="AY846" t="s">
        <v>74</v>
      </c>
      <c r="AZ846" t="s">
        <v>74</v>
      </c>
      <c r="BA846" t="s">
        <v>74</v>
      </c>
      <c r="BB846" t="s">
        <v>74</v>
      </c>
      <c r="BC846" t="s">
        <v>74</v>
      </c>
      <c r="BD846" t="s">
        <v>74</v>
      </c>
      <c r="BE846" t="s">
        <v>15175</v>
      </c>
      <c r="BF846" t="str">
        <f>HYPERLINK("http://dx.doi.org/10.1080/09518398.2023.2233916","http://dx.doi.org/10.1080/09518398.2023.2233916")</f>
        <v>http://dx.doi.org/10.1080/09518398.2023.2233916</v>
      </c>
      <c r="BG846" t="s">
        <v>74</v>
      </c>
      <c r="BH846" t="s">
        <v>12687</v>
      </c>
      <c r="BI846">
        <v>16</v>
      </c>
      <c r="BJ846" t="s">
        <v>271</v>
      </c>
      <c r="BK846" t="s">
        <v>211</v>
      </c>
      <c r="BL846" t="s">
        <v>271</v>
      </c>
      <c r="BM846" t="s">
        <v>15176</v>
      </c>
      <c r="BN846" t="s">
        <v>74</v>
      </c>
      <c r="BO846" t="s">
        <v>74</v>
      </c>
      <c r="BP846" t="s">
        <v>74</v>
      </c>
      <c r="BQ846" t="s">
        <v>74</v>
      </c>
      <c r="BR846" t="s">
        <v>105</v>
      </c>
      <c r="BS846" t="s">
        <v>15177</v>
      </c>
      <c r="BT846" t="str">
        <f>HYPERLINK("https%3A%2F%2Fwww.webofscience.com%2Fwos%2Fwoscc%2Ffull-record%2FWOS:001025212100001","View Full Record in Web of Science")</f>
        <v>View Full Record in Web of Science</v>
      </c>
    </row>
    <row r="847" spans="1:72" x14ac:dyDescent="0.15">
      <c r="A847" t="s">
        <v>72</v>
      </c>
      <c r="B847" t="s">
        <v>15178</v>
      </c>
      <c r="C847" t="s">
        <v>74</v>
      </c>
      <c r="D847" t="s">
        <v>74</v>
      </c>
      <c r="E847" t="s">
        <v>74</v>
      </c>
      <c r="F847" t="s">
        <v>15179</v>
      </c>
      <c r="G847" t="s">
        <v>74</v>
      </c>
      <c r="H847" t="s">
        <v>74</v>
      </c>
      <c r="I847" t="s">
        <v>15180</v>
      </c>
      <c r="J847" t="s">
        <v>15181</v>
      </c>
      <c r="K847" t="s">
        <v>74</v>
      </c>
      <c r="L847" t="s">
        <v>74</v>
      </c>
      <c r="M847" t="s">
        <v>78</v>
      </c>
      <c r="N847" t="s">
        <v>6754</v>
      </c>
      <c r="O847" t="s">
        <v>74</v>
      </c>
      <c r="P847" t="s">
        <v>74</v>
      </c>
      <c r="Q847" t="s">
        <v>74</v>
      </c>
      <c r="R847" t="s">
        <v>74</v>
      </c>
      <c r="S847" t="s">
        <v>74</v>
      </c>
      <c r="T847" t="s">
        <v>15182</v>
      </c>
      <c r="U847" t="s">
        <v>74</v>
      </c>
      <c r="V847" t="s">
        <v>15183</v>
      </c>
      <c r="W847" t="s">
        <v>15184</v>
      </c>
      <c r="X847" t="s">
        <v>15185</v>
      </c>
      <c r="Y847" t="s">
        <v>15186</v>
      </c>
      <c r="Z847" t="s">
        <v>15187</v>
      </c>
      <c r="AA847" t="s">
        <v>74</v>
      </c>
      <c r="AB847" t="s">
        <v>74</v>
      </c>
      <c r="AC847" t="s">
        <v>74</v>
      </c>
      <c r="AD847" t="s">
        <v>74</v>
      </c>
      <c r="AE847" t="s">
        <v>74</v>
      </c>
      <c r="AF847" t="s">
        <v>74</v>
      </c>
      <c r="AG847">
        <v>25</v>
      </c>
      <c r="AH847">
        <v>0</v>
      </c>
      <c r="AI847">
        <v>0</v>
      </c>
      <c r="AJ847">
        <v>0</v>
      </c>
      <c r="AK847">
        <v>0</v>
      </c>
      <c r="AL847" t="s">
        <v>1188</v>
      </c>
      <c r="AM847" t="s">
        <v>93</v>
      </c>
      <c r="AN847" t="s">
        <v>1189</v>
      </c>
      <c r="AO847" t="s">
        <v>15188</v>
      </c>
      <c r="AP847" t="s">
        <v>15189</v>
      </c>
      <c r="AQ847" t="s">
        <v>74</v>
      </c>
      <c r="AR847" t="s">
        <v>15190</v>
      </c>
      <c r="AS847" t="s">
        <v>15191</v>
      </c>
      <c r="AT847" t="s">
        <v>14895</v>
      </c>
      <c r="AU847">
        <v>2023</v>
      </c>
      <c r="AV847" t="s">
        <v>74</v>
      </c>
      <c r="AW847" t="s">
        <v>74</v>
      </c>
      <c r="AX847" t="s">
        <v>74</v>
      </c>
      <c r="AY847" t="s">
        <v>74</v>
      </c>
      <c r="AZ847" t="s">
        <v>74</v>
      </c>
      <c r="BA847" t="s">
        <v>74</v>
      </c>
      <c r="BB847" t="s">
        <v>74</v>
      </c>
      <c r="BC847" t="s">
        <v>74</v>
      </c>
      <c r="BD847" t="s">
        <v>74</v>
      </c>
      <c r="BE847" t="s">
        <v>15192</v>
      </c>
      <c r="BF847" t="str">
        <f>HYPERLINK("http://dx.doi.org/10.1080/17570638.2023.2234701","http://dx.doi.org/10.1080/17570638.2023.2234701")</f>
        <v>http://dx.doi.org/10.1080/17570638.2023.2234701</v>
      </c>
      <c r="BG847" t="s">
        <v>74</v>
      </c>
      <c r="BH847" t="s">
        <v>12687</v>
      </c>
      <c r="BI847">
        <v>14</v>
      </c>
      <c r="BJ847" t="s">
        <v>6811</v>
      </c>
      <c r="BK847" t="s">
        <v>211</v>
      </c>
      <c r="BL847" t="s">
        <v>6811</v>
      </c>
      <c r="BM847" t="s">
        <v>15193</v>
      </c>
      <c r="BN847" t="s">
        <v>74</v>
      </c>
      <c r="BO847" t="s">
        <v>74</v>
      </c>
      <c r="BP847" t="s">
        <v>74</v>
      </c>
      <c r="BQ847" t="s">
        <v>74</v>
      </c>
      <c r="BR847" t="s">
        <v>105</v>
      </c>
      <c r="BS847" t="s">
        <v>15194</v>
      </c>
      <c r="BT847" t="str">
        <f>HYPERLINK("https%3A%2F%2Fwww.webofscience.com%2Fwos%2Fwoscc%2Ffull-record%2FWOS:001024181800001","View Full Record in Web of Science")</f>
        <v>View Full Record in Web of Science</v>
      </c>
    </row>
    <row r="848" spans="1:72" x14ac:dyDescent="0.15">
      <c r="A848" t="s">
        <v>72</v>
      </c>
      <c r="B848" t="s">
        <v>15195</v>
      </c>
      <c r="C848" t="s">
        <v>74</v>
      </c>
      <c r="D848" t="s">
        <v>74</v>
      </c>
      <c r="E848" t="s">
        <v>74</v>
      </c>
      <c r="F848" t="s">
        <v>15196</v>
      </c>
      <c r="G848" t="s">
        <v>74</v>
      </c>
      <c r="H848" t="s">
        <v>74</v>
      </c>
      <c r="I848" t="s">
        <v>15197</v>
      </c>
      <c r="J848" t="s">
        <v>15198</v>
      </c>
      <c r="K848" t="s">
        <v>74</v>
      </c>
      <c r="L848" t="s">
        <v>74</v>
      </c>
      <c r="M848" t="s">
        <v>78</v>
      </c>
      <c r="N848" t="s">
        <v>5492</v>
      </c>
      <c r="O848" t="s">
        <v>74</v>
      </c>
      <c r="P848" t="s">
        <v>74</v>
      </c>
      <c r="Q848" t="s">
        <v>74</v>
      </c>
      <c r="R848" t="s">
        <v>74</v>
      </c>
      <c r="S848" t="s">
        <v>74</v>
      </c>
      <c r="T848" t="s">
        <v>15199</v>
      </c>
      <c r="U848" t="s">
        <v>74</v>
      </c>
      <c r="V848" t="s">
        <v>15200</v>
      </c>
      <c r="W848" t="s">
        <v>15201</v>
      </c>
      <c r="X848" t="s">
        <v>15202</v>
      </c>
      <c r="Y848" t="s">
        <v>15203</v>
      </c>
      <c r="Z848" t="s">
        <v>15204</v>
      </c>
      <c r="AA848" t="s">
        <v>74</v>
      </c>
      <c r="AB848" t="s">
        <v>74</v>
      </c>
      <c r="AC848" t="s">
        <v>74</v>
      </c>
      <c r="AD848" t="s">
        <v>74</v>
      </c>
      <c r="AE848" t="s">
        <v>74</v>
      </c>
      <c r="AF848" t="s">
        <v>74</v>
      </c>
      <c r="AG848">
        <v>29</v>
      </c>
      <c r="AH848">
        <v>0</v>
      </c>
      <c r="AI848">
        <v>0</v>
      </c>
      <c r="AJ848">
        <v>0</v>
      </c>
      <c r="AK848">
        <v>0</v>
      </c>
      <c r="AL848" t="s">
        <v>1188</v>
      </c>
      <c r="AM848" t="s">
        <v>93</v>
      </c>
      <c r="AN848" t="s">
        <v>1189</v>
      </c>
      <c r="AO848" t="s">
        <v>15205</v>
      </c>
      <c r="AP848" t="s">
        <v>15206</v>
      </c>
      <c r="AQ848" t="s">
        <v>74</v>
      </c>
      <c r="AR848" t="s">
        <v>15207</v>
      </c>
      <c r="AS848" t="s">
        <v>15208</v>
      </c>
      <c r="AT848" t="s">
        <v>15209</v>
      </c>
      <c r="AU848">
        <v>2023</v>
      </c>
      <c r="AV848" t="s">
        <v>74</v>
      </c>
      <c r="AW848" t="s">
        <v>74</v>
      </c>
      <c r="AX848" t="s">
        <v>74</v>
      </c>
      <c r="AY848" t="s">
        <v>74</v>
      </c>
      <c r="AZ848" t="s">
        <v>74</v>
      </c>
      <c r="BA848" t="s">
        <v>74</v>
      </c>
      <c r="BB848" t="s">
        <v>74</v>
      </c>
      <c r="BC848" t="s">
        <v>74</v>
      </c>
      <c r="BD848" t="s">
        <v>74</v>
      </c>
      <c r="BE848" t="s">
        <v>15210</v>
      </c>
      <c r="BF848" t="str">
        <f>HYPERLINK("http://dx.doi.org/10.1080/0020174X.2023.2231687","http://dx.doi.org/10.1080/0020174X.2023.2231687")</f>
        <v>http://dx.doi.org/10.1080/0020174X.2023.2231687</v>
      </c>
      <c r="BG848" t="s">
        <v>74</v>
      </c>
      <c r="BH848" t="s">
        <v>12687</v>
      </c>
      <c r="BI848">
        <v>21</v>
      </c>
      <c r="BJ848" t="s">
        <v>15211</v>
      </c>
      <c r="BK848" t="s">
        <v>7170</v>
      </c>
      <c r="BL848" t="s">
        <v>15212</v>
      </c>
      <c r="BM848" t="s">
        <v>15213</v>
      </c>
      <c r="BN848" t="s">
        <v>74</v>
      </c>
      <c r="BO848" t="s">
        <v>5486</v>
      </c>
      <c r="BP848" t="s">
        <v>74</v>
      </c>
      <c r="BQ848" t="s">
        <v>74</v>
      </c>
      <c r="BR848" t="s">
        <v>105</v>
      </c>
      <c r="BS848" t="s">
        <v>15214</v>
      </c>
      <c r="BT848" t="str">
        <f>HYPERLINK("https%3A%2F%2Fwww.webofscience.com%2Fwos%2Fwoscc%2Ffull-record%2FWOS:001026776400001","View Full Record in Web of Science")</f>
        <v>View Full Record in Web of Science</v>
      </c>
    </row>
    <row r="849" spans="1:72" x14ac:dyDescent="0.15">
      <c r="A849" t="s">
        <v>72</v>
      </c>
      <c r="B849" t="s">
        <v>15215</v>
      </c>
      <c r="C849" t="s">
        <v>74</v>
      </c>
      <c r="D849" t="s">
        <v>74</v>
      </c>
      <c r="E849" t="s">
        <v>74</v>
      </c>
      <c r="F849" t="s">
        <v>15216</v>
      </c>
      <c r="G849" t="s">
        <v>74</v>
      </c>
      <c r="H849" t="s">
        <v>74</v>
      </c>
      <c r="I849" t="s">
        <v>15217</v>
      </c>
      <c r="J849" t="s">
        <v>15218</v>
      </c>
      <c r="K849" t="s">
        <v>74</v>
      </c>
      <c r="L849" t="s">
        <v>74</v>
      </c>
      <c r="M849" t="s">
        <v>78</v>
      </c>
      <c r="N849" t="s">
        <v>79</v>
      </c>
      <c r="O849" t="s">
        <v>74</v>
      </c>
      <c r="P849" t="s">
        <v>74</v>
      </c>
      <c r="Q849" t="s">
        <v>74</v>
      </c>
      <c r="R849" t="s">
        <v>74</v>
      </c>
      <c r="S849" t="s">
        <v>74</v>
      </c>
      <c r="T849" t="s">
        <v>15219</v>
      </c>
      <c r="U849" t="s">
        <v>15220</v>
      </c>
      <c r="V849" t="s">
        <v>15221</v>
      </c>
      <c r="W849" t="s">
        <v>15222</v>
      </c>
      <c r="X849" t="s">
        <v>15223</v>
      </c>
      <c r="Y849" t="s">
        <v>15224</v>
      </c>
      <c r="Z849" t="s">
        <v>15225</v>
      </c>
      <c r="AA849" t="s">
        <v>15226</v>
      </c>
      <c r="AB849" t="s">
        <v>15227</v>
      </c>
      <c r="AC849" t="s">
        <v>74</v>
      </c>
      <c r="AD849" t="s">
        <v>74</v>
      </c>
      <c r="AE849" t="s">
        <v>74</v>
      </c>
      <c r="AF849" t="s">
        <v>74</v>
      </c>
      <c r="AG849">
        <v>23</v>
      </c>
      <c r="AH849">
        <v>0</v>
      </c>
      <c r="AI849">
        <v>0</v>
      </c>
      <c r="AJ849">
        <v>6</v>
      </c>
      <c r="AK849">
        <v>6</v>
      </c>
      <c r="AL849" t="s">
        <v>15228</v>
      </c>
      <c r="AM849" t="s">
        <v>15229</v>
      </c>
      <c r="AN849" t="s">
        <v>15230</v>
      </c>
      <c r="AO849" t="s">
        <v>15231</v>
      </c>
      <c r="AP849" t="s">
        <v>15232</v>
      </c>
      <c r="AQ849" t="s">
        <v>74</v>
      </c>
      <c r="AR849" t="s">
        <v>15233</v>
      </c>
      <c r="AS849" t="s">
        <v>15234</v>
      </c>
      <c r="AT849" t="s">
        <v>12289</v>
      </c>
      <c r="AU849">
        <v>2023</v>
      </c>
      <c r="AV849">
        <v>123</v>
      </c>
      <c r="AW849">
        <v>3</v>
      </c>
      <c r="AX849" t="s">
        <v>74</v>
      </c>
      <c r="AY849" t="s">
        <v>74</v>
      </c>
      <c r="AZ849" t="s">
        <v>74</v>
      </c>
      <c r="BA849" t="s">
        <v>74</v>
      </c>
      <c r="BB849">
        <v>255</v>
      </c>
      <c r="BC849">
        <v>257</v>
      </c>
      <c r="BD849" t="s">
        <v>74</v>
      </c>
      <c r="BE849" t="s">
        <v>15235</v>
      </c>
      <c r="BF849" t="str">
        <f>HYPERLINK("http://dx.doi.org/10.1080/01584197.2023.2233758","http://dx.doi.org/10.1080/01584197.2023.2233758")</f>
        <v>http://dx.doi.org/10.1080/01584197.2023.2233758</v>
      </c>
      <c r="BG849" t="s">
        <v>74</v>
      </c>
      <c r="BH849" t="s">
        <v>12687</v>
      </c>
      <c r="BI849">
        <v>3</v>
      </c>
      <c r="BJ849" t="s">
        <v>13327</v>
      </c>
      <c r="BK849" t="s">
        <v>102</v>
      </c>
      <c r="BL849" t="s">
        <v>13328</v>
      </c>
      <c r="BM849" t="s">
        <v>15236</v>
      </c>
      <c r="BN849" t="s">
        <v>74</v>
      </c>
      <c r="BO849" t="s">
        <v>887</v>
      </c>
      <c r="BP849" t="s">
        <v>74</v>
      </c>
      <c r="BQ849" t="s">
        <v>74</v>
      </c>
      <c r="BR849" t="s">
        <v>105</v>
      </c>
      <c r="BS849" t="s">
        <v>15237</v>
      </c>
      <c r="BT849" t="str">
        <f>HYPERLINK("https%3A%2F%2Fwww.webofscience.com%2Fwos%2Fwoscc%2Ffull-record%2FWOS:001029366400001","View Full Record in Web of Science")</f>
        <v>View Full Record in Web of Science</v>
      </c>
    </row>
    <row r="850" spans="1:72" x14ac:dyDescent="0.15">
      <c r="A850" t="s">
        <v>72</v>
      </c>
      <c r="B850" t="s">
        <v>15238</v>
      </c>
      <c r="C850" t="s">
        <v>74</v>
      </c>
      <c r="D850" t="s">
        <v>74</v>
      </c>
      <c r="E850" t="s">
        <v>74</v>
      </c>
      <c r="F850" t="s">
        <v>15239</v>
      </c>
      <c r="G850" t="s">
        <v>74</v>
      </c>
      <c r="H850" t="s">
        <v>74</v>
      </c>
      <c r="I850" t="s">
        <v>15240</v>
      </c>
      <c r="J850" t="s">
        <v>11151</v>
      </c>
      <c r="K850" t="s">
        <v>74</v>
      </c>
      <c r="L850" t="s">
        <v>74</v>
      </c>
      <c r="M850" t="s">
        <v>78</v>
      </c>
      <c r="N850" t="s">
        <v>5492</v>
      </c>
      <c r="O850" t="s">
        <v>74</v>
      </c>
      <c r="P850" t="s">
        <v>74</v>
      </c>
      <c r="Q850" t="s">
        <v>74</v>
      </c>
      <c r="R850" t="s">
        <v>74</v>
      </c>
      <c r="S850" t="s">
        <v>74</v>
      </c>
      <c r="T850" t="s">
        <v>74</v>
      </c>
      <c r="U850" t="s">
        <v>15241</v>
      </c>
      <c r="V850" t="s">
        <v>15242</v>
      </c>
      <c r="W850" t="s">
        <v>15243</v>
      </c>
      <c r="X850" t="s">
        <v>15244</v>
      </c>
      <c r="Y850" t="s">
        <v>15245</v>
      </c>
      <c r="Z850" t="s">
        <v>15246</v>
      </c>
      <c r="AA850" t="s">
        <v>74</v>
      </c>
      <c r="AB850" t="s">
        <v>74</v>
      </c>
      <c r="AC850" t="s">
        <v>74</v>
      </c>
      <c r="AD850" t="s">
        <v>74</v>
      </c>
      <c r="AE850" t="s">
        <v>74</v>
      </c>
      <c r="AF850" t="s">
        <v>74</v>
      </c>
      <c r="AG850">
        <v>78</v>
      </c>
      <c r="AH850">
        <v>0</v>
      </c>
      <c r="AI850">
        <v>0</v>
      </c>
      <c r="AJ850">
        <v>0</v>
      </c>
      <c r="AK850">
        <v>0</v>
      </c>
      <c r="AL850" t="s">
        <v>184</v>
      </c>
      <c r="AM850" t="s">
        <v>185</v>
      </c>
      <c r="AN850" t="s">
        <v>186</v>
      </c>
      <c r="AO850" t="s">
        <v>11160</v>
      </c>
      <c r="AP850" t="s">
        <v>11161</v>
      </c>
      <c r="AQ850" t="s">
        <v>74</v>
      </c>
      <c r="AR850" t="s">
        <v>11162</v>
      </c>
      <c r="AS850" t="s">
        <v>11163</v>
      </c>
      <c r="AT850" t="s">
        <v>15209</v>
      </c>
      <c r="AU850">
        <v>2023</v>
      </c>
      <c r="AV850" t="s">
        <v>74</v>
      </c>
      <c r="AW850" t="s">
        <v>74</v>
      </c>
      <c r="AX850" t="s">
        <v>74</v>
      </c>
      <c r="AY850" t="s">
        <v>74</v>
      </c>
      <c r="AZ850" t="s">
        <v>74</v>
      </c>
      <c r="BA850" t="s">
        <v>74</v>
      </c>
      <c r="BB850" t="s">
        <v>74</v>
      </c>
      <c r="BC850" t="s">
        <v>74</v>
      </c>
      <c r="BD850" t="s">
        <v>74</v>
      </c>
      <c r="BE850" t="s">
        <v>15247</v>
      </c>
      <c r="BF850" t="str">
        <f>HYPERLINK("http://dx.doi.org/10.1080/01639625.2023.2235058","http://dx.doi.org/10.1080/01639625.2023.2235058")</f>
        <v>http://dx.doi.org/10.1080/01639625.2023.2235058</v>
      </c>
      <c r="BG850" t="s">
        <v>74</v>
      </c>
      <c r="BH850" t="s">
        <v>12687</v>
      </c>
      <c r="BI850">
        <v>21</v>
      </c>
      <c r="BJ850" t="s">
        <v>11165</v>
      </c>
      <c r="BK850" t="s">
        <v>272</v>
      </c>
      <c r="BL850" t="s">
        <v>11166</v>
      </c>
      <c r="BM850" t="s">
        <v>15248</v>
      </c>
      <c r="BN850" t="s">
        <v>74</v>
      </c>
      <c r="BO850" t="s">
        <v>74</v>
      </c>
      <c r="BP850" t="s">
        <v>74</v>
      </c>
      <c r="BQ850" t="s">
        <v>74</v>
      </c>
      <c r="BR850" t="s">
        <v>105</v>
      </c>
      <c r="BS850" t="s">
        <v>15249</v>
      </c>
      <c r="BT850" t="str">
        <f>HYPERLINK("https%3A%2F%2Fwww.webofscience.com%2Fwos%2Fwoscc%2Ffull-record%2FWOS:001025503700001","View Full Record in Web of Science")</f>
        <v>View Full Record in Web of Science</v>
      </c>
    </row>
    <row r="851" spans="1:72" x14ac:dyDescent="0.15">
      <c r="A851" t="s">
        <v>72</v>
      </c>
      <c r="B851" t="s">
        <v>15250</v>
      </c>
      <c r="C851" t="s">
        <v>74</v>
      </c>
      <c r="D851" t="s">
        <v>74</v>
      </c>
      <c r="E851" t="s">
        <v>74</v>
      </c>
      <c r="F851" t="s">
        <v>15251</v>
      </c>
      <c r="G851" t="s">
        <v>74</v>
      </c>
      <c r="H851" t="s">
        <v>74</v>
      </c>
      <c r="I851" t="s">
        <v>15252</v>
      </c>
      <c r="J851" t="s">
        <v>11789</v>
      </c>
      <c r="K851" t="s">
        <v>74</v>
      </c>
      <c r="L851" t="s">
        <v>74</v>
      </c>
      <c r="M851" t="s">
        <v>78</v>
      </c>
      <c r="N851" t="s">
        <v>5492</v>
      </c>
      <c r="O851" t="s">
        <v>74</v>
      </c>
      <c r="P851" t="s">
        <v>74</v>
      </c>
      <c r="Q851" t="s">
        <v>74</v>
      </c>
      <c r="R851" t="s">
        <v>74</v>
      </c>
      <c r="S851" t="s">
        <v>74</v>
      </c>
      <c r="T851" t="s">
        <v>15253</v>
      </c>
      <c r="U851" t="s">
        <v>15254</v>
      </c>
      <c r="V851" t="s">
        <v>15255</v>
      </c>
      <c r="W851" t="s">
        <v>15256</v>
      </c>
      <c r="X851" t="s">
        <v>15257</v>
      </c>
      <c r="Y851" t="s">
        <v>15258</v>
      </c>
      <c r="Z851" t="s">
        <v>15259</v>
      </c>
      <c r="AA851" t="s">
        <v>15260</v>
      </c>
      <c r="AB851" t="s">
        <v>15261</v>
      </c>
      <c r="AC851" t="s">
        <v>15262</v>
      </c>
      <c r="AD851" t="s">
        <v>15263</v>
      </c>
      <c r="AE851" t="s">
        <v>15264</v>
      </c>
      <c r="AF851" t="s">
        <v>74</v>
      </c>
      <c r="AG851">
        <v>66</v>
      </c>
      <c r="AH851">
        <v>0</v>
      </c>
      <c r="AI851">
        <v>0</v>
      </c>
      <c r="AJ851">
        <v>6</v>
      </c>
      <c r="AK851">
        <v>6</v>
      </c>
      <c r="AL851" t="s">
        <v>1188</v>
      </c>
      <c r="AM851" t="s">
        <v>93</v>
      </c>
      <c r="AN851" t="s">
        <v>1189</v>
      </c>
      <c r="AO851" t="s">
        <v>11798</v>
      </c>
      <c r="AP851" t="s">
        <v>11799</v>
      </c>
      <c r="AQ851" t="s">
        <v>74</v>
      </c>
      <c r="AR851" t="s">
        <v>11800</v>
      </c>
      <c r="AS851" t="s">
        <v>11801</v>
      </c>
      <c r="AT851" t="s">
        <v>15209</v>
      </c>
      <c r="AU851">
        <v>2023</v>
      </c>
      <c r="AV851" t="s">
        <v>74</v>
      </c>
      <c r="AW851" t="s">
        <v>74</v>
      </c>
      <c r="AX851" t="s">
        <v>74</v>
      </c>
      <c r="AY851" t="s">
        <v>74</v>
      </c>
      <c r="AZ851" t="s">
        <v>74</v>
      </c>
      <c r="BA851" t="s">
        <v>74</v>
      </c>
      <c r="BB851" t="s">
        <v>74</v>
      </c>
      <c r="BC851" t="s">
        <v>74</v>
      </c>
      <c r="BD851" t="s">
        <v>74</v>
      </c>
      <c r="BE851" t="s">
        <v>15265</v>
      </c>
      <c r="BF851" t="str">
        <f>HYPERLINK("http://dx.doi.org/10.1080/09500693.2023.2232936","http://dx.doi.org/10.1080/09500693.2023.2232936")</f>
        <v>http://dx.doi.org/10.1080/09500693.2023.2232936</v>
      </c>
      <c r="BG851" t="s">
        <v>74</v>
      </c>
      <c r="BH851" t="s">
        <v>12687</v>
      </c>
      <c r="BI851">
        <v>20</v>
      </c>
      <c r="BJ851" t="s">
        <v>271</v>
      </c>
      <c r="BK851" t="s">
        <v>272</v>
      </c>
      <c r="BL851" t="s">
        <v>271</v>
      </c>
      <c r="BM851" t="s">
        <v>15266</v>
      </c>
      <c r="BN851" t="s">
        <v>74</v>
      </c>
      <c r="BO851" t="s">
        <v>74</v>
      </c>
      <c r="BP851" t="s">
        <v>74</v>
      </c>
      <c r="BQ851" t="s">
        <v>74</v>
      </c>
      <c r="BR851" t="s">
        <v>105</v>
      </c>
      <c r="BS851" t="s">
        <v>15267</v>
      </c>
      <c r="BT851" t="str">
        <f>HYPERLINK("https%3A%2F%2Fwww.webofscience.com%2Fwos%2Fwoscc%2Ffull-record%2FWOS:001024605500001","View Full Record in Web of Science")</f>
        <v>View Full Record in Web of Science</v>
      </c>
    </row>
    <row r="852" spans="1:72" x14ac:dyDescent="0.15">
      <c r="A852" t="s">
        <v>72</v>
      </c>
      <c r="B852" t="s">
        <v>15268</v>
      </c>
      <c r="C852" t="s">
        <v>74</v>
      </c>
      <c r="D852" t="s">
        <v>74</v>
      </c>
      <c r="E852" t="s">
        <v>74</v>
      </c>
      <c r="F852" t="s">
        <v>15269</v>
      </c>
      <c r="G852" t="s">
        <v>74</v>
      </c>
      <c r="H852" t="s">
        <v>74</v>
      </c>
      <c r="I852" t="s">
        <v>15270</v>
      </c>
      <c r="J852" t="s">
        <v>15271</v>
      </c>
      <c r="K852" t="s">
        <v>74</v>
      </c>
      <c r="L852" t="s">
        <v>74</v>
      </c>
      <c r="M852" t="s">
        <v>78</v>
      </c>
      <c r="N852" t="s">
        <v>5492</v>
      </c>
      <c r="O852" t="s">
        <v>74</v>
      </c>
      <c r="P852" t="s">
        <v>74</v>
      </c>
      <c r="Q852" t="s">
        <v>74</v>
      </c>
      <c r="R852" t="s">
        <v>74</v>
      </c>
      <c r="S852" t="s">
        <v>74</v>
      </c>
      <c r="T852" t="s">
        <v>15272</v>
      </c>
      <c r="U852" t="s">
        <v>15273</v>
      </c>
      <c r="V852" t="s">
        <v>15274</v>
      </c>
      <c r="W852" t="s">
        <v>15275</v>
      </c>
      <c r="X852" t="s">
        <v>15276</v>
      </c>
      <c r="Y852" t="s">
        <v>15277</v>
      </c>
      <c r="Z852" t="s">
        <v>15278</v>
      </c>
      <c r="AA852" t="s">
        <v>15279</v>
      </c>
      <c r="AB852" t="s">
        <v>74</v>
      </c>
      <c r="AC852" t="s">
        <v>74</v>
      </c>
      <c r="AD852" t="s">
        <v>74</v>
      </c>
      <c r="AE852" t="s">
        <v>74</v>
      </c>
      <c r="AF852" t="s">
        <v>74</v>
      </c>
      <c r="AG852">
        <v>63</v>
      </c>
      <c r="AH852">
        <v>1</v>
      </c>
      <c r="AI852">
        <v>1</v>
      </c>
      <c r="AJ852">
        <v>4</v>
      </c>
      <c r="AK852">
        <v>4</v>
      </c>
      <c r="AL852" t="s">
        <v>1188</v>
      </c>
      <c r="AM852" t="s">
        <v>93</v>
      </c>
      <c r="AN852" t="s">
        <v>1189</v>
      </c>
      <c r="AO852" t="s">
        <v>15280</v>
      </c>
      <c r="AP852" t="s">
        <v>15281</v>
      </c>
      <c r="AQ852" t="s">
        <v>74</v>
      </c>
      <c r="AR852" t="s">
        <v>15282</v>
      </c>
      <c r="AS852" t="s">
        <v>15283</v>
      </c>
      <c r="AT852" t="s">
        <v>15209</v>
      </c>
      <c r="AU852">
        <v>2023</v>
      </c>
      <c r="AV852" t="s">
        <v>74</v>
      </c>
      <c r="AW852" t="s">
        <v>74</v>
      </c>
      <c r="AX852" t="s">
        <v>74</v>
      </c>
      <c r="AY852" t="s">
        <v>74</v>
      </c>
      <c r="AZ852" t="s">
        <v>74</v>
      </c>
      <c r="BA852" t="s">
        <v>74</v>
      </c>
      <c r="BB852" t="s">
        <v>74</v>
      </c>
      <c r="BC852" t="s">
        <v>74</v>
      </c>
      <c r="BD852" t="s">
        <v>74</v>
      </c>
      <c r="BE852" t="s">
        <v>15284</v>
      </c>
      <c r="BF852" t="str">
        <f>HYPERLINK("http://dx.doi.org/10.1080/02619768.2023.2232943","http://dx.doi.org/10.1080/02619768.2023.2232943")</f>
        <v>http://dx.doi.org/10.1080/02619768.2023.2232943</v>
      </c>
      <c r="BG852" t="s">
        <v>74</v>
      </c>
      <c r="BH852" t="s">
        <v>12687</v>
      </c>
      <c r="BI852">
        <v>17</v>
      </c>
      <c r="BJ852" t="s">
        <v>271</v>
      </c>
      <c r="BK852" t="s">
        <v>272</v>
      </c>
      <c r="BL852" t="s">
        <v>271</v>
      </c>
      <c r="BM852" t="s">
        <v>15285</v>
      </c>
      <c r="BN852" t="s">
        <v>74</v>
      </c>
      <c r="BO852" t="s">
        <v>887</v>
      </c>
      <c r="BP852" t="s">
        <v>74</v>
      </c>
      <c r="BQ852" t="s">
        <v>74</v>
      </c>
      <c r="BR852" t="s">
        <v>105</v>
      </c>
      <c r="BS852" t="s">
        <v>15286</v>
      </c>
      <c r="BT852" t="str">
        <f>HYPERLINK("https%3A%2F%2Fwww.webofscience.com%2Fwos%2Fwoscc%2Ffull-record%2FWOS:001026389000001","View Full Record in Web of Science")</f>
        <v>View Full Record in Web of Science</v>
      </c>
    </row>
    <row r="853" spans="1:72" x14ac:dyDescent="0.15">
      <c r="A853" t="s">
        <v>72</v>
      </c>
      <c r="B853" t="s">
        <v>15287</v>
      </c>
      <c r="C853" t="s">
        <v>74</v>
      </c>
      <c r="D853" t="s">
        <v>74</v>
      </c>
      <c r="E853" t="s">
        <v>74</v>
      </c>
      <c r="F853" t="s">
        <v>15288</v>
      </c>
      <c r="G853" t="s">
        <v>74</v>
      </c>
      <c r="H853" t="s">
        <v>74</v>
      </c>
      <c r="I853" t="s">
        <v>15289</v>
      </c>
      <c r="J853" t="s">
        <v>15290</v>
      </c>
      <c r="K853" t="s">
        <v>74</v>
      </c>
      <c r="L853" t="s">
        <v>74</v>
      </c>
      <c r="M853" t="s">
        <v>78</v>
      </c>
      <c r="N853" t="s">
        <v>6253</v>
      </c>
      <c r="O853" t="s">
        <v>74</v>
      </c>
      <c r="P853" t="s">
        <v>74</v>
      </c>
      <c r="Q853" t="s">
        <v>74</v>
      </c>
      <c r="R853" t="s">
        <v>74</v>
      </c>
      <c r="S853" t="s">
        <v>74</v>
      </c>
      <c r="T853" t="s">
        <v>74</v>
      </c>
      <c r="U853" t="s">
        <v>74</v>
      </c>
      <c r="V853" t="s">
        <v>74</v>
      </c>
      <c r="W853" t="s">
        <v>15291</v>
      </c>
      <c r="X853" t="s">
        <v>15292</v>
      </c>
      <c r="Y853" t="s">
        <v>15293</v>
      </c>
      <c r="Z853" t="s">
        <v>15294</v>
      </c>
      <c r="AA853" t="s">
        <v>15295</v>
      </c>
      <c r="AB853" t="s">
        <v>74</v>
      </c>
      <c r="AC853" t="s">
        <v>74</v>
      </c>
      <c r="AD853" t="s">
        <v>74</v>
      </c>
      <c r="AE853" t="s">
        <v>74</v>
      </c>
      <c r="AF853" t="s">
        <v>74</v>
      </c>
      <c r="AG853">
        <v>1</v>
      </c>
      <c r="AH853">
        <v>0</v>
      </c>
      <c r="AI853">
        <v>0</v>
      </c>
      <c r="AJ853">
        <v>0</v>
      </c>
      <c r="AK853">
        <v>0</v>
      </c>
      <c r="AL853" t="s">
        <v>1188</v>
      </c>
      <c r="AM853" t="s">
        <v>93</v>
      </c>
      <c r="AN853" t="s">
        <v>1189</v>
      </c>
      <c r="AO853" t="s">
        <v>15296</v>
      </c>
      <c r="AP853" t="s">
        <v>15297</v>
      </c>
      <c r="AQ853" t="s">
        <v>74</v>
      </c>
      <c r="AR853" t="s">
        <v>15298</v>
      </c>
      <c r="AS853" t="s">
        <v>15299</v>
      </c>
      <c r="AT853" t="s">
        <v>15209</v>
      </c>
      <c r="AU853">
        <v>2023</v>
      </c>
      <c r="AV853" t="s">
        <v>74</v>
      </c>
      <c r="AW853" t="s">
        <v>74</v>
      </c>
      <c r="AX853" t="s">
        <v>74</v>
      </c>
      <c r="AY853" t="s">
        <v>74</v>
      </c>
      <c r="AZ853" t="s">
        <v>74</v>
      </c>
      <c r="BA853" t="s">
        <v>74</v>
      </c>
      <c r="BB853" t="s">
        <v>74</v>
      </c>
      <c r="BC853" t="s">
        <v>74</v>
      </c>
      <c r="BD853" t="s">
        <v>74</v>
      </c>
      <c r="BE853" t="s">
        <v>15300</v>
      </c>
      <c r="BF853" t="str">
        <f>HYPERLINK("http://dx.doi.org/10.1080/09639489.2023.2229739","http://dx.doi.org/10.1080/09639489.2023.2229739")</f>
        <v>http://dx.doi.org/10.1080/09639489.2023.2229739</v>
      </c>
      <c r="BG853" t="s">
        <v>74</v>
      </c>
      <c r="BH853" t="s">
        <v>12687</v>
      </c>
      <c r="BI853">
        <v>2</v>
      </c>
      <c r="BJ853" t="s">
        <v>6263</v>
      </c>
      <c r="BK853" t="s">
        <v>6264</v>
      </c>
      <c r="BL853" t="s">
        <v>6263</v>
      </c>
      <c r="BM853" t="s">
        <v>15301</v>
      </c>
      <c r="BN853" t="s">
        <v>74</v>
      </c>
      <c r="BO853" t="s">
        <v>74</v>
      </c>
      <c r="BP853" t="s">
        <v>74</v>
      </c>
      <c r="BQ853" t="s">
        <v>74</v>
      </c>
      <c r="BR853" t="s">
        <v>105</v>
      </c>
      <c r="BS853" t="s">
        <v>15302</v>
      </c>
      <c r="BT853" t="str">
        <f>HYPERLINK("https%3A%2F%2Fwww.webofscience.com%2Fwos%2Fwoscc%2Ffull-record%2FWOS:001027627800001","View Full Record in Web of Science")</f>
        <v>View Full Record in Web of Science</v>
      </c>
    </row>
    <row r="854" spans="1:72" x14ac:dyDescent="0.15">
      <c r="A854" t="s">
        <v>72</v>
      </c>
      <c r="B854" t="s">
        <v>15303</v>
      </c>
      <c r="C854" t="s">
        <v>74</v>
      </c>
      <c r="D854" t="s">
        <v>74</v>
      </c>
      <c r="E854" t="s">
        <v>74</v>
      </c>
      <c r="F854" t="s">
        <v>15304</v>
      </c>
      <c r="G854" t="s">
        <v>74</v>
      </c>
      <c r="H854" t="s">
        <v>74</v>
      </c>
      <c r="I854" t="s">
        <v>15305</v>
      </c>
      <c r="J854" t="s">
        <v>15306</v>
      </c>
      <c r="K854" t="s">
        <v>74</v>
      </c>
      <c r="L854" t="s">
        <v>74</v>
      </c>
      <c r="M854" t="s">
        <v>78</v>
      </c>
      <c r="N854" t="s">
        <v>5492</v>
      </c>
      <c r="O854" t="s">
        <v>74</v>
      </c>
      <c r="P854" t="s">
        <v>74</v>
      </c>
      <c r="Q854" t="s">
        <v>74</v>
      </c>
      <c r="R854" t="s">
        <v>74</v>
      </c>
      <c r="S854" t="s">
        <v>74</v>
      </c>
      <c r="T854" t="s">
        <v>15307</v>
      </c>
      <c r="U854" t="s">
        <v>15308</v>
      </c>
      <c r="V854" t="s">
        <v>15309</v>
      </c>
      <c r="W854" t="s">
        <v>15310</v>
      </c>
      <c r="X854" t="s">
        <v>15311</v>
      </c>
      <c r="Y854" t="s">
        <v>15312</v>
      </c>
      <c r="Z854" t="s">
        <v>15313</v>
      </c>
      <c r="AA854" t="s">
        <v>74</v>
      </c>
      <c r="AB854" t="s">
        <v>74</v>
      </c>
      <c r="AC854" t="s">
        <v>74</v>
      </c>
      <c r="AD854" t="s">
        <v>74</v>
      </c>
      <c r="AE854" t="s">
        <v>74</v>
      </c>
      <c r="AF854" t="s">
        <v>74</v>
      </c>
      <c r="AG854">
        <v>74</v>
      </c>
      <c r="AH854">
        <v>0</v>
      </c>
      <c r="AI854">
        <v>0</v>
      </c>
      <c r="AJ854">
        <v>3</v>
      </c>
      <c r="AK854">
        <v>3</v>
      </c>
      <c r="AL854" t="s">
        <v>1188</v>
      </c>
      <c r="AM854" t="s">
        <v>93</v>
      </c>
      <c r="AN854" t="s">
        <v>1189</v>
      </c>
      <c r="AO854" t="s">
        <v>15314</v>
      </c>
      <c r="AP854" t="s">
        <v>15315</v>
      </c>
      <c r="AQ854" t="s">
        <v>74</v>
      </c>
      <c r="AR854" t="s">
        <v>15316</v>
      </c>
      <c r="AS854" t="s">
        <v>15317</v>
      </c>
      <c r="AT854" t="s">
        <v>15209</v>
      </c>
      <c r="AU854">
        <v>2023</v>
      </c>
      <c r="AV854" t="s">
        <v>74</v>
      </c>
      <c r="AW854" t="s">
        <v>74</v>
      </c>
      <c r="AX854" t="s">
        <v>74</v>
      </c>
      <c r="AY854" t="s">
        <v>74</v>
      </c>
      <c r="AZ854" t="s">
        <v>74</v>
      </c>
      <c r="BA854" t="s">
        <v>74</v>
      </c>
      <c r="BB854" t="s">
        <v>74</v>
      </c>
      <c r="BC854" t="s">
        <v>74</v>
      </c>
      <c r="BD854" t="s">
        <v>74</v>
      </c>
      <c r="BE854" t="s">
        <v>15318</v>
      </c>
      <c r="BF854" t="str">
        <f>HYPERLINK("http://dx.doi.org/10.1080/09638199.2023.2232882","http://dx.doi.org/10.1080/09638199.2023.2232882")</f>
        <v>http://dx.doi.org/10.1080/09638199.2023.2232882</v>
      </c>
      <c r="BG854" t="s">
        <v>74</v>
      </c>
      <c r="BH854" t="s">
        <v>12687</v>
      </c>
      <c r="BI854">
        <v>17</v>
      </c>
      <c r="BJ854" t="s">
        <v>373</v>
      </c>
      <c r="BK854" t="s">
        <v>272</v>
      </c>
      <c r="BL854" t="s">
        <v>295</v>
      </c>
      <c r="BM854" t="s">
        <v>15319</v>
      </c>
      <c r="BN854" t="s">
        <v>74</v>
      </c>
      <c r="BO854" t="s">
        <v>74</v>
      </c>
      <c r="BP854" t="s">
        <v>74</v>
      </c>
      <c r="BQ854" t="s">
        <v>74</v>
      </c>
      <c r="BR854" t="s">
        <v>105</v>
      </c>
      <c r="BS854" t="s">
        <v>15320</v>
      </c>
      <c r="BT854" t="str">
        <f>HYPERLINK("https%3A%2F%2Fwww.webofscience.com%2Fwos%2Fwoscc%2Ffull-record%2FWOS:001026311100001","View Full Record in Web of Science")</f>
        <v>View Full Record in Web of Science</v>
      </c>
    </row>
    <row r="855" spans="1:72" x14ac:dyDescent="0.15">
      <c r="A855" t="s">
        <v>72</v>
      </c>
      <c r="B855" t="s">
        <v>15321</v>
      </c>
      <c r="C855" t="s">
        <v>74</v>
      </c>
      <c r="D855" t="s">
        <v>74</v>
      </c>
      <c r="E855" t="s">
        <v>74</v>
      </c>
      <c r="F855" t="s">
        <v>15322</v>
      </c>
      <c r="G855" t="s">
        <v>74</v>
      </c>
      <c r="H855" t="s">
        <v>74</v>
      </c>
      <c r="I855" t="s">
        <v>15323</v>
      </c>
      <c r="J855" t="s">
        <v>15324</v>
      </c>
      <c r="K855" t="s">
        <v>74</v>
      </c>
      <c r="L855" t="s">
        <v>74</v>
      </c>
      <c r="M855" t="s">
        <v>78</v>
      </c>
      <c r="N855" t="s">
        <v>79</v>
      </c>
      <c r="O855" t="s">
        <v>74</v>
      </c>
      <c r="P855" t="s">
        <v>74</v>
      </c>
      <c r="Q855" t="s">
        <v>74</v>
      </c>
      <c r="R855" t="s">
        <v>74</v>
      </c>
      <c r="S855" t="s">
        <v>74</v>
      </c>
      <c r="T855" t="s">
        <v>15325</v>
      </c>
      <c r="U855" t="s">
        <v>15326</v>
      </c>
      <c r="V855" t="s">
        <v>15327</v>
      </c>
      <c r="W855" t="s">
        <v>15328</v>
      </c>
      <c r="X855" t="s">
        <v>15329</v>
      </c>
      <c r="Y855" t="s">
        <v>15330</v>
      </c>
      <c r="Z855" t="s">
        <v>15331</v>
      </c>
      <c r="AA855" t="s">
        <v>15332</v>
      </c>
      <c r="AB855" t="s">
        <v>15333</v>
      </c>
      <c r="AC855" t="s">
        <v>74</v>
      </c>
      <c r="AD855" t="s">
        <v>74</v>
      </c>
      <c r="AE855" t="s">
        <v>74</v>
      </c>
      <c r="AF855" t="s">
        <v>74</v>
      </c>
      <c r="AG855">
        <v>54</v>
      </c>
      <c r="AH855">
        <v>0</v>
      </c>
      <c r="AI855">
        <v>0</v>
      </c>
      <c r="AJ855">
        <v>0</v>
      </c>
      <c r="AK855">
        <v>0</v>
      </c>
      <c r="AL855" t="s">
        <v>1188</v>
      </c>
      <c r="AM855" t="s">
        <v>93</v>
      </c>
      <c r="AN855" t="s">
        <v>1189</v>
      </c>
      <c r="AO855" t="s">
        <v>15334</v>
      </c>
      <c r="AP855" t="s">
        <v>15335</v>
      </c>
      <c r="AQ855" t="s">
        <v>74</v>
      </c>
      <c r="AR855" t="s">
        <v>15336</v>
      </c>
      <c r="AS855" t="s">
        <v>15337</v>
      </c>
      <c r="AT855" t="s">
        <v>13171</v>
      </c>
      <c r="AU855">
        <v>2023</v>
      </c>
      <c r="AV855">
        <v>43</v>
      </c>
      <c r="AW855">
        <v>3</v>
      </c>
      <c r="AX855" t="s">
        <v>74</v>
      </c>
      <c r="AY855" t="s">
        <v>74</v>
      </c>
      <c r="AZ855" t="s">
        <v>5344</v>
      </c>
      <c r="BA855" t="s">
        <v>74</v>
      </c>
      <c r="BB855">
        <v>528</v>
      </c>
      <c r="BC855">
        <v>544</v>
      </c>
      <c r="BD855" t="s">
        <v>74</v>
      </c>
      <c r="BE855" t="s">
        <v>15338</v>
      </c>
      <c r="BF855" t="str">
        <f>HYPERLINK("http://dx.doi.org/10.1080/09575146.2023.2227782","http://dx.doi.org/10.1080/09575146.2023.2227782")</f>
        <v>http://dx.doi.org/10.1080/09575146.2023.2227782</v>
      </c>
      <c r="BG855" t="s">
        <v>74</v>
      </c>
      <c r="BH855" t="s">
        <v>12687</v>
      </c>
      <c r="BI855">
        <v>17</v>
      </c>
      <c r="BJ855" t="s">
        <v>271</v>
      </c>
      <c r="BK855" t="s">
        <v>272</v>
      </c>
      <c r="BL855" t="s">
        <v>271</v>
      </c>
      <c r="BM855" t="s">
        <v>15339</v>
      </c>
      <c r="BN855" t="s">
        <v>74</v>
      </c>
      <c r="BO855" t="s">
        <v>74</v>
      </c>
      <c r="BP855" t="s">
        <v>74</v>
      </c>
      <c r="BQ855" t="s">
        <v>74</v>
      </c>
      <c r="BR855" t="s">
        <v>105</v>
      </c>
      <c r="BS855" t="s">
        <v>15340</v>
      </c>
      <c r="BT855" t="str">
        <f>HYPERLINK("https%3A%2F%2Fwww.webofscience.com%2Fwos%2Fwoscc%2Ffull-record%2FWOS:001025543600001","View Full Record in Web of Science")</f>
        <v>View Full Record in Web of Science</v>
      </c>
    </row>
    <row r="856" spans="1:72" x14ac:dyDescent="0.15">
      <c r="A856" t="s">
        <v>72</v>
      </c>
      <c r="B856" t="s">
        <v>15341</v>
      </c>
      <c r="C856" t="s">
        <v>74</v>
      </c>
      <c r="D856" t="s">
        <v>74</v>
      </c>
      <c r="E856" t="s">
        <v>74</v>
      </c>
      <c r="F856" t="s">
        <v>15342</v>
      </c>
      <c r="G856" t="s">
        <v>74</v>
      </c>
      <c r="H856" t="s">
        <v>74</v>
      </c>
      <c r="I856" t="s">
        <v>15343</v>
      </c>
      <c r="J856" t="s">
        <v>15344</v>
      </c>
      <c r="K856" t="s">
        <v>74</v>
      </c>
      <c r="L856" t="s">
        <v>74</v>
      </c>
      <c r="M856" t="s">
        <v>78</v>
      </c>
      <c r="N856" t="s">
        <v>79</v>
      </c>
      <c r="O856" t="s">
        <v>74</v>
      </c>
      <c r="P856" t="s">
        <v>74</v>
      </c>
      <c r="Q856" t="s">
        <v>74</v>
      </c>
      <c r="R856" t="s">
        <v>74</v>
      </c>
      <c r="S856" t="s">
        <v>74</v>
      </c>
      <c r="T856" t="s">
        <v>15345</v>
      </c>
      <c r="U856" t="s">
        <v>74</v>
      </c>
      <c r="V856" t="s">
        <v>15346</v>
      </c>
      <c r="W856" t="s">
        <v>15347</v>
      </c>
      <c r="X856" t="s">
        <v>15348</v>
      </c>
      <c r="Y856" t="s">
        <v>15349</v>
      </c>
      <c r="Z856" t="s">
        <v>15350</v>
      </c>
      <c r="AA856" t="s">
        <v>74</v>
      </c>
      <c r="AB856" t="s">
        <v>15351</v>
      </c>
      <c r="AC856" t="s">
        <v>15352</v>
      </c>
      <c r="AD856" t="s">
        <v>15353</v>
      </c>
      <c r="AE856" t="s">
        <v>15354</v>
      </c>
      <c r="AF856" t="s">
        <v>74</v>
      </c>
      <c r="AG856">
        <v>38</v>
      </c>
      <c r="AH856">
        <v>0</v>
      </c>
      <c r="AI856">
        <v>0</v>
      </c>
      <c r="AJ856">
        <v>1</v>
      </c>
      <c r="AK856">
        <v>1</v>
      </c>
      <c r="AL856" t="s">
        <v>92</v>
      </c>
      <c r="AM856" t="s">
        <v>93</v>
      </c>
      <c r="AN856" t="s">
        <v>94</v>
      </c>
      <c r="AO856" t="s">
        <v>15355</v>
      </c>
      <c r="AP856" t="s">
        <v>15356</v>
      </c>
      <c r="AQ856" t="s">
        <v>74</v>
      </c>
      <c r="AR856" t="s">
        <v>15357</v>
      </c>
      <c r="AS856" t="s">
        <v>15358</v>
      </c>
      <c r="AT856" t="s">
        <v>12289</v>
      </c>
      <c r="AU856">
        <v>2023</v>
      </c>
      <c r="AV856">
        <v>65</v>
      </c>
      <c r="AW856">
        <v>3</v>
      </c>
      <c r="AX856" t="s">
        <v>74</v>
      </c>
      <c r="AY856" t="s">
        <v>74</v>
      </c>
      <c r="AZ856" t="s">
        <v>74</v>
      </c>
      <c r="BA856" t="s">
        <v>74</v>
      </c>
      <c r="BB856">
        <v>433</v>
      </c>
      <c r="BC856">
        <v>449</v>
      </c>
      <c r="BD856" t="s">
        <v>74</v>
      </c>
      <c r="BE856" t="s">
        <v>15359</v>
      </c>
      <c r="BF856" t="str">
        <f>HYPERLINK("http://dx.doi.org/10.1080/21664250.2023.2233312","http://dx.doi.org/10.1080/21664250.2023.2233312")</f>
        <v>http://dx.doi.org/10.1080/21664250.2023.2233312</v>
      </c>
      <c r="BG856" t="s">
        <v>74</v>
      </c>
      <c r="BH856" t="s">
        <v>12687</v>
      </c>
      <c r="BI856">
        <v>17</v>
      </c>
      <c r="BJ856" t="s">
        <v>15360</v>
      </c>
      <c r="BK856" t="s">
        <v>102</v>
      </c>
      <c r="BL856" t="s">
        <v>1095</v>
      </c>
      <c r="BM856" t="s">
        <v>15361</v>
      </c>
      <c r="BN856" t="s">
        <v>74</v>
      </c>
      <c r="BO856" t="s">
        <v>74</v>
      </c>
      <c r="BP856" t="s">
        <v>74</v>
      </c>
      <c r="BQ856" t="s">
        <v>74</v>
      </c>
      <c r="BR856" t="s">
        <v>105</v>
      </c>
      <c r="BS856" t="s">
        <v>15362</v>
      </c>
      <c r="BT856" t="str">
        <f>HYPERLINK("https%3A%2F%2Fwww.webofscience.com%2Fwos%2Fwoscc%2Ffull-record%2FWOS:001027657400001","View Full Record in Web of Science")</f>
        <v>View Full Record in Web of Science</v>
      </c>
    </row>
    <row r="857" spans="1:72" x14ac:dyDescent="0.15">
      <c r="A857" t="s">
        <v>72</v>
      </c>
      <c r="B857" t="s">
        <v>15363</v>
      </c>
      <c r="C857" t="s">
        <v>74</v>
      </c>
      <c r="D857" t="s">
        <v>74</v>
      </c>
      <c r="E857" t="s">
        <v>74</v>
      </c>
      <c r="F857" t="s">
        <v>15364</v>
      </c>
      <c r="G857" t="s">
        <v>74</v>
      </c>
      <c r="H857" t="s">
        <v>74</v>
      </c>
      <c r="I857" t="s">
        <v>15365</v>
      </c>
      <c r="J857" t="s">
        <v>13600</v>
      </c>
      <c r="K857" t="s">
        <v>74</v>
      </c>
      <c r="L857" t="s">
        <v>74</v>
      </c>
      <c r="M857" t="s">
        <v>78</v>
      </c>
      <c r="N857" t="s">
        <v>5492</v>
      </c>
      <c r="O857" t="s">
        <v>74</v>
      </c>
      <c r="P857" t="s">
        <v>74</v>
      </c>
      <c r="Q857" t="s">
        <v>74</v>
      </c>
      <c r="R857" t="s">
        <v>74</v>
      </c>
      <c r="S857" t="s">
        <v>74</v>
      </c>
      <c r="T857" t="s">
        <v>15366</v>
      </c>
      <c r="U857" t="s">
        <v>15367</v>
      </c>
      <c r="V857" t="s">
        <v>15368</v>
      </c>
      <c r="W857" t="s">
        <v>15369</v>
      </c>
      <c r="X857" t="s">
        <v>15370</v>
      </c>
      <c r="Y857" t="s">
        <v>15371</v>
      </c>
      <c r="Z857" t="s">
        <v>15372</v>
      </c>
      <c r="AA857" t="s">
        <v>74</v>
      </c>
      <c r="AB857" t="s">
        <v>15373</v>
      </c>
      <c r="AC857" t="s">
        <v>15374</v>
      </c>
      <c r="AD857" t="s">
        <v>15375</v>
      </c>
      <c r="AE857" t="s">
        <v>15376</v>
      </c>
      <c r="AF857" t="s">
        <v>74</v>
      </c>
      <c r="AG857">
        <v>58</v>
      </c>
      <c r="AH857">
        <v>0</v>
      </c>
      <c r="AI857">
        <v>0</v>
      </c>
      <c r="AJ857">
        <v>2</v>
      </c>
      <c r="AK857">
        <v>2</v>
      </c>
      <c r="AL857" t="s">
        <v>287</v>
      </c>
      <c r="AM857" t="s">
        <v>288</v>
      </c>
      <c r="AN857" t="s">
        <v>289</v>
      </c>
      <c r="AO857" t="s">
        <v>13610</v>
      </c>
      <c r="AP857" t="s">
        <v>13611</v>
      </c>
      <c r="AQ857" t="s">
        <v>74</v>
      </c>
      <c r="AR857" t="s">
        <v>13612</v>
      </c>
      <c r="AS857" t="s">
        <v>13613</v>
      </c>
      <c r="AT857" t="s">
        <v>15209</v>
      </c>
      <c r="AU857">
        <v>2023</v>
      </c>
      <c r="AV857" t="s">
        <v>74</v>
      </c>
      <c r="AW857" t="s">
        <v>74</v>
      </c>
      <c r="AX857" t="s">
        <v>74</v>
      </c>
      <c r="AY857" t="s">
        <v>74</v>
      </c>
      <c r="AZ857" t="s">
        <v>74</v>
      </c>
      <c r="BA857" t="s">
        <v>74</v>
      </c>
      <c r="BB857" t="s">
        <v>74</v>
      </c>
      <c r="BC857" t="s">
        <v>74</v>
      </c>
      <c r="BD857" t="s">
        <v>74</v>
      </c>
      <c r="BE857" t="s">
        <v>15377</v>
      </c>
      <c r="BF857" t="str">
        <f>HYPERLINK("http://dx.doi.org/10.1080/00914037.2023.2233043","http://dx.doi.org/10.1080/00914037.2023.2233043")</f>
        <v>http://dx.doi.org/10.1080/00914037.2023.2233043</v>
      </c>
      <c r="BG857" t="s">
        <v>74</v>
      </c>
      <c r="BH857" t="s">
        <v>12687</v>
      </c>
      <c r="BI857">
        <v>15</v>
      </c>
      <c r="BJ857" t="s">
        <v>13615</v>
      </c>
      <c r="BK857" t="s">
        <v>102</v>
      </c>
      <c r="BL857" t="s">
        <v>13616</v>
      </c>
      <c r="BM857" t="s">
        <v>15378</v>
      </c>
      <c r="BN857" t="s">
        <v>74</v>
      </c>
      <c r="BO857" t="s">
        <v>74</v>
      </c>
      <c r="BP857" t="s">
        <v>74</v>
      </c>
      <c r="BQ857" t="s">
        <v>74</v>
      </c>
      <c r="BR857" t="s">
        <v>105</v>
      </c>
      <c r="BS857" t="s">
        <v>15379</v>
      </c>
      <c r="BT857" t="str">
        <f>HYPERLINK("https%3A%2F%2Fwww.webofscience.com%2Fwos%2Fwoscc%2Ffull-record%2FWOS:001024685700001","View Full Record in Web of Science")</f>
        <v>View Full Record in Web of Science</v>
      </c>
    </row>
    <row r="858" spans="1:72" x14ac:dyDescent="0.15">
      <c r="A858" t="s">
        <v>72</v>
      </c>
      <c r="B858" t="s">
        <v>15380</v>
      </c>
      <c r="C858" t="s">
        <v>74</v>
      </c>
      <c r="D858" t="s">
        <v>74</v>
      </c>
      <c r="E858" t="s">
        <v>74</v>
      </c>
      <c r="F858" t="s">
        <v>15381</v>
      </c>
      <c r="G858" t="s">
        <v>74</v>
      </c>
      <c r="H858" t="s">
        <v>74</v>
      </c>
      <c r="I858" t="s">
        <v>15382</v>
      </c>
      <c r="J858" t="s">
        <v>15383</v>
      </c>
      <c r="K858" t="s">
        <v>74</v>
      </c>
      <c r="L858" t="s">
        <v>74</v>
      </c>
      <c r="M858" t="s">
        <v>78</v>
      </c>
      <c r="N858" t="s">
        <v>5492</v>
      </c>
      <c r="O858" t="s">
        <v>74</v>
      </c>
      <c r="P858" t="s">
        <v>74</v>
      </c>
      <c r="Q858" t="s">
        <v>74</v>
      </c>
      <c r="R858" t="s">
        <v>74</v>
      </c>
      <c r="S858" t="s">
        <v>74</v>
      </c>
      <c r="T858" t="s">
        <v>74</v>
      </c>
      <c r="U858" t="s">
        <v>15384</v>
      </c>
      <c r="V858" t="s">
        <v>15385</v>
      </c>
      <c r="W858" t="s">
        <v>15386</v>
      </c>
      <c r="X858" t="s">
        <v>15387</v>
      </c>
      <c r="Y858" t="s">
        <v>15388</v>
      </c>
      <c r="Z858" t="s">
        <v>15389</v>
      </c>
      <c r="AA858" t="s">
        <v>15390</v>
      </c>
      <c r="AB858" t="s">
        <v>15391</v>
      </c>
      <c r="AC858" t="s">
        <v>74</v>
      </c>
      <c r="AD858" t="s">
        <v>74</v>
      </c>
      <c r="AE858" t="s">
        <v>74</v>
      </c>
      <c r="AF858" t="s">
        <v>74</v>
      </c>
      <c r="AG858">
        <v>55</v>
      </c>
      <c r="AH858">
        <v>0</v>
      </c>
      <c r="AI858">
        <v>0</v>
      </c>
      <c r="AJ858">
        <v>0</v>
      </c>
      <c r="AK858">
        <v>0</v>
      </c>
      <c r="AL858" t="s">
        <v>1188</v>
      </c>
      <c r="AM858" t="s">
        <v>93</v>
      </c>
      <c r="AN858" t="s">
        <v>1189</v>
      </c>
      <c r="AO858" t="s">
        <v>15392</v>
      </c>
      <c r="AP858" t="s">
        <v>15393</v>
      </c>
      <c r="AQ858" t="s">
        <v>74</v>
      </c>
      <c r="AR858" t="s">
        <v>15394</v>
      </c>
      <c r="AS858" t="s">
        <v>15395</v>
      </c>
      <c r="AT858" t="s">
        <v>15209</v>
      </c>
      <c r="AU858">
        <v>2023</v>
      </c>
      <c r="AV858" t="s">
        <v>74</v>
      </c>
      <c r="AW858" t="s">
        <v>74</v>
      </c>
      <c r="AX858" t="s">
        <v>74</v>
      </c>
      <c r="AY858" t="s">
        <v>74</v>
      </c>
      <c r="AZ858" t="s">
        <v>74</v>
      </c>
      <c r="BA858" t="s">
        <v>74</v>
      </c>
      <c r="BB858" t="s">
        <v>74</v>
      </c>
      <c r="BC858" t="s">
        <v>74</v>
      </c>
      <c r="BD858" t="s">
        <v>74</v>
      </c>
      <c r="BE858" t="s">
        <v>15396</v>
      </c>
      <c r="BF858" t="str">
        <f>HYPERLINK("http://dx.doi.org/10.1080/10474412.2023.2232785","http://dx.doi.org/10.1080/10474412.2023.2232785")</f>
        <v>http://dx.doi.org/10.1080/10474412.2023.2232785</v>
      </c>
      <c r="BG858" t="s">
        <v>74</v>
      </c>
      <c r="BH858" t="s">
        <v>12687</v>
      </c>
      <c r="BI858">
        <v>25</v>
      </c>
      <c r="BJ858" t="s">
        <v>13700</v>
      </c>
      <c r="BK858" t="s">
        <v>272</v>
      </c>
      <c r="BL858" t="s">
        <v>1691</v>
      </c>
      <c r="BM858" t="s">
        <v>15397</v>
      </c>
      <c r="BN858" t="s">
        <v>74</v>
      </c>
      <c r="BO858" t="s">
        <v>74</v>
      </c>
      <c r="BP858" t="s">
        <v>74</v>
      </c>
      <c r="BQ858" t="s">
        <v>74</v>
      </c>
      <c r="BR858" t="s">
        <v>105</v>
      </c>
      <c r="BS858" t="s">
        <v>15398</v>
      </c>
      <c r="BT858" t="str">
        <f>HYPERLINK("https%3A%2F%2Fwww.webofscience.com%2Fwos%2Fwoscc%2Ffull-record%2FWOS:001025502800001","View Full Record in Web of Science")</f>
        <v>View Full Record in Web of Science</v>
      </c>
    </row>
    <row r="859" spans="1:72" x14ac:dyDescent="0.15">
      <c r="A859" t="s">
        <v>72</v>
      </c>
      <c r="B859" t="s">
        <v>15399</v>
      </c>
      <c r="C859" t="s">
        <v>74</v>
      </c>
      <c r="D859" t="s">
        <v>74</v>
      </c>
      <c r="E859" t="s">
        <v>74</v>
      </c>
      <c r="F859" t="s">
        <v>15400</v>
      </c>
      <c r="G859" t="s">
        <v>74</v>
      </c>
      <c r="H859" t="s">
        <v>74</v>
      </c>
      <c r="I859" t="s">
        <v>15401</v>
      </c>
      <c r="J859" t="s">
        <v>15402</v>
      </c>
      <c r="K859" t="s">
        <v>74</v>
      </c>
      <c r="L859" t="s">
        <v>74</v>
      </c>
      <c r="M859" t="s">
        <v>78</v>
      </c>
      <c r="N859" t="s">
        <v>79</v>
      </c>
      <c r="O859" t="s">
        <v>74</v>
      </c>
      <c r="P859" t="s">
        <v>74</v>
      </c>
      <c r="Q859" t="s">
        <v>74</v>
      </c>
      <c r="R859" t="s">
        <v>74</v>
      </c>
      <c r="S859" t="s">
        <v>74</v>
      </c>
      <c r="T859" t="s">
        <v>74</v>
      </c>
      <c r="U859" t="s">
        <v>15403</v>
      </c>
      <c r="V859" t="s">
        <v>15404</v>
      </c>
      <c r="W859" t="s">
        <v>15405</v>
      </c>
      <c r="X859" t="s">
        <v>13056</v>
      </c>
      <c r="Y859" t="s">
        <v>15406</v>
      </c>
      <c r="Z859" t="s">
        <v>15407</v>
      </c>
      <c r="AA859" t="s">
        <v>74</v>
      </c>
      <c r="AB859" t="s">
        <v>74</v>
      </c>
      <c r="AC859" t="s">
        <v>15408</v>
      </c>
      <c r="AD859" t="s">
        <v>15409</v>
      </c>
      <c r="AE859" t="s">
        <v>15410</v>
      </c>
      <c r="AF859" t="s">
        <v>74</v>
      </c>
      <c r="AG859">
        <v>41</v>
      </c>
      <c r="AH859">
        <v>0</v>
      </c>
      <c r="AI859">
        <v>0</v>
      </c>
      <c r="AJ859">
        <v>4</v>
      </c>
      <c r="AK859">
        <v>4</v>
      </c>
      <c r="AL859" t="s">
        <v>184</v>
      </c>
      <c r="AM859" t="s">
        <v>185</v>
      </c>
      <c r="AN859" t="s">
        <v>186</v>
      </c>
      <c r="AO859" t="s">
        <v>15411</v>
      </c>
      <c r="AP859" t="s">
        <v>15412</v>
      </c>
      <c r="AQ859" t="s">
        <v>74</v>
      </c>
      <c r="AR859" t="s">
        <v>15413</v>
      </c>
      <c r="AS859" t="s">
        <v>15414</v>
      </c>
      <c r="AT859" t="s">
        <v>15415</v>
      </c>
      <c r="AU859">
        <v>2023</v>
      </c>
      <c r="AV859">
        <v>49</v>
      </c>
      <c r="AW859">
        <v>1</v>
      </c>
      <c r="AX859" t="s">
        <v>74</v>
      </c>
      <c r="AY859" t="s">
        <v>74</v>
      </c>
      <c r="AZ859" t="s">
        <v>74</v>
      </c>
      <c r="BA859" t="s">
        <v>74</v>
      </c>
      <c r="BB859" t="s">
        <v>74</v>
      </c>
      <c r="BC859" t="s">
        <v>74</v>
      </c>
      <c r="BD859">
        <v>2236243</v>
      </c>
      <c r="BE859" t="s">
        <v>15416</v>
      </c>
      <c r="BF859" t="str">
        <f>HYPERLINK("http://dx.doi.org/10.1080/07038992.2023.2236243","http://dx.doi.org/10.1080/07038992.2023.2236243")</f>
        <v>http://dx.doi.org/10.1080/07038992.2023.2236243</v>
      </c>
      <c r="BG859" t="s">
        <v>74</v>
      </c>
      <c r="BH859" t="s">
        <v>74</v>
      </c>
      <c r="BI859">
        <v>18</v>
      </c>
      <c r="BJ859" t="s">
        <v>2317</v>
      </c>
      <c r="BK859" t="s">
        <v>102</v>
      </c>
      <c r="BL859" t="s">
        <v>2317</v>
      </c>
      <c r="BM859" t="s">
        <v>15417</v>
      </c>
      <c r="BN859" t="s">
        <v>74</v>
      </c>
      <c r="BO859" t="s">
        <v>887</v>
      </c>
      <c r="BP859" t="s">
        <v>74</v>
      </c>
      <c r="BQ859" t="s">
        <v>74</v>
      </c>
      <c r="BR859" t="s">
        <v>105</v>
      </c>
      <c r="BS859" t="s">
        <v>15418</v>
      </c>
      <c r="BT859" t="str">
        <f>HYPERLINK("https%3A%2F%2Fwww.webofscience.com%2Fwos%2Fwoscc%2Ffull-record%2FWOS:001034227100001","View Full Record in Web of Science")</f>
        <v>View Full Record in Web of Science</v>
      </c>
    </row>
    <row r="860" spans="1:72" x14ac:dyDescent="0.15">
      <c r="A860" t="s">
        <v>72</v>
      </c>
      <c r="B860" t="s">
        <v>15419</v>
      </c>
      <c r="C860" t="s">
        <v>74</v>
      </c>
      <c r="D860" t="s">
        <v>74</v>
      </c>
      <c r="E860" t="s">
        <v>74</v>
      </c>
      <c r="F860" t="s">
        <v>15420</v>
      </c>
      <c r="G860" t="s">
        <v>74</v>
      </c>
      <c r="H860" t="s">
        <v>74</v>
      </c>
      <c r="I860" t="s">
        <v>15421</v>
      </c>
      <c r="J860" t="s">
        <v>10066</v>
      </c>
      <c r="K860" t="s">
        <v>74</v>
      </c>
      <c r="L860" t="s">
        <v>74</v>
      </c>
      <c r="M860" t="s">
        <v>78</v>
      </c>
      <c r="N860" t="s">
        <v>5492</v>
      </c>
      <c r="O860" t="s">
        <v>74</v>
      </c>
      <c r="P860" t="s">
        <v>74</v>
      </c>
      <c r="Q860" t="s">
        <v>74</v>
      </c>
      <c r="R860" t="s">
        <v>74</v>
      </c>
      <c r="S860" t="s">
        <v>74</v>
      </c>
      <c r="T860" t="s">
        <v>74</v>
      </c>
      <c r="U860" t="s">
        <v>15422</v>
      </c>
      <c r="V860" t="s">
        <v>15423</v>
      </c>
      <c r="W860" t="s">
        <v>15424</v>
      </c>
      <c r="X860" t="s">
        <v>15425</v>
      </c>
      <c r="Y860" t="s">
        <v>15426</v>
      </c>
      <c r="Z860" t="s">
        <v>15427</v>
      </c>
      <c r="AA860" t="s">
        <v>74</v>
      </c>
      <c r="AB860" t="s">
        <v>74</v>
      </c>
      <c r="AC860" t="s">
        <v>15428</v>
      </c>
      <c r="AD860" t="s">
        <v>15428</v>
      </c>
      <c r="AE860" t="s">
        <v>15429</v>
      </c>
      <c r="AF860" t="s">
        <v>74</v>
      </c>
      <c r="AG860">
        <v>27</v>
      </c>
      <c r="AH860">
        <v>0</v>
      </c>
      <c r="AI860">
        <v>0</v>
      </c>
      <c r="AJ860">
        <v>2</v>
      </c>
      <c r="AK860">
        <v>2</v>
      </c>
      <c r="AL860" t="s">
        <v>184</v>
      </c>
      <c r="AM860" t="s">
        <v>185</v>
      </c>
      <c r="AN860" t="s">
        <v>186</v>
      </c>
      <c r="AO860" t="s">
        <v>10075</v>
      </c>
      <c r="AP860" t="s">
        <v>10076</v>
      </c>
      <c r="AQ860" t="s">
        <v>74</v>
      </c>
      <c r="AR860" t="s">
        <v>10077</v>
      </c>
      <c r="AS860" t="s">
        <v>10078</v>
      </c>
      <c r="AT860" t="s">
        <v>15430</v>
      </c>
      <c r="AU860">
        <v>2023</v>
      </c>
      <c r="AV860" t="s">
        <v>74</v>
      </c>
      <c r="AW860" t="s">
        <v>74</v>
      </c>
      <c r="AX860" t="s">
        <v>74</v>
      </c>
      <c r="AY860" t="s">
        <v>74</v>
      </c>
      <c r="AZ860" t="s">
        <v>74</v>
      </c>
      <c r="BA860" t="s">
        <v>74</v>
      </c>
      <c r="BB860" t="s">
        <v>74</v>
      </c>
      <c r="BC860" t="s">
        <v>74</v>
      </c>
      <c r="BD860" t="s">
        <v>74</v>
      </c>
      <c r="BE860" t="s">
        <v>15431</v>
      </c>
      <c r="BF860" t="str">
        <f>HYPERLINK("http://dx.doi.org/10.1080/01457632.2023.2234768","http://dx.doi.org/10.1080/01457632.2023.2234768")</f>
        <v>http://dx.doi.org/10.1080/01457632.2023.2234768</v>
      </c>
      <c r="BG860" t="s">
        <v>74</v>
      </c>
      <c r="BH860" t="s">
        <v>12687</v>
      </c>
      <c r="BI860">
        <v>18</v>
      </c>
      <c r="BJ860" t="s">
        <v>10080</v>
      </c>
      <c r="BK860" t="s">
        <v>102</v>
      </c>
      <c r="BL860" t="s">
        <v>10081</v>
      </c>
      <c r="BM860" t="s">
        <v>15432</v>
      </c>
      <c r="BN860" t="s">
        <v>74</v>
      </c>
      <c r="BO860" t="s">
        <v>74</v>
      </c>
      <c r="BP860" t="s">
        <v>74</v>
      </c>
      <c r="BQ860" t="s">
        <v>74</v>
      </c>
      <c r="BR860" t="s">
        <v>105</v>
      </c>
      <c r="BS860" t="s">
        <v>15433</v>
      </c>
      <c r="BT860" t="str">
        <f>HYPERLINK("https%3A%2F%2Fwww.webofscience.com%2Fwos%2Fwoscc%2Ffull-record%2FWOS:001030314800001","View Full Record in Web of Science")</f>
        <v>View Full Record in Web of Science</v>
      </c>
    </row>
    <row r="861" spans="1:72" x14ac:dyDescent="0.15">
      <c r="A861" t="s">
        <v>72</v>
      </c>
      <c r="B861" t="s">
        <v>15434</v>
      </c>
      <c r="C861" t="s">
        <v>74</v>
      </c>
      <c r="D861" t="s">
        <v>74</v>
      </c>
      <c r="E861" t="s">
        <v>74</v>
      </c>
      <c r="F861" t="s">
        <v>15435</v>
      </c>
      <c r="G861" t="s">
        <v>74</v>
      </c>
      <c r="H861" t="s">
        <v>74</v>
      </c>
      <c r="I861" t="s">
        <v>15436</v>
      </c>
      <c r="J861" t="s">
        <v>15437</v>
      </c>
      <c r="K861" t="s">
        <v>74</v>
      </c>
      <c r="L861" t="s">
        <v>74</v>
      </c>
      <c r="M861" t="s">
        <v>78</v>
      </c>
      <c r="N861" t="s">
        <v>79</v>
      </c>
      <c r="O861" t="s">
        <v>74</v>
      </c>
      <c r="P861" t="s">
        <v>74</v>
      </c>
      <c r="Q861" t="s">
        <v>74</v>
      </c>
      <c r="R861" t="s">
        <v>74</v>
      </c>
      <c r="S861" t="s">
        <v>74</v>
      </c>
      <c r="T861" t="s">
        <v>15438</v>
      </c>
      <c r="U861" t="s">
        <v>15439</v>
      </c>
      <c r="V861" t="s">
        <v>15440</v>
      </c>
      <c r="W861" t="s">
        <v>15441</v>
      </c>
      <c r="X861" t="s">
        <v>15442</v>
      </c>
      <c r="Y861" t="s">
        <v>15443</v>
      </c>
      <c r="Z861" t="s">
        <v>15444</v>
      </c>
      <c r="AA861" t="s">
        <v>74</v>
      </c>
      <c r="AB861" t="s">
        <v>74</v>
      </c>
      <c r="AC861" t="s">
        <v>15445</v>
      </c>
      <c r="AD861" t="s">
        <v>15446</v>
      </c>
      <c r="AE861" t="s">
        <v>15447</v>
      </c>
      <c r="AF861" t="s">
        <v>74</v>
      </c>
      <c r="AG861">
        <v>24</v>
      </c>
      <c r="AH861">
        <v>0</v>
      </c>
      <c r="AI861">
        <v>0</v>
      </c>
      <c r="AJ861">
        <v>0</v>
      </c>
      <c r="AK861">
        <v>0</v>
      </c>
      <c r="AL861" t="s">
        <v>92</v>
      </c>
      <c r="AM861" t="s">
        <v>93</v>
      </c>
      <c r="AN861" t="s">
        <v>94</v>
      </c>
      <c r="AO861" t="s">
        <v>15448</v>
      </c>
      <c r="AP861" t="s">
        <v>74</v>
      </c>
      <c r="AQ861" t="s">
        <v>74</v>
      </c>
      <c r="AR861" t="s">
        <v>15449</v>
      </c>
      <c r="AS861" t="s">
        <v>15450</v>
      </c>
      <c r="AT861" t="s">
        <v>15451</v>
      </c>
      <c r="AU861">
        <v>2023</v>
      </c>
      <c r="AV861">
        <v>90</v>
      </c>
      <c r="AW861">
        <v>1</v>
      </c>
      <c r="AX861" t="s">
        <v>74</v>
      </c>
      <c r="AY861" t="s">
        <v>74</v>
      </c>
      <c r="AZ861" t="s">
        <v>74</v>
      </c>
      <c r="BA861" t="s">
        <v>74</v>
      </c>
      <c r="BB861">
        <v>395</v>
      </c>
      <c r="BC861">
        <v>400</v>
      </c>
      <c r="BD861" t="s">
        <v>74</v>
      </c>
      <c r="BE861" t="s">
        <v>15452</v>
      </c>
      <c r="BF861" t="str">
        <f>HYPERLINK("http://dx.doi.org/10.1080/24750263.2023.2217207","http://dx.doi.org/10.1080/24750263.2023.2217207")</f>
        <v>http://dx.doi.org/10.1080/24750263.2023.2217207</v>
      </c>
      <c r="BG861" t="s">
        <v>74</v>
      </c>
      <c r="BH861" t="s">
        <v>74</v>
      </c>
      <c r="BI861">
        <v>6</v>
      </c>
      <c r="BJ861" t="s">
        <v>13328</v>
      </c>
      <c r="BK861" t="s">
        <v>102</v>
      </c>
      <c r="BL861" t="s">
        <v>13328</v>
      </c>
      <c r="BM861" t="s">
        <v>15453</v>
      </c>
      <c r="BN861" t="s">
        <v>74</v>
      </c>
      <c r="BO861" t="s">
        <v>126</v>
      </c>
      <c r="BP861" t="s">
        <v>74</v>
      </c>
      <c r="BQ861" t="s">
        <v>74</v>
      </c>
      <c r="BR861" t="s">
        <v>105</v>
      </c>
      <c r="BS861" t="s">
        <v>15454</v>
      </c>
      <c r="BT861" t="str">
        <f>HYPERLINK("https%3A%2F%2Fwww.webofscience.com%2Fwos%2Fwoscc%2Ffull-record%2FWOS:000998981800001","View Full Record in Web of Science")</f>
        <v>View Full Record in Web of Science</v>
      </c>
    </row>
    <row r="862" spans="1:72" x14ac:dyDescent="0.15">
      <c r="A862" t="s">
        <v>72</v>
      </c>
      <c r="B862" t="s">
        <v>15455</v>
      </c>
      <c r="C862" t="s">
        <v>74</v>
      </c>
      <c r="D862" t="s">
        <v>74</v>
      </c>
      <c r="E862" t="s">
        <v>74</v>
      </c>
      <c r="F862" t="s">
        <v>15456</v>
      </c>
      <c r="G862" t="s">
        <v>74</v>
      </c>
      <c r="H862" t="s">
        <v>74</v>
      </c>
      <c r="I862" t="s">
        <v>15457</v>
      </c>
      <c r="J862" t="s">
        <v>13414</v>
      </c>
      <c r="K862" t="s">
        <v>74</v>
      </c>
      <c r="L862" t="s">
        <v>74</v>
      </c>
      <c r="M862" t="s">
        <v>78</v>
      </c>
      <c r="N862" t="s">
        <v>5492</v>
      </c>
      <c r="O862" t="s">
        <v>74</v>
      </c>
      <c r="P862" t="s">
        <v>74</v>
      </c>
      <c r="Q862" t="s">
        <v>74</v>
      </c>
      <c r="R862" t="s">
        <v>74</v>
      </c>
      <c r="S862" t="s">
        <v>74</v>
      </c>
      <c r="T862" t="s">
        <v>15458</v>
      </c>
      <c r="U862" t="s">
        <v>15459</v>
      </c>
      <c r="V862" t="s">
        <v>15460</v>
      </c>
      <c r="W862" t="s">
        <v>15461</v>
      </c>
      <c r="X862" t="s">
        <v>15462</v>
      </c>
      <c r="Y862" t="s">
        <v>15463</v>
      </c>
      <c r="Z862" t="s">
        <v>15464</v>
      </c>
      <c r="AA862" t="s">
        <v>74</v>
      </c>
      <c r="AB862" t="s">
        <v>74</v>
      </c>
      <c r="AC862" t="s">
        <v>74</v>
      </c>
      <c r="AD862" t="s">
        <v>74</v>
      </c>
      <c r="AE862" t="s">
        <v>74</v>
      </c>
      <c r="AF862" t="s">
        <v>74</v>
      </c>
      <c r="AG862">
        <v>29</v>
      </c>
      <c r="AH862">
        <v>0</v>
      </c>
      <c r="AI862">
        <v>0</v>
      </c>
      <c r="AJ862">
        <v>0</v>
      </c>
      <c r="AK862">
        <v>0</v>
      </c>
      <c r="AL862" t="s">
        <v>184</v>
      </c>
      <c r="AM862" t="s">
        <v>185</v>
      </c>
      <c r="AN862" t="s">
        <v>186</v>
      </c>
      <c r="AO862" t="s">
        <v>13424</v>
      </c>
      <c r="AP862" t="s">
        <v>13425</v>
      </c>
      <c r="AQ862" t="s">
        <v>74</v>
      </c>
      <c r="AR862" t="s">
        <v>13426</v>
      </c>
      <c r="AS862" t="s">
        <v>13427</v>
      </c>
      <c r="AT862" t="s">
        <v>15430</v>
      </c>
      <c r="AU862">
        <v>2023</v>
      </c>
      <c r="AV862" t="s">
        <v>74</v>
      </c>
      <c r="AW862" t="s">
        <v>74</v>
      </c>
      <c r="AX862" t="s">
        <v>74</v>
      </c>
      <c r="AY862" t="s">
        <v>74</v>
      </c>
      <c r="AZ862" t="s">
        <v>74</v>
      </c>
      <c r="BA862" t="s">
        <v>74</v>
      </c>
      <c r="BB862" t="s">
        <v>74</v>
      </c>
      <c r="BC862" t="s">
        <v>74</v>
      </c>
      <c r="BD862" t="s">
        <v>74</v>
      </c>
      <c r="BE862" t="s">
        <v>15465</v>
      </c>
      <c r="BF862" t="str">
        <f>HYPERLINK("http://dx.doi.org/10.1080/03610918.2023.2235887","http://dx.doi.org/10.1080/03610918.2023.2235887")</f>
        <v>http://dx.doi.org/10.1080/03610918.2023.2235887</v>
      </c>
      <c r="BG862" t="s">
        <v>74</v>
      </c>
      <c r="BH862" t="s">
        <v>12687</v>
      </c>
      <c r="BI862">
        <v>14</v>
      </c>
      <c r="BJ862" t="s">
        <v>5630</v>
      </c>
      <c r="BK862" t="s">
        <v>102</v>
      </c>
      <c r="BL862" t="s">
        <v>5435</v>
      </c>
      <c r="BM862" t="s">
        <v>15466</v>
      </c>
      <c r="BN862" t="s">
        <v>74</v>
      </c>
      <c r="BO862" t="s">
        <v>74</v>
      </c>
      <c r="BP862" t="s">
        <v>74</v>
      </c>
      <c r="BQ862" t="s">
        <v>74</v>
      </c>
      <c r="BR862" t="s">
        <v>105</v>
      </c>
      <c r="BS862" t="s">
        <v>15467</v>
      </c>
      <c r="BT862" t="str">
        <f>HYPERLINK("https%3A%2F%2Fwww.webofscience.com%2Fwos%2Fwoscc%2Ffull-record%2FWOS:001029397600001","View Full Record in Web of Science")</f>
        <v>View Full Record in Web of Science</v>
      </c>
    </row>
    <row r="863" spans="1:72" x14ac:dyDescent="0.15">
      <c r="A863" t="s">
        <v>72</v>
      </c>
      <c r="B863" t="s">
        <v>15468</v>
      </c>
      <c r="C863" t="s">
        <v>74</v>
      </c>
      <c r="D863" t="s">
        <v>74</v>
      </c>
      <c r="E863" t="s">
        <v>74</v>
      </c>
      <c r="F863" t="s">
        <v>15469</v>
      </c>
      <c r="G863" t="s">
        <v>74</v>
      </c>
      <c r="H863" t="s">
        <v>74</v>
      </c>
      <c r="I863" t="s">
        <v>15470</v>
      </c>
      <c r="J863" t="s">
        <v>15471</v>
      </c>
      <c r="K863" t="s">
        <v>74</v>
      </c>
      <c r="L863" t="s">
        <v>74</v>
      </c>
      <c r="M863" t="s">
        <v>78</v>
      </c>
      <c r="N863" t="s">
        <v>5492</v>
      </c>
      <c r="O863" t="s">
        <v>74</v>
      </c>
      <c r="P863" t="s">
        <v>74</v>
      </c>
      <c r="Q863" t="s">
        <v>74</v>
      </c>
      <c r="R863" t="s">
        <v>74</v>
      </c>
      <c r="S863" t="s">
        <v>74</v>
      </c>
      <c r="T863" t="s">
        <v>15472</v>
      </c>
      <c r="U863" t="s">
        <v>15473</v>
      </c>
      <c r="V863" t="s">
        <v>15474</v>
      </c>
      <c r="W863" t="s">
        <v>15475</v>
      </c>
      <c r="X863" t="s">
        <v>15476</v>
      </c>
      <c r="Y863" t="s">
        <v>15477</v>
      </c>
      <c r="Z863" t="s">
        <v>15478</v>
      </c>
      <c r="AA863" t="s">
        <v>74</v>
      </c>
      <c r="AB863" t="s">
        <v>15479</v>
      </c>
      <c r="AC863" t="s">
        <v>74</v>
      </c>
      <c r="AD863" t="s">
        <v>74</v>
      </c>
      <c r="AE863" t="s">
        <v>74</v>
      </c>
      <c r="AF863" t="s">
        <v>74</v>
      </c>
      <c r="AG863">
        <v>41</v>
      </c>
      <c r="AH863">
        <v>0</v>
      </c>
      <c r="AI863">
        <v>0</v>
      </c>
      <c r="AJ863">
        <v>4</v>
      </c>
      <c r="AK863">
        <v>4</v>
      </c>
      <c r="AL863" t="s">
        <v>1188</v>
      </c>
      <c r="AM863" t="s">
        <v>93</v>
      </c>
      <c r="AN863" t="s">
        <v>1189</v>
      </c>
      <c r="AO863" t="s">
        <v>15480</v>
      </c>
      <c r="AP863" t="s">
        <v>15481</v>
      </c>
      <c r="AQ863" t="s">
        <v>74</v>
      </c>
      <c r="AR863" t="s">
        <v>15482</v>
      </c>
      <c r="AS863" t="s">
        <v>15483</v>
      </c>
      <c r="AT863" t="s">
        <v>15430</v>
      </c>
      <c r="AU863">
        <v>2023</v>
      </c>
      <c r="AV863" t="s">
        <v>74</v>
      </c>
      <c r="AW863" t="s">
        <v>74</v>
      </c>
      <c r="AX863" t="s">
        <v>74</v>
      </c>
      <c r="AY863" t="s">
        <v>74</v>
      </c>
      <c r="AZ863" t="s">
        <v>74</v>
      </c>
      <c r="BA863" t="s">
        <v>74</v>
      </c>
      <c r="BB863" t="s">
        <v>74</v>
      </c>
      <c r="BC863" t="s">
        <v>74</v>
      </c>
      <c r="BD863" t="s">
        <v>74</v>
      </c>
      <c r="BE863" t="s">
        <v>15484</v>
      </c>
      <c r="BF863" t="str">
        <f>HYPERLINK("http://dx.doi.org/10.1080/14790718.2023.2233551","http://dx.doi.org/10.1080/14790718.2023.2233551")</f>
        <v>http://dx.doi.org/10.1080/14790718.2023.2233551</v>
      </c>
      <c r="BG863" t="s">
        <v>74</v>
      </c>
      <c r="BH863" t="s">
        <v>12687</v>
      </c>
      <c r="BI863">
        <v>15</v>
      </c>
      <c r="BJ863" t="s">
        <v>8142</v>
      </c>
      <c r="BK863" t="s">
        <v>7170</v>
      </c>
      <c r="BL863" t="s">
        <v>8143</v>
      </c>
      <c r="BM863" t="s">
        <v>15485</v>
      </c>
      <c r="BN863" t="s">
        <v>74</v>
      </c>
      <c r="BO863" t="s">
        <v>74</v>
      </c>
      <c r="BP863" t="s">
        <v>74</v>
      </c>
      <c r="BQ863" t="s">
        <v>74</v>
      </c>
      <c r="BR863" t="s">
        <v>105</v>
      </c>
      <c r="BS863" t="s">
        <v>15486</v>
      </c>
      <c r="BT863" t="str">
        <f>HYPERLINK("https%3A%2F%2Fwww.webofscience.com%2Fwos%2Fwoscc%2Ffull-record%2FWOS:001026776600001","View Full Record in Web of Science")</f>
        <v>View Full Record in Web of Science</v>
      </c>
    </row>
    <row r="864" spans="1:72" x14ac:dyDescent="0.15">
      <c r="A864" t="s">
        <v>72</v>
      </c>
      <c r="B864" t="s">
        <v>15487</v>
      </c>
      <c r="C864" t="s">
        <v>74</v>
      </c>
      <c r="D864" t="s">
        <v>74</v>
      </c>
      <c r="E864" t="s">
        <v>74</v>
      </c>
      <c r="F864" t="s">
        <v>15488</v>
      </c>
      <c r="G864" t="s">
        <v>74</v>
      </c>
      <c r="H864" t="s">
        <v>74</v>
      </c>
      <c r="I864" t="s">
        <v>15489</v>
      </c>
      <c r="J864" t="s">
        <v>10868</v>
      </c>
      <c r="K864" t="s">
        <v>74</v>
      </c>
      <c r="L864" t="s">
        <v>74</v>
      </c>
      <c r="M864" t="s">
        <v>78</v>
      </c>
      <c r="N864" t="s">
        <v>5492</v>
      </c>
      <c r="O864" t="s">
        <v>74</v>
      </c>
      <c r="P864" t="s">
        <v>74</v>
      </c>
      <c r="Q864" t="s">
        <v>74</v>
      </c>
      <c r="R864" t="s">
        <v>74</v>
      </c>
      <c r="S864" t="s">
        <v>74</v>
      </c>
      <c r="T864" t="s">
        <v>15490</v>
      </c>
      <c r="U864" t="s">
        <v>74</v>
      </c>
      <c r="V864" t="s">
        <v>15491</v>
      </c>
      <c r="W864" t="s">
        <v>15492</v>
      </c>
      <c r="X864" t="s">
        <v>15493</v>
      </c>
      <c r="Y864" t="s">
        <v>15494</v>
      </c>
      <c r="Z864" t="s">
        <v>15495</v>
      </c>
      <c r="AA864" t="s">
        <v>74</v>
      </c>
      <c r="AB864" t="s">
        <v>74</v>
      </c>
      <c r="AC864" t="s">
        <v>74</v>
      </c>
      <c r="AD864" t="s">
        <v>74</v>
      </c>
      <c r="AE864" t="s">
        <v>74</v>
      </c>
      <c r="AF864" t="s">
        <v>74</v>
      </c>
      <c r="AG864">
        <v>12</v>
      </c>
      <c r="AH864">
        <v>0</v>
      </c>
      <c r="AI864">
        <v>0</v>
      </c>
      <c r="AJ864">
        <v>0</v>
      </c>
      <c r="AK864">
        <v>0</v>
      </c>
      <c r="AL864" t="s">
        <v>92</v>
      </c>
      <c r="AM864" t="s">
        <v>93</v>
      </c>
      <c r="AN864" t="s">
        <v>94</v>
      </c>
      <c r="AO864" t="s">
        <v>10878</v>
      </c>
      <c r="AP864" t="s">
        <v>10879</v>
      </c>
      <c r="AQ864" t="s">
        <v>74</v>
      </c>
      <c r="AR864" t="s">
        <v>10868</v>
      </c>
      <c r="AS864" t="s">
        <v>10880</v>
      </c>
      <c r="AT864" t="s">
        <v>15430</v>
      </c>
      <c r="AU864">
        <v>2023</v>
      </c>
      <c r="AV864" t="s">
        <v>74</v>
      </c>
      <c r="AW864" t="s">
        <v>74</v>
      </c>
      <c r="AX864" t="s">
        <v>74</v>
      </c>
      <c r="AY864" t="s">
        <v>74</v>
      </c>
      <c r="AZ864" t="s">
        <v>74</v>
      </c>
      <c r="BA864" t="s">
        <v>74</v>
      </c>
      <c r="BB864" t="s">
        <v>74</v>
      </c>
      <c r="BC864" t="s">
        <v>74</v>
      </c>
      <c r="BD864" t="s">
        <v>74</v>
      </c>
      <c r="BE864" t="s">
        <v>15496</v>
      </c>
      <c r="BF864" t="str">
        <f>HYPERLINK("http://dx.doi.org/10.1080/02331934.2023.2231001","http://dx.doi.org/10.1080/02331934.2023.2231001")</f>
        <v>http://dx.doi.org/10.1080/02331934.2023.2231001</v>
      </c>
      <c r="BG864" t="s">
        <v>74</v>
      </c>
      <c r="BH864" t="s">
        <v>12687</v>
      </c>
      <c r="BI864">
        <v>13</v>
      </c>
      <c r="BJ864" t="s">
        <v>10882</v>
      </c>
      <c r="BK864" t="s">
        <v>102</v>
      </c>
      <c r="BL864" t="s">
        <v>10883</v>
      </c>
      <c r="BM864" t="s">
        <v>15497</v>
      </c>
      <c r="BN864" t="s">
        <v>74</v>
      </c>
      <c r="BO864" t="s">
        <v>887</v>
      </c>
      <c r="BP864" t="s">
        <v>74</v>
      </c>
      <c r="BQ864" t="s">
        <v>74</v>
      </c>
      <c r="BR864" t="s">
        <v>105</v>
      </c>
      <c r="BS864" t="s">
        <v>15498</v>
      </c>
      <c r="BT864" t="str">
        <f>HYPERLINK("https%3A%2F%2Fwww.webofscience.com%2Fwos%2Fwoscc%2Ffull-record%2FWOS:001025510300001","View Full Record in Web of Science")</f>
        <v>View Full Record in Web of Science</v>
      </c>
    </row>
    <row r="865" spans="1:72" x14ac:dyDescent="0.15">
      <c r="A865" t="s">
        <v>72</v>
      </c>
      <c r="B865" t="s">
        <v>15499</v>
      </c>
      <c r="C865" t="s">
        <v>74</v>
      </c>
      <c r="D865" t="s">
        <v>74</v>
      </c>
      <c r="E865" t="s">
        <v>74</v>
      </c>
      <c r="F865" t="s">
        <v>15500</v>
      </c>
      <c r="G865" t="s">
        <v>74</v>
      </c>
      <c r="H865" t="s">
        <v>74</v>
      </c>
      <c r="I865" t="s">
        <v>15501</v>
      </c>
      <c r="J865" t="s">
        <v>11367</v>
      </c>
      <c r="K865" t="s">
        <v>74</v>
      </c>
      <c r="L865" t="s">
        <v>74</v>
      </c>
      <c r="M865" t="s">
        <v>78</v>
      </c>
      <c r="N865" t="s">
        <v>6922</v>
      </c>
      <c r="O865" t="s">
        <v>74</v>
      </c>
      <c r="P865" t="s">
        <v>74</v>
      </c>
      <c r="Q865" t="s">
        <v>74</v>
      </c>
      <c r="R865" t="s">
        <v>74</v>
      </c>
      <c r="S865" t="s">
        <v>74</v>
      </c>
      <c r="T865" t="s">
        <v>74</v>
      </c>
      <c r="U865" t="s">
        <v>74</v>
      </c>
      <c r="V865" t="s">
        <v>15502</v>
      </c>
      <c r="W865" t="s">
        <v>15503</v>
      </c>
      <c r="X865" t="s">
        <v>15504</v>
      </c>
      <c r="Y865" t="s">
        <v>15505</v>
      </c>
      <c r="Z865" t="s">
        <v>15506</v>
      </c>
      <c r="AA865" t="s">
        <v>74</v>
      </c>
      <c r="AB865" t="s">
        <v>15507</v>
      </c>
      <c r="AC865" t="s">
        <v>74</v>
      </c>
      <c r="AD865" t="s">
        <v>74</v>
      </c>
      <c r="AE865" t="s">
        <v>74</v>
      </c>
      <c r="AF865" t="s">
        <v>74</v>
      </c>
      <c r="AG865">
        <v>8</v>
      </c>
      <c r="AH865">
        <v>0</v>
      </c>
      <c r="AI865">
        <v>0</v>
      </c>
      <c r="AJ865">
        <v>0</v>
      </c>
      <c r="AK865">
        <v>0</v>
      </c>
      <c r="AL865" t="s">
        <v>92</v>
      </c>
      <c r="AM865" t="s">
        <v>93</v>
      </c>
      <c r="AN865" t="s">
        <v>94</v>
      </c>
      <c r="AO865" t="s">
        <v>11375</v>
      </c>
      <c r="AP865" t="s">
        <v>11376</v>
      </c>
      <c r="AQ865" t="s">
        <v>74</v>
      </c>
      <c r="AR865" t="s">
        <v>11377</v>
      </c>
      <c r="AS865" t="s">
        <v>11378</v>
      </c>
      <c r="AT865" t="s">
        <v>15430</v>
      </c>
      <c r="AU865">
        <v>2023</v>
      </c>
      <c r="AV865" t="s">
        <v>74</v>
      </c>
      <c r="AW865" t="s">
        <v>74</v>
      </c>
      <c r="AX865" t="s">
        <v>74</v>
      </c>
      <c r="AY865" t="s">
        <v>74</v>
      </c>
      <c r="AZ865" t="s">
        <v>74</v>
      </c>
      <c r="BA865" t="s">
        <v>74</v>
      </c>
      <c r="BB865" t="s">
        <v>74</v>
      </c>
      <c r="BC865" t="s">
        <v>74</v>
      </c>
      <c r="BD865" t="s">
        <v>74</v>
      </c>
      <c r="BE865" t="s">
        <v>15508</v>
      </c>
      <c r="BF865" t="str">
        <f>HYPERLINK("http://dx.doi.org/10.1080/10428194.2023.2232495","http://dx.doi.org/10.1080/10428194.2023.2232495")</f>
        <v>http://dx.doi.org/10.1080/10428194.2023.2232495</v>
      </c>
      <c r="BG865" t="s">
        <v>74</v>
      </c>
      <c r="BH865" t="s">
        <v>12687</v>
      </c>
      <c r="BI865">
        <v>3</v>
      </c>
      <c r="BJ865" t="s">
        <v>11380</v>
      </c>
      <c r="BK865" t="s">
        <v>102</v>
      </c>
      <c r="BL865" t="s">
        <v>11380</v>
      </c>
      <c r="BM865" t="s">
        <v>15509</v>
      </c>
      <c r="BN865">
        <v>37435984</v>
      </c>
      <c r="BO865" t="s">
        <v>74</v>
      </c>
      <c r="BP865" t="s">
        <v>74</v>
      </c>
      <c r="BQ865" t="s">
        <v>74</v>
      </c>
      <c r="BR865" t="s">
        <v>105</v>
      </c>
      <c r="BS865" t="s">
        <v>15510</v>
      </c>
      <c r="BT865" t="str">
        <f>HYPERLINK("https%3A%2F%2Fwww.webofscience.com%2Fwos%2Fwoscc%2Ffull-record%2FWOS:001028761900001","View Full Record in Web of Science")</f>
        <v>View Full Record in Web of Science</v>
      </c>
    </row>
    <row r="866" spans="1:72" x14ac:dyDescent="0.15">
      <c r="A866" t="s">
        <v>72</v>
      </c>
      <c r="B866" t="s">
        <v>15511</v>
      </c>
      <c r="C866" t="s">
        <v>74</v>
      </c>
      <c r="D866" t="s">
        <v>74</v>
      </c>
      <c r="E866" t="s">
        <v>74</v>
      </c>
      <c r="F866" t="s">
        <v>15512</v>
      </c>
      <c r="G866" t="s">
        <v>74</v>
      </c>
      <c r="H866" t="s">
        <v>74</v>
      </c>
      <c r="I866" t="s">
        <v>15513</v>
      </c>
      <c r="J866" t="s">
        <v>15437</v>
      </c>
      <c r="K866" t="s">
        <v>74</v>
      </c>
      <c r="L866" t="s">
        <v>74</v>
      </c>
      <c r="M866" t="s">
        <v>78</v>
      </c>
      <c r="N866" t="s">
        <v>79</v>
      </c>
      <c r="O866" t="s">
        <v>74</v>
      </c>
      <c r="P866" t="s">
        <v>74</v>
      </c>
      <c r="Q866" t="s">
        <v>74</v>
      </c>
      <c r="R866" t="s">
        <v>74</v>
      </c>
      <c r="S866" t="s">
        <v>74</v>
      </c>
      <c r="T866" t="s">
        <v>15514</v>
      </c>
      <c r="U866" t="s">
        <v>15515</v>
      </c>
      <c r="V866" t="s">
        <v>15516</v>
      </c>
      <c r="W866" t="s">
        <v>15517</v>
      </c>
      <c r="X866" t="s">
        <v>15518</v>
      </c>
      <c r="Y866" t="s">
        <v>15519</v>
      </c>
      <c r="Z866" t="s">
        <v>15520</v>
      </c>
      <c r="AA866" t="s">
        <v>74</v>
      </c>
      <c r="AB866" t="s">
        <v>15521</v>
      </c>
      <c r="AC866" t="s">
        <v>15522</v>
      </c>
      <c r="AD866" t="s">
        <v>15523</v>
      </c>
      <c r="AE866" t="s">
        <v>15524</v>
      </c>
      <c r="AF866" t="s">
        <v>74</v>
      </c>
      <c r="AG866">
        <v>108</v>
      </c>
      <c r="AH866">
        <v>1</v>
      </c>
      <c r="AI866">
        <v>1</v>
      </c>
      <c r="AJ866">
        <v>19</v>
      </c>
      <c r="AK866">
        <v>19</v>
      </c>
      <c r="AL866" t="s">
        <v>92</v>
      </c>
      <c r="AM866" t="s">
        <v>93</v>
      </c>
      <c r="AN866" t="s">
        <v>94</v>
      </c>
      <c r="AO866" t="s">
        <v>15448</v>
      </c>
      <c r="AP866" t="s">
        <v>74</v>
      </c>
      <c r="AQ866" t="s">
        <v>74</v>
      </c>
      <c r="AR866" t="s">
        <v>15449</v>
      </c>
      <c r="AS866" t="s">
        <v>15450</v>
      </c>
      <c r="AT866" t="s">
        <v>15451</v>
      </c>
      <c r="AU866">
        <v>2023</v>
      </c>
      <c r="AV866">
        <v>90</v>
      </c>
      <c r="AW866">
        <v>1</v>
      </c>
      <c r="AX866" t="s">
        <v>74</v>
      </c>
      <c r="AY866" t="s">
        <v>74</v>
      </c>
      <c r="AZ866" t="s">
        <v>74</v>
      </c>
      <c r="BA866" t="s">
        <v>74</v>
      </c>
      <c r="BB866">
        <v>320</v>
      </c>
      <c r="BC866">
        <v>332</v>
      </c>
      <c r="BD866" t="s">
        <v>74</v>
      </c>
      <c r="BE866" t="s">
        <v>15525</v>
      </c>
      <c r="BF866" t="str">
        <f>HYPERLINK("http://dx.doi.org/10.1080/24750263.2023.2197924","http://dx.doi.org/10.1080/24750263.2023.2197924")</f>
        <v>http://dx.doi.org/10.1080/24750263.2023.2197924</v>
      </c>
      <c r="BG866" t="s">
        <v>74</v>
      </c>
      <c r="BH866" t="s">
        <v>74</v>
      </c>
      <c r="BI866">
        <v>13</v>
      </c>
      <c r="BJ866" t="s">
        <v>13328</v>
      </c>
      <c r="BK866" t="s">
        <v>102</v>
      </c>
      <c r="BL866" t="s">
        <v>13328</v>
      </c>
      <c r="BM866" t="s">
        <v>15526</v>
      </c>
      <c r="BN866" t="s">
        <v>74</v>
      </c>
      <c r="BO866" t="s">
        <v>126</v>
      </c>
      <c r="BP866" t="s">
        <v>74</v>
      </c>
      <c r="BQ866" t="s">
        <v>74</v>
      </c>
      <c r="BR866" t="s">
        <v>105</v>
      </c>
      <c r="BS866" t="s">
        <v>15527</v>
      </c>
      <c r="BT866" t="str">
        <f>HYPERLINK("https%3A%2F%2Fwww.webofscience.com%2Fwos%2Fwoscc%2Ffull-record%2FWOS:000974151800001","View Full Record in Web of Science")</f>
        <v>View Full Record in Web of Science</v>
      </c>
    </row>
    <row r="867" spans="1:72" x14ac:dyDescent="0.15">
      <c r="A867" t="s">
        <v>72</v>
      </c>
      <c r="B867" t="s">
        <v>15528</v>
      </c>
      <c r="C867" t="s">
        <v>74</v>
      </c>
      <c r="D867" t="s">
        <v>74</v>
      </c>
      <c r="E867" t="s">
        <v>74</v>
      </c>
      <c r="F867" t="s">
        <v>15529</v>
      </c>
      <c r="G867" t="s">
        <v>74</v>
      </c>
      <c r="H867" t="s">
        <v>74</v>
      </c>
      <c r="I867" t="s">
        <v>15530</v>
      </c>
      <c r="J867" t="s">
        <v>15531</v>
      </c>
      <c r="K867" t="s">
        <v>74</v>
      </c>
      <c r="L867" t="s">
        <v>74</v>
      </c>
      <c r="M867" t="s">
        <v>78</v>
      </c>
      <c r="N867" t="s">
        <v>5492</v>
      </c>
      <c r="O867" t="s">
        <v>74</v>
      </c>
      <c r="P867" t="s">
        <v>74</v>
      </c>
      <c r="Q867" t="s">
        <v>74</v>
      </c>
      <c r="R867" t="s">
        <v>74</v>
      </c>
      <c r="S867" t="s">
        <v>74</v>
      </c>
      <c r="T867" t="s">
        <v>15532</v>
      </c>
      <c r="U867" t="s">
        <v>15533</v>
      </c>
      <c r="V867" t="s">
        <v>15534</v>
      </c>
      <c r="W867" t="s">
        <v>15535</v>
      </c>
      <c r="X867" t="s">
        <v>15536</v>
      </c>
      <c r="Y867" t="s">
        <v>15537</v>
      </c>
      <c r="Z867" t="s">
        <v>15538</v>
      </c>
      <c r="AA867" t="s">
        <v>74</v>
      </c>
      <c r="AB867" t="s">
        <v>74</v>
      </c>
      <c r="AC867" t="s">
        <v>15539</v>
      </c>
      <c r="AD867" t="s">
        <v>15540</v>
      </c>
      <c r="AE867" t="s">
        <v>15541</v>
      </c>
      <c r="AF867" t="s">
        <v>74</v>
      </c>
      <c r="AG867">
        <v>20</v>
      </c>
      <c r="AH867">
        <v>0</v>
      </c>
      <c r="AI867">
        <v>0</v>
      </c>
      <c r="AJ867">
        <v>0</v>
      </c>
      <c r="AK867">
        <v>0</v>
      </c>
      <c r="AL867" t="s">
        <v>92</v>
      </c>
      <c r="AM867" t="s">
        <v>93</v>
      </c>
      <c r="AN867" t="s">
        <v>94</v>
      </c>
      <c r="AO867" t="s">
        <v>15542</v>
      </c>
      <c r="AP867" t="s">
        <v>15543</v>
      </c>
      <c r="AQ867" t="s">
        <v>74</v>
      </c>
      <c r="AR867" t="s">
        <v>15544</v>
      </c>
      <c r="AS867" t="s">
        <v>15545</v>
      </c>
      <c r="AT867" t="s">
        <v>15430</v>
      </c>
      <c r="AU867">
        <v>2023</v>
      </c>
      <c r="AV867" t="s">
        <v>74</v>
      </c>
      <c r="AW867" t="s">
        <v>74</v>
      </c>
      <c r="AX867" t="s">
        <v>74</v>
      </c>
      <c r="AY867" t="s">
        <v>74</v>
      </c>
      <c r="AZ867" t="s">
        <v>74</v>
      </c>
      <c r="BA867" t="s">
        <v>74</v>
      </c>
      <c r="BB867" t="s">
        <v>74</v>
      </c>
      <c r="BC867" t="s">
        <v>74</v>
      </c>
      <c r="BD867" t="s">
        <v>74</v>
      </c>
      <c r="BE867" t="s">
        <v>15546</v>
      </c>
      <c r="BF867" t="str">
        <f>HYPERLINK("http://dx.doi.org/10.1080/14689367.2023.2228737","http://dx.doi.org/10.1080/14689367.2023.2228737")</f>
        <v>http://dx.doi.org/10.1080/14689367.2023.2228737</v>
      </c>
      <c r="BG867" t="s">
        <v>74</v>
      </c>
      <c r="BH867" t="s">
        <v>12687</v>
      </c>
      <c r="BI867">
        <v>22</v>
      </c>
      <c r="BJ867" t="s">
        <v>15547</v>
      </c>
      <c r="BK867" t="s">
        <v>102</v>
      </c>
      <c r="BL867" t="s">
        <v>15548</v>
      </c>
      <c r="BM867" t="s">
        <v>15549</v>
      </c>
      <c r="BN867" t="s">
        <v>74</v>
      </c>
      <c r="BO867" t="s">
        <v>74</v>
      </c>
      <c r="BP867" t="s">
        <v>74</v>
      </c>
      <c r="BQ867" t="s">
        <v>74</v>
      </c>
      <c r="BR867" t="s">
        <v>105</v>
      </c>
      <c r="BS867" t="s">
        <v>15550</v>
      </c>
      <c r="BT867" t="str">
        <f>HYPERLINK("https%3A%2F%2Fwww.webofscience.com%2Fwos%2Fwoscc%2Ffull-record%2FWOS:001026531000001","View Full Record in Web of Science")</f>
        <v>View Full Record in Web of Science</v>
      </c>
    </row>
    <row r="868" spans="1:72" x14ac:dyDescent="0.15">
      <c r="A868" t="s">
        <v>72</v>
      </c>
      <c r="B868" t="s">
        <v>15551</v>
      </c>
      <c r="C868" t="s">
        <v>74</v>
      </c>
      <c r="D868" t="s">
        <v>74</v>
      </c>
      <c r="E868" t="s">
        <v>74</v>
      </c>
      <c r="F868" t="s">
        <v>15552</v>
      </c>
      <c r="G868" t="s">
        <v>74</v>
      </c>
      <c r="H868" t="s">
        <v>74</v>
      </c>
      <c r="I868" t="s">
        <v>15553</v>
      </c>
      <c r="J868" t="s">
        <v>15437</v>
      </c>
      <c r="K868" t="s">
        <v>74</v>
      </c>
      <c r="L868" t="s">
        <v>74</v>
      </c>
      <c r="M868" t="s">
        <v>78</v>
      </c>
      <c r="N868" t="s">
        <v>79</v>
      </c>
      <c r="O868" t="s">
        <v>74</v>
      </c>
      <c r="P868" t="s">
        <v>74</v>
      </c>
      <c r="Q868" t="s">
        <v>74</v>
      </c>
      <c r="R868" t="s">
        <v>74</v>
      </c>
      <c r="S868" t="s">
        <v>74</v>
      </c>
      <c r="T868" t="s">
        <v>15554</v>
      </c>
      <c r="U868" t="s">
        <v>15555</v>
      </c>
      <c r="V868" t="s">
        <v>15556</v>
      </c>
      <c r="W868" t="s">
        <v>15557</v>
      </c>
      <c r="X868" t="s">
        <v>15558</v>
      </c>
      <c r="Y868" t="s">
        <v>15559</v>
      </c>
      <c r="Z868" t="s">
        <v>15560</v>
      </c>
      <c r="AA868" t="s">
        <v>15561</v>
      </c>
      <c r="AB868" t="s">
        <v>15562</v>
      </c>
      <c r="AC868" t="s">
        <v>74</v>
      </c>
      <c r="AD868" t="s">
        <v>74</v>
      </c>
      <c r="AE868" t="s">
        <v>74</v>
      </c>
      <c r="AF868" t="s">
        <v>74</v>
      </c>
      <c r="AG868">
        <v>68</v>
      </c>
      <c r="AH868">
        <v>1</v>
      </c>
      <c r="AI868">
        <v>1</v>
      </c>
      <c r="AJ868">
        <v>6</v>
      </c>
      <c r="AK868">
        <v>6</v>
      </c>
      <c r="AL868" t="s">
        <v>92</v>
      </c>
      <c r="AM868" t="s">
        <v>93</v>
      </c>
      <c r="AN868" t="s">
        <v>94</v>
      </c>
      <c r="AO868" t="s">
        <v>15448</v>
      </c>
      <c r="AP868" t="s">
        <v>74</v>
      </c>
      <c r="AQ868" t="s">
        <v>74</v>
      </c>
      <c r="AR868" t="s">
        <v>15449</v>
      </c>
      <c r="AS868" t="s">
        <v>15450</v>
      </c>
      <c r="AT868" t="s">
        <v>15451</v>
      </c>
      <c r="AU868">
        <v>2023</v>
      </c>
      <c r="AV868">
        <v>90</v>
      </c>
      <c r="AW868">
        <v>1</v>
      </c>
      <c r="AX868" t="s">
        <v>74</v>
      </c>
      <c r="AY868" t="s">
        <v>74</v>
      </c>
      <c r="AZ868" t="s">
        <v>74</v>
      </c>
      <c r="BA868" t="s">
        <v>74</v>
      </c>
      <c r="BB868">
        <v>283</v>
      </c>
      <c r="BC868">
        <v>295</v>
      </c>
      <c r="BD868" t="s">
        <v>74</v>
      </c>
      <c r="BE868" t="s">
        <v>15563</v>
      </c>
      <c r="BF868" t="str">
        <f>HYPERLINK("http://dx.doi.org/10.1080/24750263.2023.2192239","http://dx.doi.org/10.1080/24750263.2023.2192239")</f>
        <v>http://dx.doi.org/10.1080/24750263.2023.2192239</v>
      </c>
      <c r="BG868" t="s">
        <v>74</v>
      </c>
      <c r="BH868" t="s">
        <v>74</v>
      </c>
      <c r="BI868">
        <v>13</v>
      </c>
      <c r="BJ868" t="s">
        <v>13328</v>
      </c>
      <c r="BK868" t="s">
        <v>102</v>
      </c>
      <c r="BL868" t="s">
        <v>13328</v>
      </c>
      <c r="BM868" t="s">
        <v>15564</v>
      </c>
      <c r="BN868" t="s">
        <v>74</v>
      </c>
      <c r="BO868" t="s">
        <v>126</v>
      </c>
      <c r="BP868" t="s">
        <v>74</v>
      </c>
      <c r="BQ868" t="s">
        <v>74</v>
      </c>
      <c r="BR868" t="s">
        <v>105</v>
      </c>
      <c r="BS868" t="s">
        <v>15565</v>
      </c>
      <c r="BT868" t="str">
        <f>HYPERLINK("https%3A%2F%2Fwww.webofscience.com%2Fwos%2Fwoscc%2Ffull-record%2FWOS:000962025300001","View Full Record in Web of Science")</f>
        <v>View Full Record in Web of Science</v>
      </c>
    </row>
    <row r="869" spans="1:72" x14ac:dyDescent="0.15">
      <c r="A869" t="s">
        <v>72</v>
      </c>
      <c r="B869" t="s">
        <v>15566</v>
      </c>
      <c r="C869" t="s">
        <v>74</v>
      </c>
      <c r="D869" t="s">
        <v>74</v>
      </c>
      <c r="E869" t="s">
        <v>74</v>
      </c>
      <c r="F869" t="s">
        <v>15567</v>
      </c>
      <c r="G869" t="s">
        <v>74</v>
      </c>
      <c r="H869" t="s">
        <v>74</v>
      </c>
      <c r="I869" t="s">
        <v>15568</v>
      </c>
      <c r="J869" t="s">
        <v>15569</v>
      </c>
      <c r="K869" t="s">
        <v>74</v>
      </c>
      <c r="L869" t="s">
        <v>74</v>
      </c>
      <c r="M869" t="s">
        <v>78</v>
      </c>
      <c r="N869" t="s">
        <v>5492</v>
      </c>
      <c r="O869" t="s">
        <v>74</v>
      </c>
      <c r="P869" t="s">
        <v>74</v>
      </c>
      <c r="Q869" t="s">
        <v>74</v>
      </c>
      <c r="R869" t="s">
        <v>74</v>
      </c>
      <c r="S869" t="s">
        <v>74</v>
      </c>
      <c r="T869" t="s">
        <v>15570</v>
      </c>
      <c r="U869" t="s">
        <v>15571</v>
      </c>
      <c r="V869" t="s">
        <v>15572</v>
      </c>
      <c r="W869" t="s">
        <v>15573</v>
      </c>
      <c r="X869" t="s">
        <v>15574</v>
      </c>
      <c r="Y869" t="s">
        <v>15575</v>
      </c>
      <c r="Z869" t="s">
        <v>15576</v>
      </c>
      <c r="AA869" t="s">
        <v>74</v>
      </c>
      <c r="AB869" t="s">
        <v>74</v>
      </c>
      <c r="AC869" t="s">
        <v>74</v>
      </c>
      <c r="AD869" t="s">
        <v>74</v>
      </c>
      <c r="AE869" t="s">
        <v>74</v>
      </c>
      <c r="AF869" t="s">
        <v>74</v>
      </c>
      <c r="AG869">
        <v>108</v>
      </c>
      <c r="AH869">
        <v>0</v>
      </c>
      <c r="AI869">
        <v>0</v>
      </c>
      <c r="AJ869">
        <v>1</v>
      </c>
      <c r="AK869">
        <v>1</v>
      </c>
      <c r="AL869" t="s">
        <v>1188</v>
      </c>
      <c r="AM869" t="s">
        <v>93</v>
      </c>
      <c r="AN869" t="s">
        <v>1189</v>
      </c>
      <c r="AO869" t="s">
        <v>15577</v>
      </c>
      <c r="AP869" t="s">
        <v>15578</v>
      </c>
      <c r="AQ869" t="s">
        <v>74</v>
      </c>
      <c r="AR869" t="s">
        <v>15579</v>
      </c>
      <c r="AS869" t="s">
        <v>15580</v>
      </c>
      <c r="AT869" t="s">
        <v>15430</v>
      </c>
      <c r="AU869">
        <v>2023</v>
      </c>
      <c r="AV869" t="s">
        <v>74</v>
      </c>
      <c r="AW869" t="s">
        <v>74</v>
      </c>
      <c r="AX869" t="s">
        <v>74</v>
      </c>
      <c r="AY869" t="s">
        <v>74</v>
      </c>
      <c r="AZ869" t="s">
        <v>74</v>
      </c>
      <c r="BA869" t="s">
        <v>74</v>
      </c>
      <c r="BB869" t="s">
        <v>74</v>
      </c>
      <c r="BC869" t="s">
        <v>74</v>
      </c>
      <c r="BD869" t="s">
        <v>74</v>
      </c>
      <c r="BE869" t="s">
        <v>15581</v>
      </c>
      <c r="BF869" t="str">
        <f>HYPERLINK("http://dx.doi.org/10.1080/17449480.2023.2231964","http://dx.doi.org/10.1080/17449480.2023.2231964")</f>
        <v>http://dx.doi.org/10.1080/17449480.2023.2231964</v>
      </c>
      <c r="BG869" t="s">
        <v>74</v>
      </c>
      <c r="BH869" t="s">
        <v>12687</v>
      </c>
      <c r="BI869">
        <v>31</v>
      </c>
      <c r="BJ869" t="s">
        <v>8798</v>
      </c>
      <c r="BK869" t="s">
        <v>211</v>
      </c>
      <c r="BL869" t="s">
        <v>295</v>
      </c>
      <c r="BM869" t="s">
        <v>15582</v>
      </c>
      <c r="BN869" t="s">
        <v>74</v>
      </c>
      <c r="BO869" t="s">
        <v>887</v>
      </c>
      <c r="BP869" t="s">
        <v>74</v>
      </c>
      <c r="BQ869" t="s">
        <v>74</v>
      </c>
      <c r="BR869" t="s">
        <v>105</v>
      </c>
      <c r="BS869" t="s">
        <v>15583</v>
      </c>
      <c r="BT869" t="str">
        <f>HYPERLINK("https%3A%2F%2Fwww.webofscience.com%2Fwos%2Fwoscc%2Ffull-record%2FWOS:001027579700001","View Full Record in Web of Science")</f>
        <v>View Full Record in Web of Science</v>
      </c>
    </row>
    <row r="870" spans="1:72" x14ac:dyDescent="0.15">
      <c r="A870" t="s">
        <v>72</v>
      </c>
      <c r="B870" t="s">
        <v>15584</v>
      </c>
      <c r="C870" t="s">
        <v>74</v>
      </c>
      <c r="D870" t="s">
        <v>74</v>
      </c>
      <c r="E870" t="s">
        <v>74</v>
      </c>
      <c r="F870" t="s">
        <v>15585</v>
      </c>
      <c r="G870" t="s">
        <v>74</v>
      </c>
      <c r="H870" t="s">
        <v>74</v>
      </c>
      <c r="I870" t="s">
        <v>15586</v>
      </c>
      <c r="J870" t="s">
        <v>14306</v>
      </c>
      <c r="K870" t="s">
        <v>74</v>
      </c>
      <c r="L870" t="s">
        <v>74</v>
      </c>
      <c r="M870" t="s">
        <v>78</v>
      </c>
      <c r="N870" t="s">
        <v>5492</v>
      </c>
      <c r="O870" t="s">
        <v>74</v>
      </c>
      <c r="P870" t="s">
        <v>74</v>
      </c>
      <c r="Q870" t="s">
        <v>74</v>
      </c>
      <c r="R870" t="s">
        <v>74</v>
      </c>
      <c r="S870" t="s">
        <v>74</v>
      </c>
      <c r="T870" t="s">
        <v>74</v>
      </c>
      <c r="U870" t="s">
        <v>74</v>
      </c>
      <c r="V870" t="s">
        <v>74</v>
      </c>
      <c r="W870" t="s">
        <v>15587</v>
      </c>
      <c r="X870" t="s">
        <v>6275</v>
      </c>
      <c r="Y870" t="s">
        <v>15588</v>
      </c>
      <c r="Z870" t="s">
        <v>15589</v>
      </c>
      <c r="AA870" t="s">
        <v>74</v>
      </c>
      <c r="AB870" t="s">
        <v>74</v>
      </c>
      <c r="AC870" t="s">
        <v>74</v>
      </c>
      <c r="AD870" t="s">
        <v>74</v>
      </c>
      <c r="AE870" t="s">
        <v>74</v>
      </c>
      <c r="AF870" t="s">
        <v>74</v>
      </c>
      <c r="AG870">
        <v>7</v>
      </c>
      <c r="AH870">
        <v>0</v>
      </c>
      <c r="AI870">
        <v>0</v>
      </c>
      <c r="AJ870">
        <v>0</v>
      </c>
      <c r="AK870">
        <v>0</v>
      </c>
      <c r="AL870" t="s">
        <v>1188</v>
      </c>
      <c r="AM870" t="s">
        <v>93</v>
      </c>
      <c r="AN870" t="s">
        <v>1189</v>
      </c>
      <c r="AO870" t="s">
        <v>14315</v>
      </c>
      <c r="AP870" t="s">
        <v>14316</v>
      </c>
      <c r="AQ870" t="s">
        <v>74</v>
      </c>
      <c r="AR870" t="s">
        <v>14317</v>
      </c>
      <c r="AS870" t="s">
        <v>14318</v>
      </c>
      <c r="AT870" t="s">
        <v>15430</v>
      </c>
      <c r="AU870">
        <v>2023</v>
      </c>
      <c r="AV870" t="s">
        <v>74</v>
      </c>
      <c r="AW870" t="s">
        <v>74</v>
      </c>
      <c r="AX870" t="s">
        <v>74</v>
      </c>
      <c r="AY870" t="s">
        <v>74</v>
      </c>
      <c r="AZ870" t="s">
        <v>74</v>
      </c>
      <c r="BA870" t="s">
        <v>74</v>
      </c>
      <c r="BB870" t="s">
        <v>74</v>
      </c>
      <c r="BC870" t="s">
        <v>74</v>
      </c>
      <c r="BD870" t="s">
        <v>74</v>
      </c>
      <c r="BE870" t="s">
        <v>15590</v>
      </c>
      <c r="BF870" t="str">
        <f>HYPERLINK("http://dx.doi.org/10.1080/1462317X.2023.2234206","http://dx.doi.org/10.1080/1462317X.2023.2234206")</f>
        <v>http://dx.doi.org/10.1080/1462317X.2023.2234206</v>
      </c>
      <c r="BG870" t="s">
        <v>74</v>
      </c>
      <c r="BH870" t="s">
        <v>12687</v>
      </c>
      <c r="BI870">
        <v>7</v>
      </c>
      <c r="BJ870" t="s">
        <v>14320</v>
      </c>
      <c r="BK870" t="s">
        <v>211</v>
      </c>
      <c r="BL870" t="s">
        <v>14320</v>
      </c>
      <c r="BM870" t="s">
        <v>15591</v>
      </c>
      <c r="BN870" t="s">
        <v>74</v>
      </c>
      <c r="BO870" t="s">
        <v>74</v>
      </c>
      <c r="BP870" t="s">
        <v>74</v>
      </c>
      <c r="BQ870" t="s">
        <v>74</v>
      </c>
      <c r="BR870" t="s">
        <v>105</v>
      </c>
      <c r="BS870" t="s">
        <v>15592</v>
      </c>
      <c r="BT870" t="str">
        <f>HYPERLINK("https%3A%2F%2Fwww.webofscience.com%2Fwos%2Fwoscc%2Ffull-record%2FWOS:001026545800001","View Full Record in Web of Science")</f>
        <v>View Full Record in Web of Science</v>
      </c>
    </row>
    <row r="871" spans="1:72" x14ac:dyDescent="0.15">
      <c r="A871" t="s">
        <v>72</v>
      </c>
      <c r="B871" t="s">
        <v>15593</v>
      </c>
      <c r="C871" t="s">
        <v>74</v>
      </c>
      <c r="D871" t="s">
        <v>74</v>
      </c>
      <c r="E871" t="s">
        <v>74</v>
      </c>
      <c r="F871" t="s">
        <v>15594</v>
      </c>
      <c r="G871" t="s">
        <v>74</v>
      </c>
      <c r="H871" t="s">
        <v>74</v>
      </c>
      <c r="I871" t="s">
        <v>15595</v>
      </c>
      <c r="J871" t="s">
        <v>15596</v>
      </c>
      <c r="K871" t="s">
        <v>74</v>
      </c>
      <c r="L871" t="s">
        <v>74</v>
      </c>
      <c r="M871" t="s">
        <v>78</v>
      </c>
      <c r="N871" t="s">
        <v>1444</v>
      </c>
      <c r="O871" t="s">
        <v>74</v>
      </c>
      <c r="P871" t="s">
        <v>74</v>
      </c>
      <c r="Q871" t="s">
        <v>74</v>
      </c>
      <c r="R871" t="s">
        <v>74</v>
      </c>
      <c r="S871" t="s">
        <v>74</v>
      </c>
      <c r="T871" t="s">
        <v>74</v>
      </c>
      <c r="U871" t="s">
        <v>74</v>
      </c>
      <c r="V871" t="s">
        <v>74</v>
      </c>
      <c r="W871" t="s">
        <v>74</v>
      </c>
      <c r="X871" t="s">
        <v>74</v>
      </c>
      <c r="Y871" t="s">
        <v>74</v>
      </c>
      <c r="Z871" t="s">
        <v>74</v>
      </c>
      <c r="AA871" t="s">
        <v>74</v>
      </c>
      <c r="AB871" t="s">
        <v>74</v>
      </c>
      <c r="AC871" t="s">
        <v>74</v>
      </c>
      <c r="AD871" t="s">
        <v>74</v>
      </c>
      <c r="AE871" t="s">
        <v>74</v>
      </c>
      <c r="AF871" t="s">
        <v>74</v>
      </c>
      <c r="AG871">
        <v>1</v>
      </c>
      <c r="AH871">
        <v>0</v>
      </c>
      <c r="AI871">
        <v>0</v>
      </c>
      <c r="AJ871">
        <v>0</v>
      </c>
      <c r="AK871">
        <v>0</v>
      </c>
      <c r="AL871" t="s">
        <v>1188</v>
      </c>
      <c r="AM871" t="s">
        <v>93</v>
      </c>
      <c r="AN871" t="s">
        <v>1189</v>
      </c>
      <c r="AO871" t="s">
        <v>15597</v>
      </c>
      <c r="AP871" t="s">
        <v>15598</v>
      </c>
      <c r="AQ871" t="s">
        <v>74</v>
      </c>
      <c r="AR871" t="s">
        <v>15599</v>
      </c>
      <c r="AS871" t="s">
        <v>15600</v>
      </c>
      <c r="AT871" t="s">
        <v>8098</v>
      </c>
      <c r="AU871">
        <v>2023</v>
      </c>
      <c r="AV871">
        <v>105</v>
      </c>
      <c r="AW871">
        <v>5</v>
      </c>
      <c r="AX871" t="s">
        <v>74</v>
      </c>
      <c r="AY871" t="s">
        <v>74</v>
      </c>
      <c r="AZ871" t="s">
        <v>74</v>
      </c>
      <c r="BA871" t="s">
        <v>74</v>
      </c>
      <c r="BB871">
        <v>717</v>
      </c>
      <c r="BC871">
        <v>717</v>
      </c>
      <c r="BD871" t="s">
        <v>74</v>
      </c>
      <c r="BE871" t="s">
        <v>15601</v>
      </c>
      <c r="BF871" t="str">
        <f>HYPERLINK("http://dx.doi.org/10.1080/00223891.2023.2233351","http://dx.doi.org/10.1080/00223891.2023.2233351")</f>
        <v>http://dx.doi.org/10.1080/00223891.2023.2233351</v>
      </c>
      <c r="BG871" t="s">
        <v>74</v>
      </c>
      <c r="BH871" t="s">
        <v>12687</v>
      </c>
      <c r="BI871">
        <v>1</v>
      </c>
      <c r="BJ871" t="s">
        <v>15602</v>
      </c>
      <c r="BK871" t="s">
        <v>272</v>
      </c>
      <c r="BL871" t="s">
        <v>1691</v>
      </c>
      <c r="BM871" t="s">
        <v>15603</v>
      </c>
      <c r="BN871" t="s">
        <v>74</v>
      </c>
      <c r="BO871" t="s">
        <v>5391</v>
      </c>
      <c r="BP871" t="s">
        <v>74</v>
      </c>
      <c r="BQ871" t="s">
        <v>74</v>
      </c>
      <c r="BR871" t="s">
        <v>105</v>
      </c>
      <c r="BS871" t="s">
        <v>15604</v>
      </c>
      <c r="BT871" t="str">
        <f>HYPERLINK("https%3A%2F%2Fwww.webofscience.com%2Fwos%2Fwoscc%2Ffull-record%2FWOS:001035628400001","View Full Record in Web of Science")</f>
        <v>View Full Record in Web of Science</v>
      </c>
    </row>
    <row r="872" spans="1:72" x14ac:dyDescent="0.15">
      <c r="A872" t="s">
        <v>72</v>
      </c>
      <c r="B872" t="s">
        <v>15605</v>
      </c>
      <c r="C872" t="s">
        <v>74</v>
      </c>
      <c r="D872" t="s">
        <v>74</v>
      </c>
      <c r="E872" t="s">
        <v>74</v>
      </c>
      <c r="F872" t="s">
        <v>15606</v>
      </c>
      <c r="G872" t="s">
        <v>74</v>
      </c>
      <c r="H872" t="s">
        <v>74</v>
      </c>
      <c r="I872" t="s">
        <v>15607</v>
      </c>
      <c r="J872" t="s">
        <v>15608</v>
      </c>
      <c r="K872" t="s">
        <v>74</v>
      </c>
      <c r="L872" t="s">
        <v>74</v>
      </c>
      <c r="M872" t="s">
        <v>78</v>
      </c>
      <c r="N872" t="s">
        <v>79</v>
      </c>
      <c r="O872" t="s">
        <v>74</v>
      </c>
      <c r="P872" t="s">
        <v>74</v>
      </c>
      <c r="Q872" t="s">
        <v>74</v>
      </c>
      <c r="R872" t="s">
        <v>74</v>
      </c>
      <c r="S872" t="s">
        <v>74</v>
      </c>
      <c r="T872" t="s">
        <v>15609</v>
      </c>
      <c r="U872" t="s">
        <v>15610</v>
      </c>
      <c r="V872" t="s">
        <v>15611</v>
      </c>
      <c r="W872" t="s">
        <v>15612</v>
      </c>
      <c r="X872" t="s">
        <v>15613</v>
      </c>
      <c r="Y872" t="s">
        <v>15614</v>
      </c>
      <c r="Z872" t="s">
        <v>15615</v>
      </c>
      <c r="AA872" t="s">
        <v>74</v>
      </c>
      <c r="AB872" t="s">
        <v>15616</v>
      </c>
      <c r="AC872" t="s">
        <v>74</v>
      </c>
      <c r="AD872" t="s">
        <v>74</v>
      </c>
      <c r="AE872" t="s">
        <v>74</v>
      </c>
      <c r="AF872" t="s">
        <v>74</v>
      </c>
      <c r="AG872">
        <v>66</v>
      </c>
      <c r="AH872">
        <v>0</v>
      </c>
      <c r="AI872">
        <v>0</v>
      </c>
      <c r="AJ872">
        <v>3</v>
      </c>
      <c r="AK872">
        <v>3</v>
      </c>
      <c r="AL872" t="s">
        <v>1188</v>
      </c>
      <c r="AM872" t="s">
        <v>93</v>
      </c>
      <c r="AN872" t="s">
        <v>1189</v>
      </c>
      <c r="AO872" t="s">
        <v>15617</v>
      </c>
      <c r="AP872" t="s">
        <v>15618</v>
      </c>
      <c r="AQ872" t="s">
        <v>74</v>
      </c>
      <c r="AR872" t="s">
        <v>15619</v>
      </c>
      <c r="AS872" t="s">
        <v>15620</v>
      </c>
      <c r="AT872" t="s">
        <v>15621</v>
      </c>
      <c r="AU872">
        <v>2022</v>
      </c>
      <c r="AV872">
        <v>19</v>
      </c>
      <c r="AW872">
        <v>2</v>
      </c>
      <c r="AX872" t="s">
        <v>74</v>
      </c>
      <c r="AY872" t="s">
        <v>74</v>
      </c>
      <c r="AZ872" t="s">
        <v>74</v>
      </c>
      <c r="BA872" t="s">
        <v>74</v>
      </c>
      <c r="BB872">
        <v>141</v>
      </c>
      <c r="BC872">
        <v>160</v>
      </c>
      <c r="BD872" t="s">
        <v>74</v>
      </c>
      <c r="BE872" t="s">
        <v>15622</v>
      </c>
      <c r="BF872" t="str">
        <f>HYPERLINK("http://dx.doi.org/10.1080/18146627.2023.2225750","http://dx.doi.org/10.1080/18146627.2023.2225750")</f>
        <v>http://dx.doi.org/10.1080/18146627.2023.2225750</v>
      </c>
      <c r="BG872" t="s">
        <v>74</v>
      </c>
      <c r="BH872" t="s">
        <v>12687</v>
      </c>
      <c r="BI872">
        <v>20</v>
      </c>
      <c r="BJ872" t="s">
        <v>271</v>
      </c>
      <c r="BK872" t="s">
        <v>211</v>
      </c>
      <c r="BL872" t="s">
        <v>271</v>
      </c>
      <c r="BM872" t="s">
        <v>15623</v>
      </c>
      <c r="BN872" t="s">
        <v>74</v>
      </c>
      <c r="BO872" t="s">
        <v>74</v>
      </c>
      <c r="BP872" t="s">
        <v>74</v>
      </c>
      <c r="BQ872" t="s">
        <v>74</v>
      </c>
      <c r="BR872" t="s">
        <v>105</v>
      </c>
      <c r="BS872" t="s">
        <v>15624</v>
      </c>
      <c r="BT872" t="str">
        <f>HYPERLINK("https%3A%2F%2Fwww.webofscience.com%2Fwos%2Fwoscc%2Ffull-record%2FWOS:001024014000001","View Full Record in Web of Science")</f>
        <v>View Full Record in Web of Science</v>
      </c>
    </row>
    <row r="873" spans="1:72" x14ac:dyDescent="0.15">
      <c r="A873" t="s">
        <v>72</v>
      </c>
      <c r="B873" t="s">
        <v>15625</v>
      </c>
      <c r="C873" t="s">
        <v>74</v>
      </c>
      <c r="D873" t="s">
        <v>74</v>
      </c>
      <c r="E873" t="s">
        <v>74</v>
      </c>
      <c r="F873" t="s">
        <v>15626</v>
      </c>
      <c r="G873" t="s">
        <v>74</v>
      </c>
      <c r="H873" t="s">
        <v>74</v>
      </c>
      <c r="I873" t="s">
        <v>15627</v>
      </c>
      <c r="J873" t="s">
        <v>15628</v>
      </c>
      <c r="K873" t="s">
        <v>74</v>
      </c>
      <c r="L873" t="s">
        <v>74</v>
      </c>
      <c r="M873" t="s">
        <v>78</v>
      </c>
      <c r="N873" t="s">
        <v>79</v>
      </c>
      <c r="O873" t="s">
        <v>74</v>
      </c>
      <c r="P873" t="s">
        <v>74</v>
      </c>
      <c r="Q873" t="s">
        <v>74</v>
      </c>
      <c r="R873" t="s">
        <v>74</v>
      </c>
      <c r="S873" t="s">
        <v>74</v>
      </c>
      <c r="T873" t="s">
        <v>15629</v>
      </c>
      <c r="U873" t="s">
        <v>74</v>
      </c>
      <c r="V873" t="s">
        <v>15630</v>
      </c>
      <c r="W873" t="s">
        <v>15631</v>
      </c>
      <c r="X873" t="s">
        <v>74</v>
      </c>
      <c r="Y873" t="s">
        <v>15632</v>
      </c>
      <c r="Z873" t="s">
        <v>15633</v>
      </c>
      <c r="AA873" t="s">
        <v>74</v>
      </c>
      <c r="AB873" t="s">
        <v>74</v>
      </c>
      <c r="AC873" t="s">
        <v>74</v>
      </c>
      <c r="AD873" t="s">
        <v>74</v>
      </c>
      <c r="AE873" t="s">
        <v>74</v>
      </c>
      <c r="AF873" t="s">
        <v>74</v>
      </c>
      <c r="AG873">
        <v>34</v>
      </c>
      <c r="AH873">
        <v>0</v>
      </c>
      <c r="AI873">
        <v>0</v>
      </c>
      <c r="AJ873">
        <v>4</v>
      </c>
      <c r="AK873">
        <v>4</v>
      </c>
      <c r="AL873" t="s">
        <v>92</v>
      </c>
      <c r="AM873" t="s">
        <v>93</v>
      </c>
      <c r="AN873" t="s">
        <v>94</v>
      </c>
      <c r="AO873" t="s">
        <v>15634</v>
      </c>
      <c r="AP873" t="s">
        <v>15635</v>
      </c>
      <c r="AQ873" t="s">
        <v>74</v>
      </c>
      <c r="AR873" t="s">
        <v>15636</v>
      </c>
      <c r="AS873" t="s">
        <v>15637</v>
      </c>
      <c r="AT873" t="s">
        <v>9899</v>
      </c>
      <c r="AU873">
        <v>2023</v>
      </c>
      <c r="AV873">
        <v>33</v>
      </c>
      <c r="AW873">
        <v>8</v>
      </c>
      <c r="AX873" t="s">
        <v>74</v>
      </c>
      <c r="AY873" t="s">
        <v>74</v>
      </c>
      <c r="AZ873" t="s">
        <v>74</v>
      </c>
      <c r="BA873" t="s">
        <v>74</v>
      </c>
      <c r="BB873">
        <v>656</v>
      </c>
      <c r="BC873">
        <v>666</v>
      </c>
      <c r="BD873" t="s">
        <v>74</v>
      </c>
      <c r="BE873" t="s">
        <v>15638</v>
      </c>
      <c r="BF873" t="str">
        <f>HYPERLINK("http://dx.doi.org/10.1080/15376516.2023.2223291","http://dx.doi.org/10.1080/15376516.2023.2223291")</f>
        <v>http://dx.doi.org/10.1080/15376516.2023.2223291</v>
      </c>
      <c r="BG873" t="s">
        <v>74</v>
      </c>
      <c r="BH873" t="s">
        <v>12687</v>
      </c>
      <c r="BI873">
        <v>11</v>
      </c>
      <c r="BJ873" t="s">
        <v>4236</v>
      </c>
      <c r="BK873" t="s">
        <v>102</v>
      </c>
      <c r="BL873" t="s">
        <v>4236</v>
      </c>
      <c r="BM873" t="s">
        <v>15639</v>
      </c>
      <c r="BN873">
        <v>37434431</v>
      </c>
      <c r="BO873" t="s">
        <v>5486</v>
      </c>
      <c r="BP873" t="s">
        <v>74</v>
      </c>
      <c r="BQ873" t="s">
        <v>74</v>
      </c>
      <c r="BR873" t="s">
        <v>105</v>
      </c>
      <c r="BS873" t="s">
        <v>15640</v>
      </c>
      <c r="BT873" t="str">
        <f>HYPERLINK("https%3A%2F%2Fwww.webofscience.com%2Fwos%2Fwoscc%2Ffull-record%2FWOS:001024166900001","View Full Record in Web of Science")</f>
        <v>View Full Record in Web of Science</v>
      </c>
    </row>
    <row r="874" spans="1:72" x14ac:dyDescent="0.15">
      <c r="A874" t="s">
        <v>72</v>
      </c>
      <c r="B874" t="s">
        <v>11264</v>
      </c>
      <c r="C874" t="s">
        <v>74</v>
      </c>
      <c r="D874" t="s">
        <v>74</v>
      </c>
      <c r="E874" t="s">
        <v>74</v>
      </c>
      <c r="F874" t="s">
        <v>11264</v>
      </c>
      <c r="G874" t="s">
        <v>74</v>
      </c>
      <c r="H874" t="s">
        <v>74</v>
      </c>
      <c r="I874" t="s">
        <v>15641</v>
      </c>
      <c r="J874" t="s">
        <v>11266</v>
      </c>
      <c r="K874" t="s">
        <v>74</v>
      </c>
      <c r="L874" t="s">
        <v>74</v>
      </c>
      <c r="M874" t="s">
        <v>78</v>
      </c>
      <c r="N874" t="s">
        <v>6253</v>
      </c>
      <c r="O874" t="s">
        <v>74</v>
      </c>
      <c r="P874" t="s">
        <v>74</v>
      </c>
      <c r="Q874" t="s">
        <v>74</v>
      </c>
      <c r="R874" t="s">
        <v>74</v>
      </c>
      <c r="S874" t="s">
        <v>74</v>
      </c>
      <c r="T874" t="s">
        <v>74</v>
      </c>
      <c r="U874" t="s">
        <v>74</v>
      </c>
      <c r="V874" t="s">
        <v>74</v>
      </c>
      <c r="W874" t="s">
        <v>74</v>
      </c>
      <c r="X874" t="s">
        <v>74</v>
      </c>
      <c r="Y874" t="s">
        <v>74</v>
      </c>
      <c r="Z874" t="s">
        <v>74</v>
      </c>
      <c r="AA874" t="s">
        <v>74</v>
      </c>
      <c r="AB874" t="s">
        <v>74</v>
      </c>
      <c r="AC874" t="s">
        <v>74</v>
      </c>
      <c r="AD874" t="s">
        <v>74</v>
      </c>
      <c r="AE874" t="s">
        <v>74</v>
      </c>
      <c r="AF874" t="s">
        <v>74</v>
      </c>
      <c r="AG874">
        <v>7</v>
      </c>
      <c r="AH874">
        <v>0</v>
      </c>
      <c r="AI874">
        <v>0</v>
      </c>
      <c r="AJ874">
        <v>1</v>
      </c>
      <c r="AK874">
        <v>1</v>
      </c>
      <c r="AL874" t="s">
        <v>1188</v>
      </c>
      <c r="AM874" t="s">
        <v>93</v>
      </c>
      <c r="AN874" t="s">
        <v>1189</v>
      </c>
      <c r="AO874" t="s">
        <v>11268</v>
      </c>
      <c r="AP874" t="s">
        <v>11269</v>
      </c>
      <c r="AQ874" t="s">
        <v>74</v>
      </c>
      <c r="AR874" t="s">
        <v>11270</v>
      </c>
      <c r="AS874" t="s">
        <v>11271</v>
      </c>
      <c r="AT874" t="s">
        <v>15430</v>
      </c>
      <c r="AU874">
        <v>2023</v>
      </c>
      <c r="AV874" t="s">
        <v>74</v>
      </c>
      <c r="AW874" t="s">
        <v>74</v>
      </c>
      <c r="AX874" t="s">
        <v>74</v>
      </c>
      <c r="AY874" t="s">
        <v>74</v>
      </c>
      <c r="AZ874" t="s">
        <v>74</v>
      </c>
      <c r="BA874" t="s">
        <v>74</v>
      </c>
      <c r="BB874" t="s">
        <v>74</v>
      </c>
      <c r="BC874" t="s">
        <v>74</v>
      </c>
      <c r="BD874" t="s">
        <v>74</v>
      </c>
      <c r="BE874" t="s">
        <v>15642</v>
      </c>
      <c r="BF874" t="str">
        <f>HYPERLINK("http://dx.doi.org/10.1080/07481187.2023.2232168","http://dx.doi.org/10.1080/07481187.2023.2232168")</f>
        <v>http://dx.doi.org/10.1080/07481187.2023.2232168</v>
      </c>
      <c r="BG874" t="s">
        <v>74</v>
      </c>
      <c r="BH874" t="s">
        <v>12687</v>
      </c>
      <c r="BI874">
        <v>3</v>
      </c>
      <c r="BJ874" t="s">
        <v>11273</v>
      </c>
      <c r="BK874" t="s">
        <v>272</v>
      </c>
      <c r="BL874" t="s">
        <v>11274</v>
      </c>
      <c r="BM874" t="s">
        <v>15643</v>
      </c>
      <c r="BN874" t="s">
        <v>74</v>
      </c>
      <c r="BO874" t="s">
        <v>74</v>
      </c>
      <c r="BP874" t="s">
        <v>74</v>
      </c>
      <c r="BQ874" t="s">
        <v>74</v>
      </c>
      <c r="BR874" t="s">
        <v>105</v>
      </c>
      <c r="BS874" t="s">
        <v>15644</v>
      </c>
      <c r="BT874" t="str">
        <f>HYPERLINK("https%3A%2F%2Fwww.webofscience.com%2Fwos%2Fwoscc%2Ffull-record%2FWOS:001028748200001","View Full Record in Web of Science")</f>
        <v>View Full Record in Web of Science</v>
      </c>
    </row>
    <row r="875" spans="1:72" x14ac:dyDescent="0.15">
      <c r="A875" t="s">
        <v>72</v>
      </c>
      <c r="B875" t="s">
        <v>15645</v>
      </c>
      <c r="C875" t="s">
        <v>74</v>
      </c>
      <c r="D875" t="s">
        <v>74</v>
      </c>
      <c r="E875" t="s">
        <v>74</v>
      </c>
      <c r="F875" t="s">
        <v>15646</v>
      </c>
      <c r="G875" t="s">
        <v>74</v>
      </c>
      <c r="H875" t="s">
        <v>74</v>
      </c>
      <c r="I875" t="s">
        <v>15647</v>
      </c>
      <c r="J875" t="s">
        <v>12223</v>
      </c>
      <c r="K875" t="s">
        <v>74</v>
      </c>
      <c r="L875" t="s">
        <v>74</v>
      </c>
      <c r="M875" t="s">
        <v>78</v>
      </c>
      <c r="N875" t="s">
        <v>5492</v>
      </c>
      <c r="O875" t="s">
        <v>74</v>
      </c>
      <c r="P875" t="s">
        <v>74</v>
      </c>
      <c r="Q875" t="s">
        <v>74</v>
      </c>
      <c r="R875" t="s">
        <v>74</v>
      </c>
      <c r="S875" t="s">
        <v>74</v>
      </c>
      <c r="T875" t="s">
        <v>15648</v>
      </c>
      <c r="U875" t="s">
        <v>15649</v>
      </c>
      <c r="V875" t="s">
        <v>15650</v>
      </c>
      <c r="W875" t="s">
        <v>15651</v>
      </c>
      <c r="X875" t="s">
        <v>15652</v>
      </c>
      <c r="Y875" t="s">
        <v>15653</v>
      </c>
      <c r="Z875" t="s">
        <v>15654</v>
      </c>
      <c r="AA875" t="s">
        <v>15655</v>
      </c>
      <c r="AB875" t="s">
        <v>15656</v>
      </c>
      <c r="AC875" t="s">
        <v>15657</v>
      </c>
      <c r="AD875" t="s">
        <v>15658</v>
      </c>
      <c r="AE875" t="s">
        <v>15659</v>
      </c>
      <c r="AF875" t="s">
        <v>74</v>
      </c>
      <c r="AG875">
        <v>39</v>
      </c>
      <c r="AH875">
        <v>0</v>
      </c>
      <c r="AI875">
        <v>0</v>
      </c>
      <c r="AJ875">
        <v>7</v>
      </c>
      <c r="AK875">
        <v>7</v>
      </c>
      <c r="AL875" t="s">
        <v>184</v>
      </c>
      <c r="AM875" t="s">
        <v>185</v>
      </c>
      <c r="AN875" t="s">
        <v>186</v>
      </c>
      <c r="AO875" t="s">
        <v>12230</v>
      </c>
      <c r="AP875" t="s">
        <v>12231</v>
      </c>
      <c r="AQ875" t="s">
        <v>74</v>
      </c>
      <c r="AR875" t="s">
        <v>12232</v>
      </c>
      <c r="AS875" t="s">
        <v>12233</v>
      </c>
      <c r="AT875" t="s">
        <v>15660</v>
      </c>
      <c r="AU875">
        <v>2023</v>
      </c>
      <c r="AV875" t="s">
        <v>74</v>
      </c>
      <c r="AW875" t="s">
        <v>74</v>
      </c>
      <c r="AX875" t="s">
        <v>74</v>
      </c>
      <c r="AY875" t="s">
        <v>74</v>
      </c>
      <c r="AZ875" t="s">
        <v>74</v>
      </c>
      <c r="BA875" t="s">
        <v>74</v>
      </c>
      <c r="BB875" t="s">
        <v>74</v>
      </c>
      <c r="BC875" t="s">
        <v>74</v>
      </c>
      <c r="BD875" t="s">
        <v>74</v>
      </c>
      <c r="BE875" t="s">
        <v>15661</v>
      </c>
      <c r="BF875" t="str">
        <f>HYPERLINK("http://dx.doi.org/10.1080/10407782.2023.2235075","http://dx.doi.org/10.1080/10407782.2023.2235075")</f>
        <v>http://dx.doi.org/10.1080/10407782.2023.2235075</v>
      </c>
      <c r="BG875" t="s">
        <v>74</v>
      </c>
      <c r="BH875" t="s">
        <v>12687</v>
      </c>
      <c r="BI875">
        <v>26</v>
      </c>
      <c r="BJ875" t="s">
        <v>9081</v>
      </c>
      <c r="BK875" t="s">
        <v>102</v>
      </c>
      <c r="BL875" t="s">
        <v>9081</v>
      </c>
      <c r="BM875" t="s">
        <v>15662</v>
      </c>
      <c r="BN875" t="s">
        <v>74</v>
      </c>
      <c r="BO875" t="s">
        <v>74</v>
      </c>
      <c r="BP875" t="s">
        <v>74</v>
      </c>
      <c r="BQ875" t="s">
        <v>74</v>
      </c>
      <c r="BR875" t="s">
        <v>105</v>
      </c>
      <c r="BS875" t="s">
        <v>15663</v>
      </c>
      <c r="BT875" t="str">
        <f>HYPERLINK("https%3A%2F%2Fwww.webofscience.com%2Fwos%2Fwoscc%2Ffull-record%2FWOS:001026288400001","View Full Record in Web of Science")</f>
        <v>View Full Record in Web of Science</v>
      </c>
    </row>
    <row r="876" spans="1:72" x14ac:dyDescent="0.15">
      <c r="A876" t="s">
        <v>72</v>
      </c>
      <c r="B876" t="s">
        <v>15664</v>
      </c>
      <c r="C876" t="s">
        <v>74</v>
      </c>
      <c r="D876" t="s">
        <v>74</v>
      </c>
      <c r="E876" t="s">
        <v>74</v>
      </c>
      <c r="F876" t="s">
        <v>15665</v>
      </c>
      <c r="G876" t="s">
        <v>74</v>
      </c>
      <c r="H876" t="s">
        <v>74</v>
      </c>
      <c r="I876" t="s">
        <v>15666</v>
      </c>
      <c r="J876" t="s">
        <v>15667</v>
      </c>
      <c r="K876" t="s">
        <v>74</v>
      </c>
      <c r="L876" t="s">
        <v>74</v>
      </c>
      <c r="M876" t="s">
        <v>78</v>
      </c>
      <c r="N876" t="s">
        <v>5492</v>
      </c>
      <c r="O876" t="s">
        <v>74</v>
      </c>
      <c r="P876" t="s">
        <v>74</v>
      </c>
      <c r="Q876" t="s">
        <v>74</v>
      </c>
      <c r="R876" t="s">
        <v>74</v>
      </c>
      <c r="S876" t="s">
        <v>74</v>
      </c>
      <c r="T876" t="s">
        <v>15668</v>
      </c>
      <c r="U876" t="s">
        <v>15669</v>
      </c>
      <c r="V876" t="s">
        <v>15670</v>
      </c>
      <c r="W876" t="s">
        <v>15671</v>
      </c>
      <c r="X876" t="s">
        <v>15672</v>
      </c>
      <c r="Y876" t="s">
        <v>15673</v>
      </c>
      <c r="Z876" t="s">
        <v>15674</v>
      </c>
      <c r="AA876" t="s">
        <v>15675</v>
      </c>
      <c r="AB876" t="s">
        <v>15676</v>
      </c>
      <c r="AC876" t="s">
        <v>74</v>
      </c>
      <c r="AD876" t="s">
        <v>74</v>
      </c>
      <c r="AE876" t="s">
        <v>74</v>
      </c>
      <c r="AF876" t="s">
        <v>74</v>
      </c>
      <c r="AG876">
        <v>39</v>
      </c>
      <c r="AH876">
        <v>0</v>
      </c>
      <c r="AI876">
        <v>0</v>
      </c>
      <c r="AJ876">
        <v>6</v>
      </c>
      <c r="AK876">
        <v>6</v>
      </c>
      <c r="AL876" t="s">
        <v>1188</v>
      </c>
      <c r="AM876" t="s">
        <v>93</v>
      </c>
      <c r="AN876" t="s">
        <v>1189</v>
      </c>
      <c r="AO876" t="s">
        <v>15677</v>
      </c>
      <c r="AP876" t="s">
        <v>15678</v>
      </c>
      <c r="AQ876" t="s">
        <v>74</v>
      </c>
      <c r="AR876" t="s">
        <v>15679</v>
      </c>
      <c r="AS876" t="s">
        <v>15680</v>
      </c>
      <c r="AT876" t="s">
        <v>15660</v>
      </c>
      <c r="AU876">
        <v>2023</v>
      </c>
      <c r="AV876" t="s">
        <v>74</v>
      </c>
      <c r="AW876" t="s">
        <v>74</v>
      </c>
      <c r="AX876" t="s">
        <v>74</v>
      </c>
      <c r="AY876" t="s">
        <v>74</v>
      </c>
      <c r="AZ876" t="s">
        <v>74</v>
      </c>
      <c r="BA876" t="s">
        <v>74</v>
      </c>
      <c r="BB876" t="s">
        <v>74</v>
      </c>
      <c r="BC876" t="s">
        <v>74</v>
      </c>
      <c r="BD876" t="s">
        <v>74</v>
      </c>
      <c r="BE876" t="s">
        <v>15681</v>
      </c>
      <c r="BF876" t="str">
        <f>HYPERLINK("http://dx.doi.org/10.1080/21670811.2023.2235601","http://dx.doi.org/10.1080/21670811.2023.2235601")</f>
        <v>http://dx.doi.org/10.1080/21670811.2023.2235601</v>
      </c>
      <c r="BG876" t="s">
        <v>74</v>
      </c>
      <c r="BH876" t="s">
        <v>12687</v>
      </c>
      <c r="BI876">
        <v>19</v>
      </c>
      <c r="BJ876" t="s">
        <v>7911</v>
      </c>
      <c r="BK876" t="s">
        <v>272</v>
      </c>
      <c r="BL876" t="s">
        <v>7911</v>
      </c>
      <c r="BM876" t="s">
        <v>15682</v>
      </c>
      <c r="BN876" t="s">
        <v>74</v>
      </c>
      <c r="BO876" t="s">
        <v>74</v>
      </c>
      <c r="BP876" t="s">
        <v>74</v>
      </c>
      <c r="BQ876" t="s">
        <v>74</v>
      </c>
      <c r="BR876" t="s">
        <v>105</v>
      </c>
      <c r="BS876" t="s">
        <v>15683</v>
      </c>
      <c r="BT876" t="str">
        <f>HYPERLINK("https%3A%2F%2Fwww.webofscience.com%2Fwos%2Fwoscc%2Ffull-record%2FWOS:001036814700001","View Full Record in Web of Science")</f>
        <v>View Full Record in Web of Science</v>
      </c>
    </row>
    <row r="877" spans="1:72" x14ac:dyDescent="0.15">
      <c r="A877" t="s">
        <v>72</v>
      </c>
      <c r="B877" t="s">
        <v>15684</v>
      </c>
      <c r="C877" t="s">
        <v>74</v>
      </c>
      <c r="D877" t="s">
        <v>74</v>
      </c>
      <c r="E877" t="s">
        <v>74</v>
      </c>
      <c r="F877" t="s">
        <v>15685</v>
      </c>
      <c r="G877" t="s">
        <v>74</v>
      </c>
      <c r="H877" t="s">
        <v>74</v>
      </c>
      <c r="I877" t="s">
        <v>15686</v>
      </c>
      <c r="J877" t="s">
        <v>15687</v>
      </c>
      <c r="K877" t="s">
        <v>74</v>
      </c>
      <c r="L877" t="s">
        <v>74</v>
      </c>
      <c r="M877" t="s">
        <v>78</v>
      </c>
      <c r="N877" t="s">
        <v>79</v>
      </c>
      <c r="O877" t="s">
        <v>74</v>
      </c>
      <c r="P877" t="s">
        <v>74</v>
      </c>
      <c r="Q877" t="s">
        <v>74</v>
      </c>
      <c r="R877" t="s">
        <v>74</v>
      </c>
      <c r="S877" t="s">
        <v>74</v>
      </c>
      <c r="T877" t="s">
        <v>15688</v>
      </c>
      <c r="U877" t="s">
        <v>74</v>
      </c>
      <c r="V877" t="s">
        <v>15689</v>
      </c>
      <c r="W877" t="s">
        <v>15690</v>
      </c>
      <c r="X877" t="s">
        <v>15691</v>
      </c>
      <c r="Y877" t="s">
        <v>15692</v>
      </c>
      <c r="Z877" t="s">
        <v>15693</v>
      </c>
      <c r="AA877" t="s">
        <v>74</v>
      </c>
      <c r="AB877" t="s">
        <v>74</v>
      </c>
      <c r="AC877" t="s">
        <v>15694</v>
      </c>
      <c r="AD877" t="s">
        <v>1368</v>
      </c>
      <c r="AE877" t="s">
        <v>15695</v>
      </c>
      <c r="AF877" t="s">
        <v>74</v>
      </c>
      <c r="AG877">
        <v>30</v>
      </c>
      <c r="AH877">
        <v>0</v>
      </c>
      <c r="AI877">
        <v>0</v>
      </c>
      <c r="AJ877">
        <v>3</v>
      </c>
      <c r="AK877">
        <v>3</v>
      </c>
      <c r="AL877" t="s">
        <v>184</v>
      </c>
      <c r="AM877" t="s">
        <v>185</v>
      </c>
      <c r="AN877" t="s">
        <v>186</v>
      </c>
      <c r="AO877" t="s">
        <v>15696</v>
      </c>
      <c r="AP877" t="s">
        <v>74</v>
      </c>
      <c r="AQ877" t="s">
        <v>74</v>
      </c>
      <c r="AR877" t="s">
        <v>15697</v>
      </c>
      <c r="AS877" t="s">
        <v>15698</v>
      </c>
      <c r="AT877" t="s">
        <v>12289</v>
      </c>
      <c r="AU877">
        <v>2023</v>
      </c>
      <c r="AV877">
        <v>57</v>
      </c>
      <c r="AW877">
        <v>3</v>
      </c>
      <c r="AX877" t="s">
        <v>74</v>
      </c>
      <c r="AY877" t="s">
        <v>74</v>
      </c>
      <c r="AZ877" t="s">
        <v>74</v>
      </c>
      <c r="BA877" t="s">
        <v>74</v>
      </c>
      <c r="BB877">
        <v>178</v>
      </c>
      <c r="BC877">
        <v>202</v>
      </c>
      <c r="BD877" t="s">
        <v>74</v>
      </c>
      <c r="BE877" t="s">
        <v>15699</v>
      </c>
      <c r="BF877" t="str">
        <f>HYPERLINK("http://dx.doi.org/10.1080/08327823.2023.2235550","http://dx.doi.org/10.1080/08327823.2023.2235550")</f>
        <v>http://dx.doi.org/10.1080/08327823.2023.2235550</v>
      </c>
      <c r="BG877" t="s">
        <v>74</v>
      </c>
      <c r="BH877" t="s">
        <v>12687</v>
      </c>
      <c r="BI877">
        <v>25</v>
      </c>
      <c r="BJ877" t="s">
        <v>15700</v>
      </c>
      <c r="BK877" t="s">
        <v>102</v>
      </c>
      <c r="BL877" t="s">
        <v>517</v>
      </c>
      <c r="BM877" t="s">
        <v>15701</v>
      </c>
      <c r="BN877" t="s">
        <v>74</v>
      </c>
      <c r="BO877" t="s">
        <v>74</v>
      </c>
      <c r="BP877" t="s">
        <v>74</v>
      </c>
      <c r="BQ877" t="s">
        <v>74</v>
      </c>
      <c r="BR877" t="s">
        <v>105</v>
      </c>
      <c r="BS877" t="s">
        <v>15702</v>
      </c>
      <c r="BT877" t="str">
        <f>HYPERLINK("https%3A%2F%2Fwww.webofscience.com%2Fwos%2Fwoscc%2Ffull-record%2FWOS:001028705300001","View Full Record in Web of Science")</f>
        <v>View Full Record in Web of Science</v>
      </c>
    </row>
    <row r="878" spans="1:72" x14ac:dyDescent="0.15">
      <c r="A878" t="s">
        <v>72</v>
      </c>
      <c r="B878" t="s">
        <v>15703</v>
      </c>
      <c r="C878" t="s">
        <v>74</v>
      </c>
      <c r="D878" t="s">
        <v>74</v>
      </c>
      <c r="E878" t="s">
        <v>74</v>
      </c>
      <c r="F878" t="s">
        <v>15704</v>
      </c>
      <c r="G878" t="s">
        <v>74</v>
      </c>
      <c r="H878" t="s">
        <v>74</v>
      </c>
      <c r="I878" t="s">
        <v>15705</v>
      </c>
      <c r="J878" t="s">
        <v>15706</v>
      </c>
      <c r="K878" t="s">
        <v>74</v>
      </c>
      <c r="L878" t="s">
        <v>74</v>
      </c>
      <c r="M878" t="s">
        <v>78</v>
      </c>
      <c r="N878" t="s">
        <v>5492</v>
      </c>
      <c r="O878" t="s">
        <v>74</v>
      </c>
      <c r="P878" t="s">
        <v>74</v>
      </c>
      <c r="Q878" t="s">
        <v>74</v>
      </c>
      <c r="R878" t="s">
        <v>74</v>
      </c>
      <c r="S878" t="s">
        <v>74</v>
      </c>
      <c r="T878" t="s">
        <v>15707</v>
      </c>
      <c r="U878" t="s">
        <v>2523</v>
      </c>
      <c r="V878" t="s">
        <v>15708</v>
      </c>
      <c r="W878" t="s">
        <v>15709</v>
      </c>
      <c r="X878" t="s">
        <v>15710</v>
      </c>
      <c r="Y878" t="s">
        <v>15711</v>
      </c>
      <c r="Z878" t="s">
        <v>15712</v>
      </c>
      <c r="AA878" t="s">
        <v>74</v>
      </c>
      <c r="AB878" t="s">
        <v>15713</v>
      </c>
      <c r="AC878" t="s">
        <v>74</v>
      </c>
      <c r="AD878" t="s">
        <v>74</v>
      </c>
      <c r="AE878" t="s">
        <v>74</v>
      </c>
      <c r="AF878" t="s">
        <v>74</v>
      </c>
      <c r="AG878">
        <v>18</v>
      </c>
      <c r="AH878">
        <v>0</v>
      </c>
      <c r="AI878">
        <v>0</v>
      </c>
      <c r="AJ878">
        <v>2</v>
      </c>
      <c r="AK878">
        <v>2</v>
      </c>
      <c r="AL878" t="s">
        <v>1188</v>
      </c>
      <c r="AM878" t="s">
        <v>93</v>
      </c>
      <c r="AN878" t="s">
        <v>1189</v>
      </c>
      <c r="AO878" t="s">
        <v>15714</v>
      </c>
      <c r="AP878" t="s">
        <v>15715</v>
      </c>
      <c r="AQ878" t="s">
        <v>74</v>
      </c>
      <c r="AR878" t="s">
        <v>15716</v>
      </c>
      <c r="AS878" t="s">
        <v>15717</v>
      </c>
      <c r="AT878" t="s">
        <v>15660</v>
      </c>
      <c r="AU878">
        <v>2023</v>
      </c>
      <c r="AV878" t="s">
        <v>74</v>
      </c>
      <c r="AW878" t="s">
        <v>74</v>
      </c>
      <c r="AX878" t="s">
        <v>74</v>
      </c>
      <c r="AY878" t="s">
        <v>74</v>
      </c>
      <c r="AZ878" t="s">
        <v>74</v>
      </c>
      <c r="BA878" t="s">
        <v>74</v>
      </c>
      <c r="BB878" t="s">
        <v>74</v>
      </c>
      <c r="BC878" t="s">
        <v>74</v>
      </c>
      <c r="BD878" t="s">
        <v>74</v>
      </c>
      <c r="BE878" t="s">
        <v>15718</v>
      </c>
      <c r="BF878" t="str">
        <f>HYPERLINK("http://dx.doi.org/10.1080/21520704.2023.2234865","http://dx.doi.org/10.1080/21520704.2023.2234865")</f>
        <v>http://dx.doi.org/10.1080/21520704.2023.2234865</v>
      </c>
      <c r="BG878" t="s">
        <v>74</v>
      </c>
      <c r="BH878" t="s">
        <v>12687</v>
      </c>
      <c r="BI878">
        <v>15</v>
      </c>
      <c r="BJ878" t="s">
        <v>7246</v>
      </c>
      <c r="BK878" t="s">
        <v>211</v>
      </c>
      <c r="BL878" t="s">
        <v>1691</v>
      </c>
      <c r="BM878" t="s">
        <v>15719</v>
      </c>
      <c r="BN878" t="s">
        <v>74</v>
      </c>
      <c r="BO878" t="s">
        <v>74</v>
      </c>
      <c r="BP878" t="s">
        <v>74</v>
      </c>
      <c r="BQ878" t="s">
        <v>74</v>
      </c>
      <c r="BR878" t="s">
        <v>105</v>
      </c>
      <c r="BS878" t="s">
        <v>15720</v>
      </c>
      <c r="BT878" t="str">
        <f>HYPERLINK("https%3A%2F%2Fwww.webofscience.com%2Fwos%2Fwoscc%2Ffull-record%2FWOS:001025221000001","View Full Record in Web of Science")</f>
        <v>View Full Record in Web of Science</v>
      </c>
    </row>
    <row r="879" spans="1:72" x14ac:dyDescent="0.15">
      <c r="A879" t="s">
        <v>72</v>
      </c>
      <c r="B879" t="s">
        <v>15721</v>
      </c>
      <c r="C879" t="s">
        <v>74</v>
      </c>
      <c r="D879" t="s">
        <v>74</v>
      </c>
      <c r="E879" t="s">
        <v>74</v>
      </c>
      <c r="F879" t="s">
        <v>15722</v>
      </c>
      <c r="G879" t="s">
        <v>74</v>
      </c>
      <c r="H879" t="s">
        <v>74</v>
      </c>
      <c r="I879" t="s">
        <v>15723</v>
      </c>
      <c r="J879" t="s">
        <v>15724</v>
      </c>
      <c r="K879" t="s">
        <v>74</v>
      </c>
      <c r="L879" t="s">
        <v>74</v>
      </c>
      <c r="M879" t="s">
        <v>78</v>
      </c>
      <c r="N879" t="s">
        <v>79</v>
      </c>
      <c r="O879" t="s">
        <v>74</v>
      </c>
      <c r="P879" t="s">
        <v>74</v>
      </c>
      <c r="Q879" t="s">
        <v>74</v>
      </c>
      <c r="R879" t="s">
        <v>74</v>
      </c>
      <c r="S879" t="s">
        <v>74</v>
      </c>
      <c r="T879" t="s">
        <v>15725</v>
      </c>
      <c r="U879" t="s">
        <v>15726</v>
      </c>
      <c r="V879" t="s">
        <v>15727</v>
      </c>
      <c r="W879" t="s">
        <v>15728</v>
      </c>
      <c r="X879" t="s">
        <v>15729</v>
      </c>
      <c r="Y879" t="s">
        <v>15730</v>
      </c>
      <c r="Z879" t="s">
        <v>15731</v>
      </c>
      <c r="AA879" t="s">
        <v>15732</v>
      </c>
      <c r="AB879" t="s">
        <v>15733</v>
      </c>
      <c r="AC879" t="s">
        <v>74</v>
      </c>
      <c r="AD879" t="s">
        <v>74</v>
      </c>
      <c r="AE879" t="s">
        <v>74</v>
      </c>
      <c r="AF879" t="s">
        <v>74</v>
      </c>
      <c r="AG879">
        <v>53</v>
      </c>
      <c r="AH879">
        <v>0</v>
      </c>
      <c r="AI879">
        <v>0</v>
      </c>
      <c r="AJ879">
        <v>3</v>
      </c>
      <c r="AK879">
        <v>3</v>
      </c>
      <c r="AL879" t="s">
        <v>1188</v>
      </c>
      <c r="AM879" t="s">
        <v>93</v>
      </c>
      <c r="AN879" t="s">
        <v>1189</v>
      </c>
      <c r="AO879" t="s">
        <v>15734</v>
      </c>
      <c r="AP879" t="s">
        <v>15735</v>
      </c>
      <c r="AQ879" t="s">
        <v>74</v>
      </c>
      <c r="AR879" t="s">
        <v>15736</v>
      </c>
      <c r="AS879" t="s">
        <v>15737</v>
      </c>
      <c r="AT879" t="s">
        <v>15738</v>
      </c>
      <c r="AU879">
        <v>2023</v>
      </c>
      <c r="AV879">
        <v>47</v>
      </c>
      <c r="AW879">
        <v>8</v>
      </c>
      <c r="AX879" t="s">
        <v>74</v>
      </c>
      <c r="AY879" t="s">
        <v>74</v>
      </c>
      <c r="AZ879" t="s">
        <v>74</v>
      </c>
      <c r="BA879" t="s">
        <v>74</v>
      </c>
      <c r="BB879">
        <v>1140</v>
      </c>
      <c r="BC879">
        <v>1154</v>
      </c>
      <c r="BD879" t="s">
        <v>74</v>
      </c>
      <c r="BE879" t="s">
        <v>15739</v>
      </c>
      <c r="BF879" t="str">
        <f>HYPERLINK("http://dx.doi.org/10.1080/0309877X.2023.2220286","http://dx.doi.org/10.1080/0309877X.2023.2220286")</f>
        <v>http://dx.doi.org/10.1080/0309877X.2023.2220286</v>
      </c>
      <c r="BG879" t="s">
        <v>74</v>
      </c>
      <c r="BH879" t="s">
        <v>12687</v>
      </c>
      <c r="BI879">
        <v>15</v>
      </c>
      <c r="BJ879" t="s">
        <v>271</v>
      </c>
      <c r="BK879" t="s">
        <v>211</v>
      </c>
      <c r="BL879" t="s">
        <v>271</v>
      </c>
      <c r="BM879" t="s">
        <v>15740</v>
      </c>
      <c r="BN879" t="s">
        <v>74</v>
      </c>
      <c r="BO879" t="s">
        <v>887</v>
      </c>
      <c r="BP879" t="s">
        <v>74</v>
      </c>
      <c r="BQ879" t="s">
        <v>74</v>
      </c>
      <c r="BR879" t="s">
        <v>105</v>
      </c>
      <c r="BS879" t="s">
        <v>15741</v>
      </c>
      <c r="BT879" t="str">
        <f>HYPERLINK("https%3A%2F%2Fwww.webofscience.com%2Fwos%2Fwoscc%2Ffull-record%2FWOS:001025505700001","View Full Record in Web of Science")</f>
        <v>View Full Record in Web of Science</v>
      </c>
    </row>
    <row r="880" spans="1:72" x14ac:dyDescent="0.15">
      <c r="A880" t="s">
        <v>72</v>
      </c>
      <c r="B880" t="s">
        <v>15742</v>
      </c>
      <c r="C880" t="s">
        <v>74</v>
      </c>
      <c r="D880" t="s">
        <v>74</v>
      </c>
      <c r="E880" t="s">
        <v>74</v>
      </c>
      <c r="F880" t="s">
        <v>15743</v>
      </c>
      <c r="G880" t="s">
        <v>74</v>
      </c>
      <c r="H880" t="s">
        <v>74</v>
      </c>
      <c r="I880" t="s">
        <v>15744</v>
      </c>
      <c r="J880" t="s">
        <v>15745</v>
      </c>
      <c r="K880" t="s">
        <v>74</v>
      </c>
      <c r="L880" t="s">
        <v>74</v>
      </c>
      <c r="M880" t="s">
        <v>78</v>
      </c>
      <c r="N880" t="s">
        <v>79</v>
      </c>
      <c r="O880" t="s">
        <v>74</v>
      </c>
      <c r="P880" t="s">
        <v>74</v>
      </c>
      <c r="Q880" t="s">
        <v>74</v>
      </c>
      <c r="R880" t="s">
        <v>74</v>
      </c>
      <c r="S880" t="s">
        <v>74</v>
      </c>
      <c r="T880" t="s">
        <v>15746</v>
      </c>
      <c r="U880" t="s">
        <v>15747</v>
      </c>
      <c r="V880" t="s">
        <v>15748</v>
      </c>
      <c r="W880" t="s">
        <v>15749</v>
      </c>
      <c r="X880" t="s">
        <v>15750</v>
      </c>
      <c r="Y880" t="s">
        <v>15751</v>
      </c>
      <c r="Z880" t="s">
        <v>15752</v>
      </c>
      <c r="AA880" t="s">
        <v>15753</v>
      </c>
      <c r="AB880" t="s">
        <v>15754</v>
      </c>
      <c r="AC880" t="s">
        <v>15755</v>
      </c>
      <c r="AD880" t="s">
        <v>15756</v>
      </c>
      <c r="AE880" t="s">
        <v>15757</v>
      </c>
      <c r="AF880" t="s">
        <v>74</v>
      </c>
      <c r="AG880">
        <v>61</v>
      </c>
      <c r="AH880">
        <v>0</v>
      </c>
      <c r="AI880">
        <v>0</v>
      </c>
      <c r="AJ880">
        <v>6</v>
      </c>
      <c r="AK880">
        <v>6</v>
      </c>
      <c r="AL880" t="s">
        <v>184</v>
      </c>
      <c r="AM880" t="s">
        <v>185</v>
      </c>
      <c r="AN880" t="s">
        <v>186</v>
      </c>
      <c r="AO880" t="s">
        <v>15758</v>
      </c>
      <c r="AP880" t="s">
        <v>15759</v>
      </c>
      <c r="AQ880" t="s">
        <v>74</v>
      </c>
      <c r="AR880" t="s">
        <v>15745</v>
      </c>
      <c r="AS880" t="s">
        <v>15760</v>
      </c>
      <c r="AT880" t="s">
        <v>5386</v>
      </c>
      <c r="AU880">
        <v>2023</v>
      </c>
      <c r="AV880">
        <v>19</v>
      </c>
      <c r="AW880">
        <v>10</v>
      </c>
      <c r="AX880" t="s">
        <v>74</v>
      </c>
      <c r="AY880" t="s">
        <v>74</v>
      </c>
      <c r="AZ880" t="s">
        <v>74</v>
      </c>
      <c r="BA880" t="s">
        <v>74</v>
      </c>
      <c r="BB880">
        <v>2733</v>
      </c>
      <c r="BC880">
        <v>2751</v>
      </c>
      <c r="BD880" t="s">
        <v>74</v>
      </c>
      <c r="BE880" t="s">
        <v>15761</v>
      </c>
      <c r="BF880" t="str">
        <f>HYPERLINK("http://dx.doi.org/10.1080/15548627.2023.2229656","http://dx.doi.org/10.1080/15548627.2023.2229656")</f>
        <v>http://dx.doi.org/10.1080/15548627.2023.2229656</v>
      </c>
      <c r="BG880" t="s">
        <v>74</v>
      </c>
      <c r="BH880" t="s">
        <v>12687</v>
      </c>
      <c r="BI880">
        <v>19</v>
      </c>
      <c r="BJ880" t="s">
        <v>865</v>
      </c>
      <c r="BK880" t="s">
        <v>102</v>
      </c>
      <c r="BL880" t="s">
        <v>865</v>
      </c>
      <c r="BM880" t="s">
        <v>15762</v>
      </c>
      <c r="BN880">
        <v>37418591</v>
      </c>
      <c r="BO880" t="s">
        <v>887</v>
      </c>
      <c r="BP880" t="s">
        <v>74</v>
      </c>
      <c r="BQ880" t="s">
        <v>74</v>
      </c>
      <c r="BR880" t="s">
        <v>105</v>
      </c>
      <c r="BS880" t="s">
        <v>15763</v>
      </c>
      <c r="BT880" t="str">
        <f>HYPERLINK("https%3A%2F%2Fwww.webofscience.com%2Fwos%2Fwoscc%2Ffull-record%2FWOS:001024011600001","View Full Record in Web of Science")</f>
        <v>View Full Record in Web of Science</v>
      </c>
    </row>
    <row r="881" spans="1:72" x14ac:dyDescent="0.15">
      <c r="A881" t="s">
        <v>72</v>
      </c>
      <c r="B881" t="s">
        <v>15764</v>
      </c>
      <c r="C881" t="s">
        <v>74</v>
      </c>
      <c r="D881" t="s">
        <v>74</v>
      </c>
      <c r="E881" t="s">
        <v>74</v>
      </c>
      <c r="F881" t="s">
        <v>15765</v>
      </c>
      <c r="G881" t="s">
        <v>74</v>
      </c>
      <c r="H881" t="s">
        <v>74</v>
      </c>
      <c r="I881" t="s">
        <v>15766</v>
      </c>
      <c r="J881" t="s">
        <v>5655</v>
      </c>
      <c r="K881" t="s">
        <v>74</v>
      </c>
      <c r="L881" t="s">
        <v>74</v>
      </c>
      <c r="M881" t="s">
        <v>78</v>
      </c>
      <c r="N881" t="s">
        <v>5492</v>
      </c>
      <c r="O881" t="s">
        <v>74</v>
      </c>
      <c r="P881" t="s">
        <v>74</v>
      </c>
      <c r="Q881" t="s">
        <v>74</v>
      </c>
      <c r="R881" t="s">
        <v>74</v>
      </c>
      <c r="S881" t="s">
        <v>74</v>
      </c>
      <c r="T881" t="s">
        <v>74</v>
      </c>
      <c r="U881" t="s">
        <v>15767</v>
      </c>
      <c r="V881" t="s">
        <v>15768</v>
      </c>
      <c r="W881" t="s">
        <v>15769</v>
      </c>
      <c r="X881" t="s">
        <v>15770</v>
      </c>
      <c r="Y881" t="s">
        <v>15771</v>
      </c>
      <c r="Z881" t="s">
        <v>15772</v>
      </c>
      <c r="AA881" t="s">
        <v>74</v>
      </c>
      <c r="AB881" t="s">
        <v>74</v>
      </c>
      <c r="AC881" t="s">
        <v>15773</v>
      </c>
      <c r="AD881" t="s">
        <v>15773</v>
      </c>
      <c r="AE881" t="s">
        <v>15774</v>
      </c>
      <c r="AF881" t="s">
        <v>74</v>
      </c>
      <c r="AG881">
        <v>78</v>
      </c>
      <c r="AH881">
        <v>0</v>
      </c>
      <c r="AI881">
        <v>0</v>
      </c>
      <c r="AJ881">
        <v>0</v>
      </c>
      <c r="AK881">
        <v>0</v>
      </c>
      <c r="AL881" t="s">
        <v>1188</v>
      </c>
      <c r="AM881" t="s">
        <v>93</v>
      </c>
      <c r="AN881" t="s">
        <v>1189</v>
      </c>
      <c r="AO881" t="s">
        <v>5666</v>
      </c>
      <c r="AP881" t="s">
        <v>5667</v>
      </c>
      <c r="AQ881" t="s">
        <v>74</v>
      </c>
      <c r="AR881" t="s">
        <v>5668</v>
      </c>
      <c r="AS881" t="s">
        <v>5669</v>
      </c>
      <c r="AT881" t="s">
        <v>15775</v>
      </c>
      <c r="AU881">
        <v>2023</v>
      </c>
      <c r="AV881" t="s">
        <v>74</v>
      </c>
      <c r="AW881" t="s">
        <v>74</v>
      </c>
      <c r="AX881" t="s">
        <v>74</v>
      </c>
      <c r="AY881" t="s">
        <v>74</v>
      </c>
      <c r="AZ881" t="s">
        <v>74</v>
      </c>
      <c r="BA881" t="s">
        <v>74</v>
      </c>
      <c r="BB881" t="s">
        <v>74</v>
      </c>
      <c r="BC881" t="s">
        <v>74</v>
      </c>
      <c r="BD881" t="s">
        <v>74</v>
      </c>
      <c r="BE881" t="s">
        <v>15776</v>
      </c>
      <c r="BF881" t="str">
        <f>HYPERLINK("http://dx.doi.org/10.1080/10409289.2023.2229714","http://dx.doi.org/10.1080/10409289.2023.2229714")</f>
        <v>http://dx.doi.org/10.1080/10409289.2023.2229714</v>
      </c>
      <c r="BG881" t="s">
        <v>74</v>
      </c>
      <c r="BH881" t="s">
        <v>12687</v>
      </c>
      <c r="BI881">
        <v>22</v>
      </c>
      <c r="BJ881" t="s">
        <v>5672</v>
      </c>
      <c r="BK881" t="s">
        <v>272</v>
      </c>
      <c r="BL881" t="s">
        <v>5673</v>
      </c>
      <c r="BM881" t="s">
        <v>15777</v>
      </c>
      <c r="BN881" t="s">
        <v>74</v>
      </c>
      <c r="BO881" t="s">
        <v>74</v>
      </c>
      <c r="BP881" t="s">
        <v>74</v>
      </c>
      <c r="BQ881" t="s">
        <v>74</v>
      </c>
      <c r="BR881" t="s">
        <v>105</v>
      </c>
      <c r="BS881" t="s">
        <v>15778</v>
      </c>
      <c r="BT881" t="str">
        <f>HYPERLINK("https%3A%2F%2Fwww.webofscience.com%2Fwos%2Fwoscc%2Ffull-record%2FWOS:001025793500001","View Full Record in Web of Science")</f>
        <v>View Full Record in Web of Science</v>
      </c>
    </row>
    <row r="882" spans="1:72" x14ac:dyDescent="0.15">
      <c r="A882" t="s">
        <v>72</v>
      </c>
      <c r="B882" t="s">
        <v>15779</v>
      </c>
      <c r="C882" t="s">
        <v>74</v>
      </c>
      <c r="D882" t="s">
        <v>74</v>
      </c>
      <c r="E882" t="s">
        <v>74</v>
      </c>
      <c r="F882" t="s">
        <v>15780</v>
      </c>
      <c r="G882" t="s">
        <v>74</v>
      </c>
      <c r="H882" t="s">
        <v>74</v>
      </c>
      <c r="I882" t="s">
        <v>15781</v>
      </c>
      <c r="J882" t="s">
        <v>15782</v>
      </c>
      <c r="K882" t="s">
        <v>74</v>
      </c>
      <c r="L882" t="s">
        <v>74</v>
      </c>
      <c r="M882" t="s">
        <v>78</v>
      </c>
      <c r="N882" t="s">
        <v>5492</v>
      </c>
      <c r="O882" t="s">
        <v>74</v>
      </c>
      <c r="P882" t="s">
        <v>74</v>
      </c>
      <c r="Q882" t="s">
        <v>74</v>
      </c>
      <c r="R882" t="s">
        <v>74</v>
      </c>
      <c r="S882" t="s">
        <v>74</v>
      </c>
      <c r="T882" t="s">
        <v>15783</v>
      </c>
      <c r="U882" t="s">
        <v>15784</v>
      </c>
      <c r="V882" t="s">
        <v>15785</v>
      </c>
      <c r="W882" t="s">
        <v>15786</v>
      </c>
      <c r="X882" t="s">
        <v>15787</v>
      </c>
      <c r="Y882" t="s">
        <v>15788</v>
      </c>
      <c r="Z882" t="s">
        <v>15789</v>
      </c>
      <c r="AA882" t="s">
        <v>74</v>
      </c>
      <c r="AB882" t="s">
        <v>15790</v>
      </c>
      <c r="AC882" t="s">
        <v>15791</v>
      </c>
      <c r="AD882" t="s">
        <v>15791</v>
      </c>
      <c r="AE882" t="s">
        <v>15792</v>
      </c>
      <c r="AF882" t="s">
        <v>74</v>
      </c>
      <c r="AG882">
        <v>31</v>
      </c>
      <c r="AH882">
        <v>0</v>
      </c>
      <c r="AI882">
        <v>0</v>
      </c>
      <c r="AJ882">
        <v>0</v>
      </c>
      <c r="AK882">
        <v>0</v>
      </c>
      <c r="AL882" t="s">
        <v>1188</v>
      </c>
      <c r="AM882" t="s">
        <v>93</v>
      </c>
      <c r="AN882" t="s">
        <v>1189</v>
      </c>
      <c r="AO882" t="s">
        <v>15793</v>
      </c>
      <c r="AP882" t="s">
        <v>15794</v>
      </c>
      <c r="AQ882" t="s">
        <v>74</v>
      </c>
      <c r="AR882" t="s">
        <v>15795</v>
      </c>
      <c r="AS882" t="s">
        <v>15796</v>
      </c>
      <c r="AT882" t="s">
        <v>15775</v>
      </c>
      <c r="AU882">
        <v>2023</v>
      </c>
      <c r="AV882" t="s">
        <v>74</v>
      </c>
      <c r="AW882" t="s">
        <v>74</v>
      </c>
      <c r="AX882" t="s">
        <v>74</v>
      </c>
      <c r="AY882" t="s">
        <v>74</v>
      </c>
      <c r="AZ882" t="s">
        <v>74</v>
      </c>
      <c r="BA882" t="s">
        <v>74</v>
      </c>
      <c r="BB882" t="s">
        <v>74</v>
      </c>
      <c r="BC882" t="s">
        <v>74</v>
      </c>
      <c r="BD882" t="s">
        <v>74</v>
      </c>
      <c r="BE882" t="s">
        <v>15797</v>
      </c>
      <c r="BF882" t="str">
        <f>HYPERLINK("http://dx.doi.org/10.1080/15426432.2023.2229764","http://dx.doi.org/10.1080/15426432.2023.2229764")</f>
        <v>http://dx.doi.org/10.1080/15426432.2023.2229764</v>
      </c>
      <c r="BG882" t="s">
        <v>74</v>
      </c>
      <c r="BH882" t="s">
        <v>12687</v>
      </c>
      <c r="BI882">
        <v>20</v>
      </c>
      <c r="BJ882" t="s">
        <v>5869</v>
      </c>
      <c r="BK882" t="s">
        <v>211</v>
      </c>
      <c r="BL882" t="s">
        <v>5869</v>
      </c>
      <c r="BM882" t="s">
        <v>15798</v>
      </c>
      <c r="BN882" t="s">
        <v>74</v>
      </c>
      <c r="BO882" t="s">
        <v>74</v>
      </c>
      <c r="BP882" t="s">
        <v>74</v>
      </c>
      <c r="BQ882" t="s">
        <v>74</v>
      </c>
      <c r="BR882" t="s">
        <v>105</v>
      </c>
      <c r="BS882" t="s">
        <v>15799</v>
      </c>
      <c r="BT882" t="str">
        <f>HYPERLINK("https%3A%2F%2Fwww.webofscience.com%2Fwos%2Fwoscc%2Ffull-record%2FWOS:001024503200001","View Full Record in Web of Science")</f>
        <v>View Full Record in Web of Science</v>
      </c>
    </row>
    <row r="883" spans="1:72" x14ac:dyDescent="0.15">
      <c r="A883" t="s">
        <v>72</v>
      </c>
      <c r="B883" t="s">
        <v>15800</v>
      </c>
      <c r="C883" t="s">
        <v>74</v>
      </c>
      <c r="D883" t="s">
        <v>74</v>
      </c>
      <c r="E883" t="s">
        <v>74</v>
      </c>
      <c r="F883" t="s">
        <v>15801</v>
      </c>
      <c r="G883" t="s">
        <v>74</v>
      </c>
      <c r="H883" t="s">
        <v>74</v>
      </c>
      <c r="I883" t="s">
        <v>15802</v>
      </c>
      <c r="J883" t="s">
        <v>5737</v>
      </c>
      <c r="K883" t="s">
        <v>74</v>
      </c>
      <c r="L883" t="s">
        <v>74</v>
      </c>
      <c r="M883" t="s">
        <v>78</v>
      </c>
      <c r="N883" t="s">
        <v>5492</v>
      </c>
      <c r="O883" t="s">
        <v>74</v>
      </c>
      <c r="P883" t="s">
        <v>74</v>
      </c>
      <c r="Q883" t="s">
        <v>74</v>
      </c>
      <c r="R883" t="s">
        <v>74</v>
      </c>
      <c r="S883" t="s">
        <v>74</v>
      </c>
      <c r="T883" t="s">
        <v>15803</v>
      </c>
      <c r="U883" t="s">
        <v>15804</v>
      </c>
      <c r="V883" t="s">
        <v>15805</v>
      </c>
      <c r="W883" t="s">
        <v>15806</v>
      </c>
      <c r="X883" t="s">
        <v>74</v>
      </c>
      <c r="Y883" t="s">
        <v>15807</v>
      </c>
      <c r="Z883" t="s">
        <v>15808</v>
      </c>
      <c r="AA883" t="s">
        <v>74</v>
      </c>
      <c r="AB883" t="s">
        <v>74</v>
      </c>
      <c r="AC883" t="s">
        <v>74</v>
      </c>
      <c r="AD883" t="s">
        <v>74</v>
      </c>
      <c r="AE883" t="s">
        <v>74</v>
      </c>
      <c r="AF883" t="s">
        <v>74</v>
      </c>
      <c r="AG883">
        <v>48</v>
      </c>
      <c r="AH883">
        <v>0</v>
      </c>
      <c r="AI883">
        <v>0</v>
      </c>
      <c r="AJ883">
        <v>0</v>
      </c>
      <c r="AK883">
        <v>0</v>
      </c>
      <c r="AL883" t="s">
        <v>1188</v>
      </c>
      <c r="AM883" t="s">
        <v>93</v>
      </c>
      <c r="AN883" t="s">
        <v>1189</v>
      </c>
      <c r="AO883" t="s">
        <v>5745</v>
      </c>
      <c r="AP883" t="s">
        <v>5746</v>
      </c>
      <c r="AQ883" t="s">
        <v>74</v>
      </c>
      <c r="AR883" t="s">
        <v>5747</v>
      </c>
      <c r="AS883" t="s">
        <v>5748</v>
      </c>
      <c r="AT883" t="s">
        <v>15775</v>
      </c>
      <c r="AU883">
        <v>2023</v>
      </c>
      <c r="AV883" t="s">
        <v>74</v>
      </c>
      <c r="AW883" t="s">
        <v>74</v>
      </c>
      <c r="AX883" t="s">
        <v>74</v>
      </c>
      <c r="AY883" t="s">
        <v>74</v>
      </c>
      <c r="AZ883" t="s">
        <v>74</v>
      </c>
      <c r="BA883" t="s">
        <v>74</v>
      </c>
      <c r="BB883" t="s">
        <v>74</v>
      </c>
      <c r="BC883" t="s">
        <v>74</v>
      </c>
      <c r="BD883" t="s">
        <v>74</v>
      </c>
      <c r="BE883" t="s">
        <v>15809</v>
      </c>
      <c r="BF883" t="str">
        <f>HYPERLINK("http://dx.doi.org/10.1080/14683857.2023.2231680","http://dx.doi.org/10.1080/14683857.2023.2231680")</f>
        <v>http://dx.doi.org/10.1080/14683857.2023.2231680</v>
      </c>
      <c r="BG883" t="s">
        <v>74</v>
      </c>
      <c r="BH883" t="s">
        <v>12687</v>
      </c>
      <c r="BI883">
        <v>16</v>
      </c>
      <c r="BJ883" t="s">
        <v>5750</v>
      </c>
      <c r="BK883" t="s">
        <v>272</v>
      </c>
      <c r="BL883" t="s">
        <v>5750</v>
      </c>
      <c r="BM883" t="s">
        <v>15810</v>
      </c>
      <c r="BN883" t="s">
        <v>74</v>
      </c>
      <c r="BO883" t="s">
        <v>74</v>
      </c>
      <c r="BP883" t="s">
        <v>74</v>
      </c>
      <c r="BQ883" t="s">
        <v>74</v>
      </c>
      <c r="BR883" t="s">
        <v>105</v>
      </c>
      <c r="BS883" t="s">
        <v>15811</v>
      </c>
      <c r="BT883" t="str">
        <f>HYPERLINK("https%3A%2F%2Fwww.webofscience.com%2Fwos%2Fwoscc%2Ffull-record%2FWOS:001025798400001","View Full Record in Web of Science")</f>
        <v>View Full Record in Web of Science</v>
      </c>
    </row>
    <row r="884" spans="1:72" x14ac:dyDescent="0.15">
      <c r="A884" t="s">
        <v>72</v>
      </c>
      <c r="B884" t="s">
        <v>15812</v>
      </c>
      <c r="C884" t="s">
        <v>74</v>
      </c>
      <c r="D884" t="s">
        <v>74</v>
      </c>
      <c r="E884" t="s">
        <v>74</v>
      </c>
      <c r="F884" t="s">
        <v>15813</v>
      </c>
      <c r="G884" t="s">
        <v>74</v>
      </c>
      <c r="H884" t="s">
        <v>74</v>
      </c>
      <c r="I884" t="s">
        <v>15814</v>
      </c>
      <c r="J884" t="s">
        <v>10652</v>
      </c>
      <c r="K884" t="s">
        <v>74</v>
      </c>
      <c r="L884" t="s">
        <v>74</v>
      </c>
      <c r="M884" t="s">
        <v>78</v>
      </c>
      <c r="N884" t="s">
        <v>5492</v>
      </c>
      <c r="O884" t="s">
        <v>74</v>
      </c>
      <c r="P884" t="s">
        <v>74</v>
      </c>
      <c r="Q884" t="s">
        <v>74</v>
      </c>
      <c r="R884" t="s">
        <v>74</v>
      </c>
      <c r="S884" t="s">
        <v>74</v>
      </c>
      <c r="T884" t="s">
        <v>15815</v>
      </c>
      <c r="U884" t="s">
        <v>15816</v>
      </c>
      <c r="V884" t="s">
        <v>15817</v>
      </c>
      <c r="W884" t="s">
        <v>15818</v>
      </c>
      <c r="X884" t="s">
        <v>15819</v>
      </c>
      <c r="Y884" t="s">
        <v>15820</v>
      </c>
      <c r="Z884" t="s">
        <v>15821</v>
      </c>
      <c r="AA884" t="s">
        <v>74</v>
      </c>
      <c r="AB884" t="s">
        <v>74</v>
      </c>
      <c r="AC884" t="s">
        <v>74</v>
      </c>
      <c r="AD884" t="s">
        <v>74</v>
      </c>
      <c r="AE884" t="s">
        <v>74</v>
      </c>
      <c r="AF884" t="s">
        <v>74</v>
      </c>
      <c r="AG884">
        <v>36</v>
      </c>
      <c r="AH884">
        <v>1</v>
      </c>
      <c r="AI884">
        <v>1</v>
      </c>
      <c r="AJ884">
        <v>7</v>
      </c>
      <c r="AK884">
        <v>7</v>
      </c>
      <c r="AL884" t="s">
        <v>92</v>
      </c>
      <c r="AM884" t="s">
        <v>93</v>
      </c>
      <c r="AN884" t="s">
        <v>94</v>
      </c>
      <c r="AO884" t="s">
        <v>10665</v>
      </c>
      <c r="AP884" t="s">
        <v>10666</v>
      </c>
      <c r="AQ884" t="s">
        <v>74</v>
      </c>
      <c r="AR884" t="s">
        <v>10667</v>
      </c>
      <c r="AS884" t="s">
        <v>10668</v>
      </c>
      <c r="AT884" t="s">
        <v>15822</v>
      </c>
      <c r="AU884">
        <v>2023</v>
      </c>
      <c r="AV884" t="s">
        <v>74</v>
      </c>
      <c r="AW884" t="s">
        <v>74</v>
      </c>
      <c r="AX884" t="s">
        <v>74</v>
      </c>
      <c r="AY884" t="s">
        <v>74</v>
      </c>
      <c r="AZ884" t="s">
        <v>74</v>
      </c>
      <c r="BA884" t="s">
        <v>74</v>
      </c>
      <c r="BB884" t="s">
        <v>74</v>
      </c>
      <c r="BC884" t="s">
        <v>74</v>
      </c>
      <c r="BD884" t="s">
        <v>74</v>
      </c>
      <c r="BE884" t="s">
        <v>15823</v>
      </c>
      <c r="BF884" t="str">
        <f>HYPERLINK("http://dx.doi.org/10.1080/17445302.2023.2231200","http://dx.doi.org/10.1080/17445302.2023.2231200")</f>
        <v>http://dx.doi.org/10.1080/17445302.2023.2231200</v>
      </c>
      <c r="BG884" t="s">
        <v>74</v>
      </c>
      <c r="BH884" t="s">
        <v>12687</v>
      </c>
      <c r="BI884">
        <v>8</v>
      </c>
      <c r="BJ884" t="s">
        <v>10670</v>
      </c>
      <c r="BK884" t="s">
        <v>102</v>
      </c>
      <c r="BL884" t="s">
        <v>1095</v>
      </c>
      <c r="BM884" t="s">
        <v>15824</v>
      </c>
      <c r="BN884" t="s">
        <v>74</v>
      </c>
      <c r="BO884" t="s">
        <v>74</v>
      </c>
      <c r="BP884" t="s">
        <v>74</v>
      </c>
      <c r="BQ884" t="s">
        <v>74</v>
      </c>
      <c r="BR884" t="s">
        <v>105</v>
      </c>
      <c r="BS884" t="s">
        <v>15825</v>
      </c>
      <c r="BT884" t="str">
        <f>HYPERLINK("https%3A%2F%2Fwww.webofscience.com%2Fwos%2Fwoscc%2Ffull-record%2FWOS:001024004700001","View Full Record in Web of Science")</f>
        <v>View Full Record in Web of Science</v>
      </c>
    </row>
    <row r="885" spans="1:72" x14ac:dyDescent="0.15">
      <c r="A885" t="s">
        <v>72</v>
      </c>
      <c r="B885" t="s">
        <v>15826</v>
      </c>
      <c r="C885" t="s">
        <v>74</v>
      </c>
      <c r="D885" t="s">
        <v>74</v>
      </c>
      <c r="E885" t="s">
        <v>74</v>
      </c>
      <c r="F885" t="s">
        <v>15827</v>
      </c>
      <c r="G885" t="s">
        <v>74</v>
      </c>
      <c r="H885" t="s">
        <v>74</v>
      </c>
      <c r="I885" t="s">
        <v>15828</v>
      </c>
      <c r="J885" t="s">
        <v>11151</v>
      </c>
      <c r="K885" t="s">
        <v>74</v>
      </c>
      <c r="L885" t="s">
        <v>74</v>
      </c>
      <c r="M885" t="s">
        <v>78</v>
      </c>
      <c r="N885" t="s">
        <v>5492</v>
      </c>
      <c r="O885" t="s">
        <v>74</v>
      </c>
      <c r="P885" t="s">
        <v>74</v>
      </c>
      <c r="Q885" t="s">
        <v>74</v>
      </c>
      <c r="R885" t="s">
        <v>74</v>
      </c>
      <c r="S885" t="s">
        <v>74</v>
      </c>
      <c r="T885" t="s">
        <v>74</v>
      </c>
      <c r="U885" t="s">
        <v>15829</v>
      </c>
      <c r="V885" t="s">
        <v>15830</v>
      </c>
      <c r="W885" t="s">
        <v>15831</v>
      </c>
      <c r="X885" t="s">
        <v>15832</v>
      </c>
      <c r="Y885" t="s">
        <v>15833</v>
      </c>
      <c r="Z885" t="s">
        <v>15834</v>
      </c>
      <c r="AA885" t="s">
        <v>74</v>
      </c>
      <c r="AB885" t="s">
        <v>74</v>
      </c>
      <c r="AC885" t="s">
        <v>74</v>
      </c>
      <c r="AD885" t="s">
        <v>74</v>
      </c>
      <c r="AE885" t="s">
        <v>74</v>
      </c>
      <c r="AF885" t="s">
        <v>74</v>
      </c>
      <c r="AG885">
        <v>65</v>
      </c>
      <c r="AH885">
        <v>0</v>
      </c>
      <c r="AI885">
        <v>0</v>
      </c>
      <c r="AJ885">
        <v>1</v>
      </c>
      <c r="AK885">
        <v>1</v>
      </c>
      <c r="AL885" t="s">
        <v>184</v>
      </c>
      <c r="AM885" t="s">
        <v>185</v>
      </c>
      <c r="AN885" t="s">
        <v>186</v>
      </c>
      <c r="AO885" t="s">
        <v>11160</v>
      </c>
      <c r="AP885" t="s">
        <v>11161</v>
      </c>
      <c r="AQ885" t="s">
        <v>74</v>
      </c>
      <c r="AR885" t="s">
        <v>11162</v>
      </c>
      <c r="AS885" t="s">
        <v>11163</v>
      </c>
      <c r="AT885" t="s">
        <v>15822</v>
      </c>
      <c r="AU885">
        <v>2023</v>
      </c>
      <c r="AV885" t="s">
        <v>74</v>
      </c>
      <c r="AW885" t="s">
        <v>74</v>
      </c>
      <c r="AX885" t="s">
        <v>74</v>
      </c>
      <c r="AY885" t="s">
        <v>74</v>
      </c>
      <c r="AZ885" t="s">
        <v>74</v>
      </c>
      <c r="BA885" t="s">
        <v>74</v>
      </c>
      <c r="BB885" t="s">
        <v>74</v>
      </c>
      <c r="BC885" t="s">
        <v>74</v>
      </c>
      <c r="BD885" t="s">
        <v>74</v>
      </c>
      <c r="BE885" t="s">
        <v>15835</v>
      </c>
      <c r="BF885" t="str">
        <f>HYPERLINK("http://dx.doi.org/10.1080/01639625.2023.2233668","http://dx.doi.org/10.1080/01639625.2023.2233668")</f>
        <v>http://dx.doi.org/10.1080/01639625.2023.2233668</v>
      </c>
      <c r="BG885" t="s">
        <v>74</v>
      </c>
      <c r="BH885" t="s">
        <v>12687</v>
      </c>
      <c r="BI885">
        <v>17</v>
      </c>
      <c r="BJ885" t="s">
        <v>11165</v>
      </c>
      <c r="BK885" t="s">
        <v>272</v>
      </c>
      <c r="BL885" t="s">
        <v>11166</v>
      </c>
      <c r="BM885" t="s">
        <v>15836</v>
      </c>
      <c r="BN885" t="s">
        <v>74</v>
      </c>
      <c r="BO885" t="s">
        <v>74</v>
      </c>
      <c r="BP885" t="s">
        <v>74</v>
      </c>
      <c r="BQ885" t="s">
        <v>74</v>
      </c>
      <c r="BR885" t="s">
        <v>105</v>
      </c>
      <c r="BS885" t="s">
        <v>15837</v>
      </c>
      <c r="BT885" t="str">
        <f>HYPERLINK("https%3A%2F%2Fwww.webofscience.com%2Fwos%2Fwoscc%2Ffull-record%2FWOS:001024018800001","View Full Record in Web of Science")</f>
        <v>View Full Record in Web of Science</v>
      </c>
    </row>
    <row r="886" spans="1:72" x14ac:dyDescent="0.15">
      <c r="A886" t="s">
        <v>72</v>
      </c>
      <c r="B886" t="s">
        <v>15838</v>
      </c>
      <c r="C886" t="s">
        <v>74</v>
      </c>
      <c r="D886" t="s">
        <v>74</v>
      </c>
      <c r="E886" t="s">
        <v>74</v>
      </c>
      <c r="F886" t="s">
        <v>15839</v>
      </c>
      <c r="G886" t="s">
        <v>74</v>
      </c>
      <c r="H886" t="s">
        <v>74</v>
      </c>
      <c r="I886" t="s">
        <v>15840</v>
      </c>
      <c r="J886" t="s">
        <v>15841</v>
      </c>
      <c r="K886" t="s">
        <v>74</v>
      </c>
      <c r="L886" t="s">
        <v>74</v>
      </c>
      <c r="M886" t="s">
        <v>78</v>
      </c>
      <c r="N886" t="s">
        <v>5492</v>
      </c>
      <c r="O886" t="s">
        <v>74</v>
      </c>
      <c r="P886" t="s">
        <v>74</v>
      </c>
      <c r="Q886" t="s">
        <v>74</v>
      </c>
      <c r="R886" t="s">
        <v>74</v>
      </c>
      <c r="S886" t="s">
        <v>74</v>
      </c>
      <c r="T886" t="s">
        <v>15842</v>
      </c>
      <c r="U886" t="s">
        <v>15843</v>
      </c>
      <c r="V886" t="s">
        <v>15844</v>
      </c>
      <c r="W886" t="s">
        <v>15845</v>
      </c>
      <c r="X886" t="s">
        <v>15846</v>
      </c>
      <c r="Y886" t="s">
        <v>15847</v>
      </c>
      <c r="Z886" t="s">
        <v>15848</v>
      </c>
      <c r="AA886" t="s">
        <v>15849</v>
      </c>
      <c r="AB886" t="s">
        <v>15850</v>
      </c>
      <c r="AC886" t="s">
        <v>15851</v>
      </c>
      <c r="AD886" t="s">
        <v>1368</v>
      </c>
      <c r="AE886" t="s">
        <v>15852</v>
      </c>
      <c r="AF886" t="s">
        <v>74</v>
      </c>
      <c r="AG886">
        <v>81</v>
      </c>
      <c r="AH886">
        <v>0</v>
      </c>
      <c r="AI886">
        <v>0</v>
      </c>
      <c r="AJ886">
        <v>4</v>
      </c>
      <c r="AK886">
        <v>4</v>
      </c>
      <c r="AL886" t="s">
        <v>1188</v>
      </c>
      <c r="AM886" t="s">
        <v>93</v>
      </c>
      <c r="AN886" t="s">
        <v>1189</v>
      </c>
      <c r="AO886" t="s">
        <v>15853</v>
      </c>
      <c r="AP886" t="s">
        <v>15854</v>
      </c>
      <c r="AQ886" t="s">
        <v>74</v>
      </c>
      <c r="AR886" t="s">
        <v>15855</v>
      </c>
      <c r="AS886" t="s">
        <v>15856</v>
      </c>
      <c r="AT886" t="s">
        <v>15822</v>
      </c>
      <c r="AU886">
        <v>2023</v>
      </c>
      <c r="AV886" t="s">
        <v>74</v>
      </c>
      <c r="AW886" t="s">
        <v>74</v>
      </c>
      <c r="AX886" t="s">
        <v>74</v>
      </c>
      <c r="AY886" t="s">
        <v>74</v>
      </c>
      <c r="AZ886" t="s">
        <v>74</v>
      </c>
      <c r="BA886" t="s">
        <v>74</v>
      </c>
      <c r="BB886" t="s">
        <v>74</v>
      </c>
      <c r="BC886" t="s">
        <v>74</v>
      </c>
      <c r="BD886" t="s">
        <v>74</v>
      </c>
      <c r="BE886" t="s">
        <v>15857</v>
      </c>
      <c r="BF886" t="str">
        <f>HYPERLINK("http://dx.doi.org/10.1080/10670564.2023.2232747","http://dx.doi.org/10.1080/10670564.2023.2232747")</f>
        <v>http://dx.doi.org/10.1080/10670564.2023.2232747</v>
      </c>
      <c r="BG886" t="s">
        <v>74</v>
      </c>
      <c r="BH886" t="s">
        <v>12687</v>
      </c>
      <c r="BI886">
        <v>16</v>
      </c>
      <c r="BJ886" t="s">
        <v>5750</v>
      </c>
      <c r="BK886" t="s">
        <v>272</v>
      </c>
      <c r="BL886" t="s">
        <v>5750</v>
      </c>
      <c r="BM886" t="s">
        <v>15858</v>
      </c>
      <c r="BN886" t="s">
        <v>74</v>
      </c>
      <c r="BO886" t="s">
        <v>74</v>
      </c>
      <c r="BP886" t="s">
        <v>74</v>
      </c>
      <c r="BQ886" t="s">
        <v>74</v>
      </c>
      <c r="BR886" t="s">
        <v>105</v>
      </c>
      <c r="BS886" t="s">
        <v>15859</v>
      </c>
      <c r="BT886" t="str">
        <f>HYPERLINK("https%3A%2F%2Fwww.webofscience.com%2Fwos%2Fwoscc%2Ffull-record%2FWOS:001022655400001","View Full Record in Web of Science")</f>
        <v>View Full Record in Web of Science</v>
      </c>
    </row>
    <row r="887" spans="1:72" x14ac:dyDescent="0.15">
      <c r="A887" t="s">
        <v>72</v>
      </c>
      <c r="B887" t="s">
        <v>15860</v>
      </c>
      <c r="C887" t="s">
        <v>74</v>
      </c>
      <c r="D887" t="s">
        <v>74</v>
      </c>
      <c r="E887" t="s">
        <v>74</v>
      </c>
      <c r="F887" t="s">
        <v>15861</v>
      </c>
      <c r="G887" t="s">
        <v>74</v>
      </c>
      <c r="H887" t="s">
        <v>74</v>
      </c>
      <c r="I887" t="s">
        <v>15862</v>
      </c>
      <c r="J887" t="s">
        <v>7433</v>
      </c>
      <c r="K887" t="s">
        <v>74</v>
      </c>
      <c r="L887" t="s">
        <v>74</v>
      </c>
      <c r="M887" t="s">
        <v>78</v>
      </c>
      <c r="N887" t="s">
        <v>5492</v>
      </c>
      <c r="O887" t="s">
        <v>74</v>
      </c>
      <c r="P887" t="s">
        <v>74</v>
      </c>
      <c r="Q887" t="s">
        <v>74</v>
      </c>
      <c r="R887" t="s">
        <v>74</v>
      </c>
      <c r="S887" t="s">
        <v>74</v>
      </c>
      <c r="T887" t="s">
        <v>15863</v>
      </c>
      <c r="U887" t="s">
        <v>15864</v>
      </c>
      <c r="V887" t="s">
        <v>15865</v>
      </c>
      <c r="W887" t="s">
        <v>15866</v>
      </c>
      <c r="X887" t="s">
        <v>15867</v>
      </c>
      <c r="Y887" t="s">
        <v>15868</v>
      </c>
      <c r="Z887" t="s">
        <v>15869</v>
      </c>
      <c r="AA887" t="s">
        <v>74</v>
      </c>
      <c r="AB887" t="s">
        <v>74</v>
      </c>
      <c r="AC887" t="s">
        <v>15870</v>
      </c>
      <c r="AD887" t="s">
        <v>15871</v>
      </c>
      <c r="AE887" t="s">
        <v>15872</v>
      </c>
      <c r="AF887" t="s">
        <v>74</v>
      </c>
      <c r="AG887">
        <v>28</v>
      </c>
      <c r="AH887">
        <v>0</v>
      </c>
      <c r="AI887">
        <v>0</v>
      </c>
      <c r="AJ887">
        <v>1</v>
      </c>
      <c r="AK887">
        <v>1</v>
      </c>
      <c r="AL887" t="s">
        <v>92</v>
      </c>
      <c r="AM887" t="s">
        <v>93</v>
      </c>
      <c r="AN887" t="s">
        <v>94</v>
      </c>
      <c r="AO887" t="s">
        <v>7441</v>
      </c>
      <c r="AP887" t="s">
        <v>7442</v>
      </c>
      <c r="AQ887" t="s">
        <v>74</v>
      </c>
      <c r="AR887" t="s">
        <v>7443</v>
      </c>
      <c r="AS887" t="s">
        <v>7444</v>
      </c>
      <c r="AT887" t="s">
        <v>15822</v>
      </c>
      <c r="AU887">
        <v>2023</v>
      </c>
      <c r="AV887" t="s">
        <v>74</v>
      </c>
      <c r="AW887" t="s">
        <v>74</v>
      </c>
      <c r="AX887" t="s">
        <v>74</v>
      </c>
      <c r="AY887" t="s">
        <v>74</v>
      </c>
      <c r="AZ887" t="s">
        <v>74</v>
      </c>
      <c r="BA887" t="s">
        <v>74</v>
      </c>
      <c r="BB887" t="s">
        <v>74</v>
      </c>
      <c r="BC887" t="s">
        <v>74</v>
      </c>
      <c r="BD887" t="s">
        <v>74</v>
      </c>
      <c r="BE887" t="s">
        <v>15873</v>
      </c>
      <c r="BF887" t="str">
        <f>HYPERLINK("http://dx.doi.org/10.1080/00223131.2023.2228322","http://dx.doi.org/10.1080/00223131.2023.2228322")</f>
        <v>http://dx.doi.org/10.1080/00223131.2023.2228322</v>
      </c>
      <c r="BG887" t="s">
        <v>74</v>
      </c>
      <c r="BH887" t="s">
        <v>12687</v>
      </c>
      <c r="BI887">
        <v>9</v>
      </c>
      <c r="BJ887" t="s">
        <v>7446</v>
      </c>
      <c r="BK887" t="s">
        <v>102</v>
      </c>
      <c r="BL887" t="s">
        <v>7446</v>
      </c>
      <c r="BM887" t="s">
        <v>15874</v>
      </c>
      <c r="BN887" t="s">
        <v>74</v>
      </c>
      <c r="BO887" t="s">
        <v>74</v>
      </c>
      <c r="BP887" t="s">
        <v>74</v>
      </c>
      <c r="BQ887" t="s">
        <v>74</v>
      </c>
      <c r="BR887" t="s">
        <v>105</v>
      </c>
      <c r="BS887" t="s">
        <v>15875</v>
      </c>
      <c r="BT887" t="str">
        <f>HYPERLINK("https%3A%2F%2Fwww.webofscience.com%2Fwos%2Fwoscc%2Ffull-record%2FWOS:001024012000001","View Full Record in Web of Science")</f>
        <v>View Full Record in Web of Science</v>
      </c>
    </row>
    <row r="888" spans="1:72" x14ac:dyDescent="0.15">
      <c r="A888" t="s">
        <v>72</v>
      </c>
      <c r="B888" t="s">
        <v>15876</v>
      </c>
      <c r="C888" t="s">
        <v>74</v>
      </c>
      <c r="D888" t="s">
        <v>74</v>
      </c>
      <c r="E888" t="s">
        <v>74</v>
      </c>
      <c r="F888" t="s">
        <v>15877</v>
      </c>
      <c r="G888" t="s">
        <v>74</v>
      </c>
      <c r="H888" t="s">
        <v>74</v>
      </c>
      <c r="I888" t="s">
        <v>15878</v>
      </c>
      <c r="J888" t="s">
        <v>15879</v>
      </c>
      <c r="K888" t="s">
        <v>74</v>
      </c>
      <c r="L888" t="s">
        <v>74</v>
      </c>
      <c r="M888" t="s">
        <v>78</v>
      </c>
      <c r="N888" t="s">
        <v>5492</v>
      </c>
      <c r="O888" t="s">
        <v>74</v>
      </c>
      <c r="P888" t="s">
        <v>74</v>
      </c>
      <c r="Q888" t="s">
        <v>74</v>
      </c>
      <c r="R888" t="s">
        <v>74</v>
      </c>
      <c r="S888" t="s">
        <v>74</v>
      </c>
      <c r="T888" t="s">
        <v>15880</v>
      </c>
      <c r="U888" t="s">
        <v>15881</v>
      </c>
      <c r="V888" t="s">
        <v>15882</v>
      </c>
      <c r="W888" t="s">
        <v>15883</v>
      </c>
      <c r="X888" t="s">
        <v>15884</v>
      </c>
      <c r="Y888" t="s">
        <v>15885</v>
      </c>
      <c r="Z888" t="s">
        <v>15886</v>
      </c>
      <c r="AA888" t="s">
        <v>74</v>
      </c>
      <c r="AB888" t="s">
        <v>15887</v>
      </c>
      <c r="AC888" t="s">
        <v>74</v>
      </c>
      <c r="AD888" t="s">
        <v>74</v>
      </c>
      <c r="AE888" t="s">
        <v>74</v>
      </c>
      <c r="AF888" t="s">
        <v>74</v>
      </c>
      <c r="AG888">
        <v>59</v>
      </c>
      <c r="AH888">
        <v>0</v>
      </c>
      <c r="AI888">
        <v>0</v>
      </c>
      <c r="AJ888">
        <v>1</v>
      </c>
      <c r="AK888">
        <v>1</v>
      </c>
      <c r="AL888" t="s">
        <v>1188</v>
      </c>
      <c r="AM888" t="s">
        <v>93</v>
      </c>
      <c r="AN888" t="s">
        <v>1189</v>
      </c>
      <c r="AO888" t="s">
        <v>15888</v>
      </c>
      <c r="AP888" t="s">
        <v>15889</v>
      </c>
      <c r="AQ888" t="s">
        <v>74</v>
      </c>
      <c r="AR888" t="s">
        <v>15890</v>
      </c>
      <c r="AS888" t="s">
        <v>15891</v>
      </c>
      <c r="AT888" t="s">
        <v>15822</v>
      </c>
      <c r="AU888">
        <v>2023</v>
      </c>
      <c r="AV888" t="s">
        <v>74</v>
      </c>
      <c r="AW888" t="s">
        <v>74</v>
      </c>
      <c r="AX888" t="s">
        <v>74</v>
      </c>
      <c r="AY888" t="s">
        <v>74</v>
      </c>
      <c r="AZ888" t="s">
        <v>74</v>
      </c>
      <c r="BA888" t="s">
        <v>74</v>
      </c>
      <c r="BB888" t="s">
        <v>74</v>
      </c>
      <c r="BC888" t="s">
        <v>74</v>
      </c>
      <c r="BD888" t="s">
        <v>74</v>
      </c>
      <c r="BE888" t="s">
        <v>15892</v>
      </c>
      <c r="BF888" t="str">
        <f>HYPERLINK("http://dx.doi.org/10.1080/1612197X.2023.2231949","http://dx.doi.org/10.1080/1612197X.2023.2231949")</f>
        <v>http://dx.doi.org/10.1080/1612197X.2023.2231949</v>
      </c>
      <c r="BG888" t="s">
        <v>74</v>
      </c>
      <c r="BH888" t="s">
        <v>12687</v>
      </c>
      <c r="BI888">
        <v>20</v>
      </c>
      <c r="BJ888" t="s">
        <v>15893</v>
      </c>
      <c r="BK888" t="s">
        <v>272</v>
      </c>
      <c r="BL888" t="s">
        <v>8373</v>
      </c>
      <c r="BM888" t="s">
        <v>15894</v>
      </c>
      <c r="BN888" t="s">
        <v>74</v>
      </c>
      <c r="BO888" t="s">
        <v>74</v>
      </c>
      <c r="BP888" t="s">
        <v>74</v>
      </c>
      <c r="BQ888" t="s">
        <v>74</v>
      </c>
      <c r="BR888" t="s">
        <v>105</v>
      </c>
      <c r="BS888" t="s">
        <v>15895</v>
      </c>
      <c r="BT888" t="str">
        <f>HYPERLINK("https%3A%2F%2Fwww.webofscience.com%2Fwos%2Fwoscc%2Ffull-record%2FWOS:001024010700001","View Full Record in Web of Science")</f>
        <v>View Full Record in Web of Science</v>
      </c>
    </row>
    <row r="889" spans="1:72" x14ac:dyDescent="0.15">
      <c r="A889" t="s">
        <v>72</v>
      </c>
      <c r="B889" t="s">
        <v>15896</v>
      </c>
      <c r="C889" t="s">
        <v>74</v>
      </c>
      <c r="D889" t="s">
        <v>74</v>
      </c>
      <c r="E889" t="s">
        <v>74</v>
      </c>
      <c r="F889" t="s">
        <v>15897</v>
      </c>
      <c r="G889" t="s">
        <v>74</v>
      </c>
      <c r="H889" t="s">
        <v>74</v>
      </c>
      <c r="I889" t="s">
        <v>15898</v>
      </c>
      <c r="J889" t="s">
        <v>15899</v>
      </c>
      <c r="K889" t="s">
        <v>74</v>
      </c>
      <c r="L889" t="s">
        <v>74</v>
      </c>
      <c r="M889" t="s">
        <v>78</v>
      </c>
      <c r="N889" t="s">
        <v>5492</v>
      </c>
      <c r="O889" t="s">
        <v>74</v>
      </c>
      <c r="P889" t="s">
        <v>74</v>
      </c>
      <c r="Q889" t="s">
        <v>74</v>
      </c>
      <c r="R889" t="s">
        <v>74</v>
      </c>
      <c r="S889" t="s">
        <v>74</v>
      </c>
      <c r="T889" t="s">
        <v>15900</v>
      </c>
      <c r="U889" t="s">
        <v>15901</v>
      </c>
      <c r="V889" t="s">
        <v>15902</v>
      </c>
      <c r="W889" t="s">
        <v>15903</v>
      </c>
      <c r="X889" t="s">
        <v>15904</v>
      </c>
      <c r="Y889" t="s">
        <v>15905</v>
      </c>
      <c r="Z889" t="s">
        <v>15906</v>
      </c>
      <c r="AA889" t="s">
        <v>74</v>
      </c>
      <c r="AB889" t="s">
        <v>15907</v>
      </c>
      <c r="AC889" t="s">
        <v>15908</v>
      </c>
      <c r="AD889" t="s">
        <v>15909</v>
      </c>
      <c r="AE889" t="s">
        <v>15910</v>
      </c>
      <c r="AF889" t="s">
        <v>74</v>
      </c>
      <c r="AG889">
        <v>63</v>
      </c>
      <c r="AH889">
        <v>0</v>
      </c>
      <c r="AI889">
        <v>0</v>
      </c>
      <c r="AJ889">
        <v>2</v>
      </c>
      <c r="AK889">
        <v>2</v>
      </c>
      <c r="AL889" t="s">
        <v>184</v>
      </c>
      <c r="AM889" t="s">
        <v>185</v>
      </c>
      <c r="AN889" t="s">
        <v>186</v>
      </c>
      <c r="AO889" t="s">
        <v>15911</v>
      </c>
      <c r="AP889" t="s">
        <v>15912</v>
      </c>
      <c r="AQ889" t="s">
        <v>74</v>
      </c>
      <c r="AR889" t="s">
        <v>15913</v>
      </c>
      <c r="AS889" t="s">
        <v>15914</v>
      </c>
      <c r="AT889" t="s">
        <v>15915</v>
      </c>
      <c r="AU889">
        <v>2023</v>
      </c>
      <c r="AV889" t="s">
        <v>74</v>
      </c>
      <c r="AW889" t="s">
        <v>74</v>
      </c>
      <c r="AX889" t="s">
        <v>74</v>
      </c>
      <c r="AY889" t="s">
        <v>74</v>
      </c>
      <c r="AZ889" t="s">
        <v>74</v>
      </c>
      <c r="BA889" t="s">
        <v>74</v>
      </c>
      <c r="BB889" t="s">
        <v>74</v>
      </c>
      <c r="BC889" t="s">
        <v>74</v>
      </c>
      <c r="BD889" t="s">
        <v>74</v>
      </c>
      <c r="BE889" t="s">
        <v>15916</v>
      </c>
      <c r="BF889" t="str">
        <f>HYPERLINK("http://dx.doi.org/10.1080/01919512.2023.2231037","http://dx.doi.org/10.1080/01919512.2023.2231037")</f>
        <v>http://dx.doi.org/10.1080/01919512.2023.2231037</v>
      </c>
      <c r="BG889" t="s">
        <v>74</v>
      </c>
      <c r="BH889" t="s">
        <v>12687</v>
      </c>
      <c r="BI889">
        <v>10</v>
      </c>
      <c r="BJ889" t="s">
        <v>9100</v>
      </c>
      <c r="BK889" t="s">
        <v>102</v>
      </c>
      <c r="BL889" t="s">
        <v>9101</v>
      </c>
      <c r="BM889" t="s">
        <v>15917</v>
      </c>
      <c r="BN889" t="s">
        <v>74</v>
      </c>
      <c r="BO889" t="s">
        <v>887</v>
      </c>
      <c r="BP889" t="s">
        <v>74</v>
      </c>
      <c r="BQ889" t="s">
        <v>74</v>
      </c>
      <c r="BR889" t="s">
        <v>105</v>
      </c>
      <c r="BS889" t="s">
        <v>15918</v>
      </c>
      <c r="BT889" t="str">
        <f>HYPERLINK("https%3A%2F%2Fwww.webofscience.com%2Fwos%2Fwoscc%2Ffull-record%2FWOS:001019841100001","View Full Record in Web of Science")</f>
        <v>View Full Record in Web of Science</v>
      </c>
    </row>
    <row r="890" spans="1:72" x14ac:dyDescent="0.15">
      <c r="A890" t="s">
        <v>72</v>
      </c>
      <c r="B890" t="s">
        <v>15919</v>
      </c>
      <c r="C890" t="s">
        <v>74</v>
      </c>
      <c r="D890" t="s">
        <v>74</v>
      </c>
      <c r="E890" t="s">
        <v>74</v>
      </c>
      <c r="F890" t="s">
        <v>15920</v>
      </c>
      <c r="G890" t="s">
        <v>74</v>
      </c>
      <c r="H890" t="s">
        <v>74</v>
      </c>
      <c r="I890" t="s">
        <v>15921</v>
      </c>
      <c r="J890" t="s">
        <v>15922</v>
      </c>
      <c r="K890" t="s">
        <v>74</v>
      </c>
      <c r="L890" t="s">
        <v>74</v>
      </c>
      <c r="M890" t="s">
        <v>78</v>
      </c>
      <c r="N890" t="s">
        <v>5492</v>
      </c>
      <c r="O890" t="s">
        <v>74</v>
      </c>
      <c r="P890" t="s">
        <v>74</v>
      </c>
      <c r="Q890" t="s">
        <v>74</v>
      </c>
      <c r="R890" t="s">
        <v>74</v>
      </c>
      <c r="S890" t="s">
        <v>74</v>
      </c>
      <c r="T890" t="s">
        <v>15923</v>
      </c>
      <c r="U890" t="s">
        <v>15924</v>
      </c>
      <c r="V890" t="s">
        <v>15925</v>
      </c>
      <c r="W890" t="s">
        <v>15926</v>
      </c>
      <c r="X890" t="s">
        <v>15927</v>
      </c>
      <c r="Y890" t="s">
        <v>15928</v>
      </c>
      <c r="Z890" t="s">
        <v>15929</v>
      </c>
      <c r="AA890" t="s">
        <v>15930</v>
      </c>
      <c r="AB890" t="s">
        <v>15931</v>
      </c>
      <c r="AC890" t="s">
        <v>74</v>
      </c>
      <c r="AD890" t="s">
        <v>74</v>
      </c>
      <c r="AE890" t="s">
        <v>74</v>
      </c>
      <c r="AF890" t="s">
        <v>74</v>
      </c>
      <c r="AG890">
        <v>69</v>
      </c>
      <c r="AH890">
        <v>0</v>
      </c>
      <c r="AI890">
        <v>0</v>
      </c>
      <c r="AJ890">
        <v>1</v>
      </c>
      <c r="AK890">
        <v>1</v>
      </c>
      <c r="AL890" t="s">
        <v>1188</v>
      </c>
      <c r="AM890" t="s">
        <v>93</v>
      </c>
      <c r="AN890" t="s">
        <v>1189</v>
      </c>
      <c r="AO890" t="s">
        <v>15932</v>
      </c>
      <c r="AP890" t="s">
        <v>15933</v>
      </c>
      <c r="AQ890" t="s">
        <v>74</v>
      </c>
      <c r="AR890" t="s">
        <v>15934</v>
      </c>
      <c r="AS890" t="s">
        <v>15935</v>
      </c>
      <c r="AT890" t="s">
        <v>15915</v>
      </c>
      <c r="AU890">
        <v>2023</v>
      </c>
      <c r="AV890" t="s">
        <v>74</v>
      </c>
      <c r="AW890" t="s">
        <v>74</v>
      </c>
      <c r="AX890" t="s">
        <v>74</v>
      </c>
      <c r="AY890" t="s">
        <v>74</v>
      </c>
      <c r="AZ890" t="s">
        <v>74</v>
      </c>
      <c r="BA890" t="s">
        <v>74</v>
      </c>
      <c r="BB890" t="s">
        <v>74</v>
      </c>
      <c r="BC890" t="s">
        <v>74</v>
      </c>
      <c r="BD890" t="s">
        <v>74</v>
      </c>
      <c r="BE890" t="s">
        <v>15936</v>
      </c>
      <c r="BF890" t="str">
        <f>HYPERLINK("http://dx.doi.org/10.1080/17450101.2023.2232947","http://dx.doi.org/10.1080/17450101.2023.2232947")</f>
        <v>http://dx.doi.org/10.1080/17450101.2023.2232947</v>
      </c>
      <c r="BG890" t="s">
        <v>74</v>
      </c>
      <c r="BH890" t="s">
        <v>12687</v>
      </c>
      <c r="BI890">
        <v>16</v>
      </c>
      <c r="BJ890" t="s">
        <v>15937</v>
      </c>
      <c r="BK890" t="s">
        <v>272</v>
      </c>
      <c r="BL890" t="s">
        <v>15937</v>
      </c>
      <c r="BM890" t="s">
        <v>15938</v>
      </c>
      <c r="BN890" t="s">
        <v>74</v>
      </c>
      <c r="BO890" t="s">
        <v>74</v>
      </c>
      <c r="BP890" t="s">
        <v>74</v>
      </c>
      <c r="BQ890" t="s">
        <v>74</v>
      </c>
      <c r="BR890" t="s">
        <v>105</v>
      </c>
      <c r="BS890" t="s">
        <v>15939</v>
      </c>
      <c r="BT890" t="str">
        <f>HYPERLINK("https%3A%2F%2Fwww.webofscience.com%2Fwos%2Fwoscc%2Ffull-record%2FWOS:001024010600001","View Full Record in Web of Science")</f>
        <v>View Full Record in Web of Science</v>
      </c>
    </row>
    <row r="891" spans="1:72" x14ac:dyDescent="0.15">
      <c r="A891" t="s">
        <v>72</v>
      </c>
      <c r="B891" t="s">
        <v>15940</v>
      </c>
      <c r="C891" t="s">
        <v>74</v>
      </c>
      <c r="D891" t="s">
        <v>74</v>
      </c>
      <c r="E891" t="s">
        <v>74</v>
      </c>
      <c r="F891" t="s">
        <v>15941</v>
      </c>
      <c r="G891" t="s">
        <v>74</v>
      </c>
      <c r="H891" t="s">
        <v>74</v>
      </c>
      <c r="I891" t="s">
        <v>15942</v>
      </c>
      <c r="J891" t="s">
        <v>12329</v>
      </c>
      <c r="K891" t="s">
        <v>74</v>
      </c>
      <c r="L891" t="s">
        <v>74</v>
      </c>
      <c r="M891" t="s">
        <v>78</v>
      </c>
      <c r="N891" t="s">
        <v>5492</v>
      </c>
      <c r="O891" t="s">
        <v>74</v>
      </c>
      <c r="P891" t="s">
        <v>74</v>
      </c>
      <c r="Q891" t="s">
        <v>74</v>
      </c>
      <c r="R891" t="s">
        <v>74</v>
      </c>
      <c r="S891" t="s">
        <v>74</v>
      </c>
      <c r="T891" t="s">
        <v>15943</v>
      </c>
      <c r="U891" t="s">
        <v>15944</v>
      </c>
      <c r="V891" t="s">
        <v>15945</v>
      </c>
      <c r="W891" t="s">
        <v>15946</v>
      </c>
      <c r="X891" t="s">
        <v>15947</v>
      </c>
      <c r="Y891" t="s">
        <v>15948</v>
      </c>
      <c r="Z891" t="s">
        <v>15949</v>
      </c>
      <c r="AA891" t="s">
        <v>74</v>
      </c>
      <c r="AB891" t="s">
        <v>74</v>
      </c>
      <c r="AC891" t="s">
        <v>15950</v>
      </c>
      <c r="AD891" t="s">
        <v>15951</v>
      </c>
      <c r="AE891" t="s">
        <v>15952</v>
      </c>
      <c r="AF891" t="s">
        <v>74</v>
      </c>
      <c r="AG891">
        <v>50</v>
      </c>
      <c r="AH891">
        <v>1</v>
      </c>
      <c r="AI891">
        <v>1</v>
      </c>
      <c r="AJ891">
        <v>1</v>
      </c>
      <c r="AK891">
        <v>1</v>
      </c>
      <c r="AL891" t="s">
        <v>184</v>
      </c>
      <c r="AM891" t="s">
        <v>185</v>
      </c>
      <c r="AN891" t="s">
        <v>186</v>
      </c>
      <c r="AO891" t="s">
        <v>12340</v>
      </c>
      <c r="AP891" t="s">
        <v>12341</v>
      </c>
      <c r="AQ891" t="s">
        <v>74</v>
      </c>
      <c r="AR891" t="s">
        <v>12342</v>
      </c>
      <c r="AS891" t="s">
        <v>12343</v>
      </c>
      <c r="AT891" t="s">
        <v>15915</v>
      </c>
      <c r="AU891">
        <v>2023</v>
      </c>
      <c r="AV891" t="s">
        <v>74</v>
      </c>
      <c r="AW891" t="s">
        <v>74</v>
      </c>
      <c r="AX891" t="s">
        <v>74</v>
      </c>
      <c r="AY891" t="s">
        <v>74</v>
      </c>
      <c r="AZ891" t="s">
        <v>74</v>
      </c>
      <c r="BA891" t="s">
        <v>74</v>
      </c>
      <c r="BB891" t="s">
        <v>74</v>
      </c>
      <c r="BC891" t="s">
        <v>74</v>
      </c>
      <c r="BD891" t="s">
        <v>74</v>
      </c>
      <c r="BE891" t="s">
        <v>15953</v>
      </c>
      <c r="BF891" t="str">
        <f>HYPERLINK("http://dx.doi.org/10.1080/21645515.2023.2228670","http://dx.doi.org/10.1080/21645515.2023.2228670")</f>
        <v>http://dx.doi.org/10.1080/21645515.2023.2228670</v>
      </c>
      <c r="BG891" t="s">
        <v>74</v>
      </c>
      <c r="BH891" t="s">
        <v>12687</v>
      </c>
      <c r="BI891">
        <v>9</v>
      </c>
      <c r="BJ891" t="s">
        <v>12345</v>
      </c>
      <c r="BK891" t="s">
        <v>102</v>
      </c>
      <c r="BL891" t="s">
        <v>12345</v>
      </c>
      <c r="BM891" t="s">
        <v>15954</v>
      </c>
      <c r="BN891">
        <v>37439770</v>
      </c>
      <c r="BO891" t="s">
        <v>4533</v>
      </c>
      <c r="BP891" t="s">
        <v>74</v>
      </c>
      <c r="BQ891" t="s">
        <v>74</v>
      </c>
      <c r="BR891" t="s">
        <v>105</v>
      </c>
      <c r="BS891" t="s">
        <v>15955</v>
      </c>
      <c r="BT891" t="str">
        <f>HYPERLINK("https%3A%2F%2Fwww.webofscience.com%2Fwos%2Fwoscc%2Ffull-record%2FWOS:001027589500001","View Full Record in Web of Science")</f>
        <v>View Full Record in Web of Science</v>
      </c>
    </row>
    <row r="892" spans="1:72" x14ac:dyDescent="0.15">
      <c r="A892" t="s">
        <v>72</v>
      </c>
      <c r="B892" t="s">
        <v>15956</v>
      </c>
      <c r="C892" t="s">
        <v>74</v>
      </c>
      <c r="D892" t="s">
        <v>74</v>
      </c>
      <c r="E892" t="s">
        <v>74</v>
      </c>
      <c r="F892" t="s">
        <v>15957</v>
      </c>
      <c r="G892" t="s">
        <v>74</v>
      </c>
      <c r="H892" t="s">
        <v>74</v>
      </c>
      <c r="I892" t="s">
        <v>15958</v>
      </c>
      <c r="J892" t="s">
        <v>11266</v>
      </c>
      <c r="K892" t="s">
        <v>74</v>
      </c>
      <c r="L892" t="s">
        <v>74</v>
      </c>
      <c r="M892" t="s">
        <v>78</v>
      </c>
      <c r="N892" t="s">
        <v>5492</v>
      </c>
      <c r="O892" t="s">
        <v>74</v>
      </c>
      <c r="P892" t="s">
        <v>74</v>
      </c>
      <c r="Q892" t="s">
        <v>74</v>
      </c>
      <c r="R892" t="s">
        <v>74</v>
      </c>
      <c r="S892" t="s">
        <v>74</v>
      </c>
      <c r="T892" t="s">
        <v>74</v>
      </c>
      <c r="U892" t="s">
        <v>15959</v>
      </c>
      <c r="V892" t="s">
        <v>15960</v>
      </c>
      <c r="W892" t="s">
        <v>15961</v>
      </c>
      <c r="X892" t="s">
        <v>15962</v>
      </c>
      <c r="Y892" t="s">
        <v>15963</v>
      </c>
      <c r="Z892" t="s">
        <v>15964</v>
      </c>
      <c r="AA892" t="s">
        <v>74</v>
      </c>
      <c r="AB892" t="s">
        <v>74</v>
      </c>
      <c r="AC892" t="s">
        <v>74</v>
      </c>
      <c r="AD892" t="s">
        <v>74</v>
      </c>
      <c r="AE892" t="s">
        <v>74</v>
      </c>
      <c r="AF892" t="s">
        <v>74</v>
      </c>
      <c r="AG892">
        <v>42</v>
      </c>
      <c r="AH892">
        <v>0</v>
      </c>
      <c r="AI892">
        <v>0</v>
      </c>
      <c r="AJ892">
        <v>3</v>
      </c>
      <c r="AK892">
        <v>3</v>
      </c>
      <c r="AL892" t="s">
        <v>1188</v>
      </c>
      <c r="AM892" t="s">
        <v>93</v>
      </c>
      <c r="AN892" t="s">
        <v>1189</v>
      </c>
      <c r="AO892" t="s">
        <v>11268</v>
      </c>
      <c r="AP892" t="s">
        <v>11269</v>
      </c>
      <c r="AQ892" t="s">
        <v>74</v>
      </c>
      <c r="AR892" t="s">
        <v>11270</v>
      </c>
      <c r="AS892" t="s">
        <v>11271</v>
      </c>
      <c r="AT892" t="s">
        <v>15915</v>
      </c>
      <c r="AU892">
        <v>2023</v>
      </c>
      <c r="AV892" t="s">
        <v>74</v>
      </c>
      <c r="AW892" t="s">
        <v>74</v>
      </c>
      <c r="AX892" t="s">
        <v>74</v>
      </c>
      <c r="AY892" t="s">
        <v>74</v>
      </c>
      <c r="AZ892" t="s">
        <v>74</v>
      </c>
      <c r="BA892" t="s">
        <v>74</v>
      </c>
      <c r="BB892" t="s">
        <v>74</v>
      </c>
      <c r="BC892" t="s">
        <v>74</v>
      </c>
      <c r="BD892" t="s">
        <v>74</v>
      </c>
      <c r="BE892" t="s">
        <v>15965</v>
      </c>
      <c r="BF892" t="str">
        <f>HYPERLINK("http://dx.doi.org/10.1080/07481187.2023.2230551","http://dx.doi.org/10.1080/07481187.2023.2230551")</f>
        <v>http://dx.doi.org/10.1080/07481187.2023.2230551</v>
      </c>
      <c r="BG892" t="s">
        <v>74</v>
      </c>
      <c r="BH892" t="s">
        <v>12687</v>
      </c>
      <c r="BI892">
        <v>10</v>
      </c>
      <c r="BJ892" t="s">
        <v>11273</v>
      </c>
      <c r="BK892" t="s">
        <v>272</v>
      </c>
      <c r="BL892" t="s">
        <v>11274</v>
      </c>
      <c r="BM892" t="s">
        <v>15966</v>
      </c>
      <c r="BN892">
        <v>37427573</v>
      </c>
      <c r="BO892" t="s">
        <v>74</v>
      </c>
      <c r="BP892" t="s">
        <v>74</v>
      </c>
      <c r="BQ892" t="s">
        <v>74</v>
      </c>
      <c r="BR892" t="s">
        <v>105</v>
      </c>
      <c r="BS892" t="s">
        <v>15967</v>
      </c>
      <c r="BT892" t="str">
        <f>HYPERLINK("https%3A%2F%2Fwww.webofscience.com%2Fwos%2Fwoscc%2Ffull-record%2FWOS:001023054800001","View Full Record in Web of Science")</f>
        <v>View Full Record in Web of Science</v>
      </c>
    </row>
    <row r="893" spans="1:72" x14ac:dyDescent="0.15">
      <c r="A893" t="s">
        <v>72</v>
      </c>
      <c r="B893" t="s">
        <v>15968</v>
      </c>
      <c r="C893" t="s">
        <v>74</v>
      </c>
      <c r="D893" t="s">
        <v>74</v>
      </c>
      <c r="E893" t="s">
        <v>74</v>
      </c>
      <c r="F893" t="s">
        <v>15969</v>
      </c>
      <c r="G893" t="s">
        <v>74</v>
      </c>
      <c r="H893" t="s">
        <v>74</v>
      </c>
      <c r="I893" t="s">
        <v>15970</v>
      </c>
      <c r="J893" t="s">
        <v>7433</v>
      </c>
      <c r="K893" t="s">
        <v>74</v>
      </c>
      <c r="L893" t="s">
        <v>74</v>
      </c>
      <c r="M893" t="s">
        <v>78</v>
      </c>
      <c r="N893" t="s">
        <v>5492</v>
      </c>
      <c r="O893" t="s">
        <v>74</v>
      </c>
      <c r="P893" t="s">
        <v>74</v>
      </c>
      <c r="Q893" t="s">
        <v>74</v>
      </c>
      <c r="R893" t="s">
        <v>74</v>
      </c>
      <c r="S893" t="s">
        <v>74</v>
      </c>
      <c r="T893" t="s">
        <v>15971</v>
      </c>
      <c r="U893" t="s">
        <v>15972</v>
      </c>
      <c r="V893" t="s">
        <v>15973</v>
      </c>
      <c r="W893" t="s">
        <v>15974</v>
      </c>
      <c r="X893" t="s">
        <v>15975</v>
      </c>
      <c r="Y893" t="s">
        <v>15976</v>
      </c>
      <c r="Z893" t="s">
        <v>15977</v>
      </c>
      <c r="AA893" t="s">
        <v>74</v>
      </c>
      <c r="AB893" t="s">
        <v>74</v>
      </c>
      <c r="AC893" t="s">
        <v>15978</v>
      </c>
      <c r="AD893" t="s">
        <v>15979</v>
      </c>
      <c r="AE893" t="s">
        <v>15980</v>
      </c>
      <c r="AF893" t="s">
        <v>74</v>
      </c>
      <c r="AG893">
        <v>21</v>
      </c>
      <c r="AH893">
        <v>0</v>
      </c>
      <c r="AI893">
        <v>0</v>
      </c>
      <c r="AJ893">
        <v>0</v>
      </c>
      <c r="AK893">
        <v>0</v>
      </c>
      <c r="AL893" t="s">
        <v>92</v>
      </c>
      <c r="AM893" t="s">
        <v>93</v>
      </c>
      <c r="AN893" t="s">
        <v>94</v>
      </c>
      <c r="AO893" t="s">
        <v>7441</v>
      </c>
      <c r="AP893" t="s">
        <v>7442</v>
      </c>
      <c r="AQ893" t="s">
        <v>74</v>
      </c>
      <c r="AR893" t="s">
        <v>7443</v>
      </c>
      <c r="AS893" t="s">
        <v>7444</v>
      </c>
      <c r="AT893" t="s">
        <v>15915</v>
      </c>
      <c r="AU893">
        <v>2023</v>
      </c>
      <c r="AV893" t="s">
        <v>74</v>
      </c>
      <c r="AW893" t="s">
        <v>74</v>
      </c>
      <c r="AX893" t="s">
        <v>74</v>
      </c>
      <c r="AY893" t="s">
        <v>74</v>
      </c>
      <c r="AZ893" t="s">
        <v>74</v>
      </c>
      <c r="BA893" t="s">
        <v>74</v>
      </c>
      <c r="BB893" t="s">
        <v>74</v>
      </c>
      <c r="BC893" t="s">
        <v>74</v>
      </c>
      <c r="BD893" t="s">
        <v>74</v>
      </c>
      <c r="BE893" t="s">
        <v>15981</v>
      </c>
      <c r="BF893" t="str">
        <f>HYPERLINK("http://dx.doi.org/10.1080/00223131.2023.2224330","http://dx.doi.org/10.1080/00223131.2023.2224330")</f>
        <v>http://dx.doi.org/10.1080/00223131.2023.2224330</v>
      </c>
      <c r="BG893" t="s">
        <v>74</v>
      </c>
      <c r="BH893" t="s">
        <v>12687</v>
      </c>
      <c r="BI893">
        <v>8</v>
      </c>
      <c r="BJ893" t="s">
        <v>7446</v>
      </c>
      <c r="BK893" t="s">
        <v>102</v>
      </c>
      <c r="BL893" t="s">
        <v>7446</v>
      </c>
      <c r="BM893" t="s">
        <v>15982</v>
      </c>
      <c r="BN893" t="s">
        <v>74</v>
      </c>
      <c r="BO893" t="s">
        <v>74</v>
      </c>
      <c r="BP893" t="s">
        <v>74</v>
      </c>
      <c r="BQ893" t="s">
        <v>74</v>
      </c>
      <c r="BR893" t="s">
        <v>105</v>
      </c>
      <c r="BS893" t="s">
        <v>15983</v>
      </c>
      <c r="BT893" t="str">
        <f>HYPERLINK("https%3A%2F%2Fwww.webofscience.com%2Fwos%2Fwoscc%2Ffull-record%2FWOS:001022658300001","View Full Record in Web of Science")</f>
        <v>View Full Record in Web of Science</v>
      </c>
    </row>
    <row r="894" spans="1:72" x14ac:dyDescent="0.15">
      <c r="A894" t="s">
        <v>72</v>
      </c>
      <c r="B894" t="s">
        <v>15984</v>
      </c>
      <c r="C894" t="s">
        <v>74</v>
      </c>
      <c r="D894" t="s">
        <v>74</v>
      </c>
      <c r="E894" t="s">
        <v>74</v>
      </c>
      <c r="F894" t="s">
        <v>15985</v>
      </c>
      <c r="G894" t="s">
        <v>74</v>
      </c>
      <c r="H894" t="s">
        <v>74</v>
      </c>
      <c r="I894" t="s">
        <v>15986</v>
      </c>
      <c r="J894" t="s">
        <v>15987</v>
      </c>
      <c r="K894" t="s">
        <v>74</v>
      </c>
      <c r="L894" t="s">
        <v>74</v>
      </c>
      <c r="M894" t="s">
        <v>78</v>
      </c>
      <c r="N894" t="s">
        <v>5492</v>
      </c>
      <c r="O894" t="s">
        <v>74</v>
      </c>
      <c r="P894" t="s">
        <v>74</v>
      </c>
      <c r="Q894" t="s">
        <v>74</v>
      </c>
      <c r="R894" t="s">
        <v>74</v>
      </c>
      <c r="S894" t="s">
        <v>74</v>
      </c>
      <c r="T894" t="s">
        <v>15988</v>
      </c>
      <c r="U894" t="s">
        <v>15989</v>
      </c>
      <c r="V894" t="s">
        <v>15990</v>
      </c>
      <c r="W894" t="s">
        <v>15991</v>
      </c>
      <c r="X894" t="s">
        <v>15992</v>
      </c>
      <c r="Y894" t="s">
        <v>15993</v>
      </c>
      <c r="Z894" t="s">
        <v>15994</v>
      </c>
      <c r="AA894" t="s">
        <v>74</v>
      </c>
      <c r="AB894" t="s">
        <v>74</v>
      </c>
      <c r="AC894" t="s">
        <v>15995</v>
      </c>
      <c r="AD894" t="s">
        <v>15995</v>
      </c>
      <c r="AE894" t="s">
        <v>15996</v>
      </c>
      <c r="AF894" t="s">
        <v>74</v>
      </c>
      <c r="AG894">
        <v>85</v>
      </c>
      <c r="AH894">
        <v>0</v>
      </c>
      <c r="AI894">
        <v>0</v>
      </c>
      <c r="AJ894">
        <v>2</v>
      </c>
      <c r="AK894">
        <v>2</v>
      </c>
      <c r="AL894" t="s">
        <v>1188</v>
      </c>
      <c r="AM894" t="s">
        <v>93</v>
      </c>
      <c r="AN894" t="s">
        <v>1189</v>
      </c>
      <c r="AO894" t="s">
        <v>15997</v>
      </c>
      <c r="AP894" t="s">
        <v>15998</v>
      </c>
      <c r="AQ894" t="s">
        <v>74</v>
      </c>
      <c r="AR894" t="s">
        <v>15999</v>
      </c>
      <c r="AS894" t="s">
        <v>16000</v>
      </c>
      <c r="AT894" t="s">
        <v>15915</v>
      </c>
      <c r="AU894">
        <v>2023</v>
      </c>
      <c r="AV894" t="s">
        <v>74</v>
      </c>
      <c r="AW894" t="s">
        <v>74</v>
      </c>
      <c r="AX894" t="s">
        <v>74</v>
      </c>
      <c r="AY894" t="s">
        <v>74</v>
      </c>
      <c r="AZ894" t="s">
        <v>74</v>
      </c>
      <c r="BA894" t="s">
        <v>74</v>
      </c>
      <c r="BB894" t="s">
        <v>74</v>
      </c>
      <c r="BC894" t="s">
        <v>74</v>
      </c>
      <c r="BD894" t="s">
        <v>74</v>
      </c>
      <c r="BE894" t="s">
        <v>16001</v>
      </c>
      <c r="BF894" t="str">
        <f>HYPERLINK("http://dx.doi.org/10.1080/1369118X.2023.2230260","http://dx.doi.org/10.1080/1369118X.2023.2230260")</f>
        <v>http://dx.doi.org/10.1080/1369118X.2023.2230260</v>
      </c>
      <c r="BG894" t="s">
        <v>74</v>
      </c>
      <c r="BH894" t="s">
        <v>12687</v>
      </c>
      <c r="BI894">
        <v>21</v>
      </c>
      <c r="BJ894" t="s">
        <v>16002</v>
      </c>
      <c r="BK894" t="s">
        <v>272</v>
      </c>
      <c r="BL894" t="s">
        <v>16002</v>
      </c>
      <c r="BM894" t="s">
        <v>16003</v>
      </c>
      <c r="BN894" t="s">
        <v>74</v>
      </c>
      <c r="BO894" t="s">
        <v>887</v>
      </c>
      <c r="BP894" t="s">
        <v>74</v>
      </c>
      <c r="BQ894" t="s">
        <v>74</v>
      </c>
      <c r="BR894" t="s">
        <v>105</v>
      </c>
      <c r="BS894" t="s">
        <v>16004</v>
      </c>
      <c r="BT894" t="str">
        <f>HYPERLINK("https%3A%2F%2Fwww.webofscience.com%2Fwos%2Fwoscc%2Ffull-record%2FWOS:001019842700001","View Full Record in Web of Science")</f>
        <v>View Full Record in Web of Science</v>
      </c>
    </row>
    <row r="895" spans="1:72" x14ac:dyDescent="0.15">
      <c r="A895" t="s">
        <v>72</v>
      </c>
      <c r="B895" t="s">
        <v>16005</v>
      </c>
      <c r="C895" t="s">
        <v>74</v>
      </c>
      <c r="D895" t="s">
        <v>74</v>
      </c>
      <c r="E895" t="s">
        <v>74</v>
      </c>
      <c r="F895" t="s">
        <v>16006</v>
      </c>
      <c r="G895" t="s">
        <v>74</v>
      </c>
      <c r="H895" t="s">
        <v>74</v>
      </c>
      <c r="I895" t="s">
        <v>16007</v>
      </c>
      <c r="J895" t="s">
        <v>16008</v>
      </c>
      <c r="K895" t="s">
        <v>74</v>
      </c>
      <c r="L895" t="s">
        <v>74</v>
      </c>
      <c r="M895" t="s">
        <v>78</v>
      </c>
      <c r="N895" t="s">
        <v>79</v>
      </c>
      <c r="O895" t="s">
        <v>74</v>
      </c>
      <c r="P895" t="s">
        <v>74</v>
      </c>
      <c r="Q895" t="s">
        <v>74</v>
      </c>
      <c r="R895" t="s">
        <v>74</v>
      </c>
      <c r="S895" t="s">
        <v>74</v>
      </c>
      <c r="T895" t="s">
        <v>16009</v>
      </c>
      <c r="U895" t="s">
        <v>16010</v>
      </c>
      <c r="V895" t="s">
        <v>16011</v>
      </c>
      <c r="W895" t="s">
        <v>16012</v>
      </c>
      <c r="X895" t="s">
        <v>16013</v>
      </c>
      <c r="Y895" t="s">
        <v>16014</v>
      </c>
      <c r="Z895" t="s">
        <v>16015</v>
      </c>
      <c r="AA895" t="s">
        <v>74</v>
      </c>
      <c r="AB895" t="s">
        <v>74</v>
      </c>
      <c r="AC895" t="s">
        <v>74</v>
      </c>
      <c r="AD895" t="s">
        <v>74</v>
      </c>
      <c r="AE895" t="s">
        <v>74</v>
      </c>
      <c r="AF895" t="s">
        <v>74</v>
      </c>
      <c r="AG895">
        <v>40</v>
      </c>
      <c r="AH895">
        <v>1</v>
      </c>
      <c r="AI895">
        <v>2</v>
      </c>
      <c r="AJ895">
        <v>6</v>
      </c>
      <c r="AK895">
        <v>6</v>
      </c>
      <c r="AL895" t="s">
        <v>184</v>
      </c>
      <c r="AM895" t="s">
        <v>185</v>
      </c>
      <c r="AN895" t="s">
        <v>186</v>
      </c>
      <c r="AO895" t="s">
        <v>16016</v>
      </c>
      <c r="AP895" t="s">
        <v>16017</v>
      </c>
      <c r="AQ895" t="s">
        <v>74</v>
      </c>
      <c r="AR895" t="s">
        <v>16018</v>
      </c>
      <c r="AS895" t="s">
        <v>16019</v>
      </c>
      <c r="AT895" t="s">
        <v>10040</v>
      </c>
      <c r="AU895">
        <v>2023</v>
      </c>
      <c r="AV895">
        <v>52</v>
      </c>
      <c r="AW895">
        <v>6</v>
      </c>
      <c r="AX895" t="s">
        <v>74</v>
      </c>
      <c r="AY895" t="s">
        <v>74</v>
      </c>
      <c r="AZ895" t="s">
        <v>74</v>
      </c>
      <c r="BA895" t="s">
        <v>74</v>
      </c>
      <c r="BB895">
        <v>735</v>
      </c>
      <c r="BC895">
        <v>748</v>
      </c>
      <c r="BD895" t="s">
        <v>74</v>
      </c>
      <c r="BE895" t="s">
        <v>16020</v>
      </c>
      <c r="BF895" t="str">
        <f>HYPERLINK("http://dx.doi.org/10.1080/08820139.2023.2232402","http://dx.doi.org/10.1080/08820139.2023.2232402")</f>
        <v>http://dx.doi.org/10.1080/08820139.2023.2232402</v>
      </c>
      <c r="BG895" t="s">
        <v>74</v>
      </c>
      <c r="BH895" t="s">
        <v>12687</v>
      </c>
      <c r="BI895">
        <v>14</v>
      </c>
      <c r="BJ895" t="s">
        <v>1425</v>
      </c>
      <c r="BK895" t="s">
        <v>102</v>
      </c>
      <c r="BL895" t="s">
        <v>1425</v>
      </c>
      <c r="BM895" t="s">
        <v>16021</v>
      </c>
      <c r="BN895">
        <v>37409941</v>
      </c>
      <c r="BO895" t="s">
        <v>5486</v>
      </c>
      <c r="BP895" t="s">
        <v>74</v>
      </c>
      <c r="BQ895" t="s">
        <v>74</v>
      </c>
      <c r="BR895" t="s">
        <v>105</v>
      </c>
      <c r="BS895" t="s">
        <v>16022</v>
      </c>
      <c r="BT895" t="str">
        <f>HYPERLINK("https%3A%2F%2Fwww.webofscience.com%2Fwos%2Fwoscc%2Ffull-record%2FWOS:001020298000001","View Full Record in Web of Science")</f>
        <v>View Full Record in Web of Science</v>
      </c>
    </row>
    <row r="896" spans="1:72" x14ac:dyDescent="0.15">
      <c r="A896" t="s">
        <v>72</v>
      </c>
      <c r="B896" t="s">
        <v>16023</v>
      </c>
      <c r="C896" t="s">
        <v>74</v>
      </c>
      <c r="D896" t="s">
        <v>74</v>
      </c>
      <c r="E896" t="s">
        <v>74</v>
      </c>
      <c r="F896" t="s">
        <v>16024</v>
      </c>
      <c r="G896" t="s">
        <v>74</v>
      </c>
      <c r="H896" t="s">
        <v>74</v>
      </c>
      <c r="I896" t="s">
        <v>16025</v>
      </c>
      <c r="J896" t="s">
        <v>16026</v>
      </c>
      <c r="K896" t="s">
        <v>74</v>
      </c>
      <c r="L896" t="s">
        <v>74</v>
      </c>
      <c r="M896" t="s">
        <v>78</v>
      </c>
      <c r="N896" t="s">
        <v>5492</v>
      </c>
      <c r="O896" t="s">
        <v>74</v>
      </c>
      <c r="P896" t="s">
        <v>74</v>
      </c>
      <c r="Q896" t="s">
        <v>74</v>
      </c>
      <c r="R896" t="s">
        <v>74</v>
      </c>
      <c r="S896" t="s">
        <v>74</v>
      </c>
      <c r="T896" t="s">
        <v>16027</v>
      </c>
      <c r="U896" t="s">
        <v>16028</v>
      </c>
      <c r="V896" t="s">
        <v>16029</v>
      </c>
      <c r="W896" t="s">
        <v>16030</v>
      </c>
      <c r="X896" t="s">
        <v>16031</v>
      </c>
      <c r="Y896" t="s">
        <v>16032</v>
      </c>
      <c r="Z896" t="s">
        <v>16033</v>
      </c>
      <c r="AA896" t="s">
        <v>16034</v>
      </c>
      <c r="AB896" t="s">
        <v>16035</v>
      </c>
      <c r="AC896" t="s">
        <v>16036</v>
      </c>
      <c r="AD896" t="s">
        <v>16036</v>
      </c>
      <c r="AE896" t="s">
        <v>16037</v>
      </c>
      <c r="AF896" t="s">
        <v>74</v>
      </c>
      <c r="AG896">
        <v>40</v>
      </c>
      <c r="AH896">
        <v>0</v>
      </c>
      <c r="AI896">
        <v>0</v>
      </c>
      <c r="AJ896">
        <v>0</v>
      </c>
      <c r="AK896">
        <v>0</v>
      </c>
      <c r="AL896" t="s">
        <v>184</v>
      </c>
      <c r="AM896" t="s">
        <v>185</v>
      </c>
      <c r="AN896" t="s">
        <v>186</v>
      </c>
      <c r="AO896" t="s">
        <v>16038</v>
      </c>
      <c r="AP896" t="s">
        <v>16039</v>
      </c>
      <c r="AQ896" t="s">
        <v>74</v>
      </c>
      <c r="AR896" t="s">
        <v>16040</v>
      </c>
      <c r="AS896" t="s">
        <v>16041</v>
      </c>
      <c r="AT896" t="s">
        <v>16042</v>
      </c>
      <c r="AU896">
        <v>2023</v>
      </c>
      <c r="AV896" t="s">
        <v>74</v>
      </c>
      <c r="AW896" t="s">
        <v>74</v>
      </c>
      <c r="AX896" t="s">
        <v>74</v>
      </c>
      <c r="AY896" t="s">
        <v>74</v>
      </c>
      <c r="AZ896" t="s">
        <v>74</v>
      </c>
      <c r="BA896" t="s">
        <v>74</v>
      </c>
      <c r="BB896" t="s">
        <v>74</v>
      </c>
      <c r="BC896" t="s">
        <v>74</v>
      </c>
      <c r="BD896" t="s">
        <v>74</v>
      </c>
      <c r="BE896" t="s">
        <v>16043</v>
      </c>
      <c r="BF896" t="str">
        <f>HYPERLINK("http://dx.doi.org/10.1080/01932691.2023.2234482","http://dx.doi.org/10.1080/01932691.2023.2234482")</f>
        <v>http://dx.doi.org/10.1080/01932691.2023.2234482</v>
      </c>
      <c r="BG896" t="s">
        <v>74</v>
      </c>
      <c r="BH896" t="s">
        <v>12687</v>
      </c>
      <c r="BI896">
        <v>15</v>
      </c>
      <c r="BJ896" t="s">
        <v>16044</v>
      </c>
      <c r="BK896" t="s">
        <v>102</v>
      </c>
      <c r="BL896" t="s">
        <v>8693</v>
      </c>
      <c r="BM896" t="s">
        <v>16045</v>
      </c>
      <c r="BN896" t="s">
        <v>74</v>
      </c>
      <c r="BO896" t="s">
        <v>74</v>
      </c>
      <c r="BP896" t="s">
        <v>74</v>
      </c>
      <c r="BQ896" t="s">
        <v>74</v>
      </c>
      <c r="BR896" t="s">
        <v>105</v>
      </c>
      <c r="BS896" t="s">
        <v>16046</v>
      </c>
      <c r="BT896" t="str">
        <f>HYPERLINK("https%3A%2F%2Fwww.webofscience.com%2Fwos%2Fwoscc%2Ffull-record%2FWOS:001030889700001","View Full Record in Web of Science")</f>
        <v>View Full Record in Web of Science</v>
      </c>
    </row>
    <row r="897" spans="1:72" x14ac:dyDescent="0.15">
      <c r="A897" t="s">
        <v>72</v>
      </c>
      <c r="B897" t="s">
        <v>16047</v>
      </c>
      <c r="C897" t="s">
        <v>74</v>
      </c>
      <c r="D897" t="s">
        <v>74</v>
      </c>
      <c r="E897" t="s">
        <v>74</v>
      </c>
      <c r="F897" t="s">
        <v>16048</v>
      </c>
      <c r="G897" t="s">
        <v>74</v>
      </c>
      <c r="H897" t="s">
        <v>74</v>
      </c>
      <c r="I897" t="s">
        <v>16049</v>
      </c>
      <c r="J897" t="s">
        <v>16050</v>
      </c>
      <c r="K897" t="s">
        <v>74</v>
      </c>
      <c r="L897" t="s">
        <v>74</v>
      </c>
      <c r="M897" t="s">
        <v>78</v>
      </c>
      <c r="N897" t="s">
        <v>79</v>
      </c>
      <c r="O897" t="s">
        <v>74</v>
      </c>
      <c r="P897" t="s">
        <v>74</v>
      </c>
      <c r="Q897" t="s">
        <v>74</v>
      </c>
      <c r="R897" t="s">
        <v>74</v>
      </c>
      <c r="S897" t="s">
        <v>74</v>
      </c>
      <c r="T897" t="s">
        <v>16051</v>
      </c>
      <c r="U897" t="s">
        <v>16052</v>
      </c>
      <c r="V897" t="s">
        <v>16053</v>
      </c>
      <c r="W897" t="s">
        <v>16054</v>
      </c>
      <c r="X897" t="s">
        <v>16055</v>
      </c>
      <c r="Y897" t="s">
        <v>16056</v>
      </c>
      <c r="Z897" t="s">
        <v>16057</v>
      </c>
      <c r="AA897" t="s">
        <v>16058</v>
      </c>
      <c r="AB897" t="s">
        <v>74</v>
      </c>
      <c r="AC897" t="s">
        <v>16059</v>
      </c>
      <c r="AD897" t="s">
        <v>16060</v>
      </c>
      <c r="AE897" t="s">
        <v>16061</v>
      </c>
      <c r="AF897" t="s">
        <v>74</v>
      </c>
      <c r="AG897">
        <v>68</v>
      </c>
      <c r="AH897">
        <v>0</v>
      </c>
      <c r="AI897">
        <v>0</v>
      </c>
      <c r="AJ897">
        <v>6</v>
      </c>
      <c r="AK897">
        <v>6</v>
      </c>
      <c r="AL897" t="s">
        <v>184</v>
      </c>
      <c r="AM897" t="s">
        <v>185</v>
      </c>
      <c r="AN897" t="s">
        <v>186</v>
      </c>
      <c r="AO897" t="s">
        <v>16062</v>
      </c>
      <c r="AP897" t="s">
        <v>16063</v>
      </c>
      <c r="AQ897" t="s">
        <v>74</v>
      </c>
      <c r="AR897" t="s">
        <v>16064</v>
      </c>
      <c r="AS897" t="s">
        <v>16065</v>
      </c>
      <c r="AT897" t="s">
        <v>16066</v>
      </c>
      <c r="AU897">
        <v>2023</v>
      </c>
      <c r="AV897">
        <v>41</v>
      </c>
      <c r="AW897">
        <v>6</v>
      </c>
      <c r="AX897" t="s">
        <v>74</v>
      </c>
      <c r="AY897" t="s">
        <v>74</v>
      </c>
      <c r="AZ897" t="s">
        <v>74</v>
      </c>
      <c r="BA897" t="s">
        <v>74</v>
      </c>
      <c r="BB897">
        <v>767</v>
      </c>
      <c r="BC897">
        <v>788</v>
      </c>
      <c r="BD897" t="s">
        <v>74</v>
      </c>
      <c r="BE897" t="s">
        <v>16067</v>
      </c>
      <c r="BF897" t="str">
        <f>HYPERLINK("http://dx.doi.org/10.1080/07366299.2023.2231493","http://dx.doi.org/10.1080/07366299.2023.2231493")</f>
        <v>http://dx.doi.org/10.1080/07366299.2023.2231493</v>
      </c>
      <c r="BG897" t="s">
        <v>74</v>
      </c>
      <c r="BH897" t="s">
        <v>12687</v>
      </c>
      <c r="BI897">
        <v>22</v>
      </c>
      <c r="BJ897" t="s">
        <v>13111</v>
      </c>
      <c r="BK897" t="s">
        <v>102</v>
      </c>
      <c r="BL897" t="s">
        <v>8693</v>
      </c>
      <c r="BM897" t="s">
        <v>16068</v>
      </c>
      <c r="BN897" t="s">
        <v>74</v>
      </c>
      <c r="BO897" t="s">
        <v>5486</v>
      </c>
      <c r="BP897" t="s">
        <v>74</v>
      </c>
      <c r="BQ897" t="s">
        <v>74</v>
      </c>
      <c r="BR897" t="s">
        <v>105</v>
      </c>
      <c r="BS897" t="s">
        <v>16069</v>
      </c>
      <c r="BT897" t="str">
        <f>HYPERLINK("https%3A%2F%2Fwww.webofscience.com%2Fwos%2Fwoscc%2Ffull-record%2FWOS:001022972200001","View Full Record in Web of Science")</f>
        <v>View Full Record in Web of Science</v>
      </c>
    </row>
    <row r="898" spans="1:72" x14ac:dyDescent="0.15">
      <c r="A898" t="s">
        <v>72</v>
      </c>
      <c r="B898" t="s">
        <v>16070</v>
      </c>
      <c r="C898" t="s">
        <v>74</v>
      </c>
      <c r="D898" t="s">
        <v>74</v>
      </c>
      <c r="E898" t="s">
        <v>74</v>
      </c>
      <c r="F898" t="s">
        <v>16071</v>
      </c>
      <c r="G898" t="s">
        <v>74</v>
      </c>
      <c r="H898" t="s">
        <v>74</v>
      </c>
      <c r="I898" t="s">
        <v>16072</v>
      </c>
      <c r="J898" t="s">
        <v>16008</v>
      </c>
      <c r="K898" t="s">
        <v>74</v>
      </c>
      <c r="L898" t="s">
        <v>74</v>
      </c>
      <c r="M898" t="s">
        <v>78</v>
      </c>
      <c r="N898" t="s">
        <v>79</v>
      </c>
      <c r="O898" t="s">
        <v>74</v>
      </c>
      <c r="P898" t="s">
        <v>74</v>
      </c>
      <c r="Q898" t="s">
        <v>74</v>
      </c>
      <c r="R898" t="s">
        <v>74</v>
      </c>
      <c r="S898" t="s">
        <v>74</v>
      </c>
      <c r="T898" t="s">
        <v>16073</v>
      </c>
      <c r="U898" t="s">
        <v>16074</v>
      </c>
      <c r="V898" t="s">
        <v>16075</v>
      </c>
      <c r="W898" t="s">
        <v>16076</v>
      </c>
      <c r="X898" t="s">
        <v>16077</v>
      </c>
      <c r="Y898" t="s">
        <v>16078</v>
      </c>
      <c r="Z898" t="s">
        <v>16079</v>
      </c>
      <c r="AA898" t="s">
        <v>74</v>
      </c>
      <c r="AB898" t="s">
        <v>16080</v>
      </c>
      <c r="AC898" t="s">
        <v>74</v>
      </c>
      <c r="AD898" t="s">
        <v>74</v>
      </c>
      <c r="AE898" t="s">
        <v>74</v>
      </c>
      <c r="AF898" t="s">
        <v>74</v>
      </c>
      <c r="AG898">
        <v>60</v>
      </c>
      <c r="AH898">
        <v>0</v>
      </c>
      <c r="AI898">
        <v>0</v>
      </c>
      <c r="AJ898">
        <v>3</v>
      </c>
      <c r="AK898">
        <v>3</v>
      </c>
      <c r="AL898" t="s">
        <v>184</v>
      </c>
      <c r="AM898" t="s">
        <v>185</v>
      </c>
      <c r="AN898" t="s">
        <v>186</v>
      </c>
      <c r="AO898" t="s">
        <v>16016</v>
      </c>
      <c r="AP898" t="s">
        <v>16017</v>
      </c>
      <c r="AQ898" t="s">
        <v>74</v>
      </c>
      <c r="AR898" t="s">
        <v>16018</v>
      </c>
      <c r="AS898" t="s">
        <v>16019</v>
      </c>
      <c r="AT898" t="s">
        <v>10040</v>
      </c>
      <c r="AU898">
        <v>2023</v>
      </c>
      <c r="AV898">
        <v>52</v>
      </c>
      <c r="AW898">
        <v>6</v>
      </c>
      <c r="AX898" t="s">
        <v>74</v>
      </c>
      <c r="AY898" t="s">
        <v>74</v>
      </c>
      <c r="AZ898" t="s">
        <v>74</v>
      </c>
      <c r="BA898" t="s">
        <v>74</v>
      </c>
      <c r="BB898">
        <v>749</v>
      </c>
      <c r="BC898">
        <v>766</v>
      </c>
      <c r="BD898" t="s">
        <v>74</v>
      </c>
      <c r="BE898" t="s">
        <v>16081</v>
      </c>
      <c r="BF898" t="str">
        <f>HYPERLINK("http://dx.doi.org/10.1080/08820139.2023.2232403","http://dx.doi.org/10.1080/08820139.2023.2232403")</f>
        <v>http://dx.doi.org/10.1080/08820139.2023.2232403</v>
      </c>
      <c r="BG898" t="s">
        <v>74</v>
      </c>
      <c r="BH898" t="s">
        <v>12687</v>
      </c>
      <c r="BI898">
        <v>18</v>
      </c>
      <c r="BJ898" t="s">
        <v>1425</v>
      </c>
      <c r="BK898" t="s">
        <v>102</v>
      </c>
      <c r="BL898" t="s">
        <v>1425</v>
      </c>
      <c r="BM898" t="s">
        <v>16021</v>
      </c>
      <c r="BN898">
        <v>37403798</v>
      </c>
      <c r="BO898" t="s">
        <v>3096</v>
      </c>
      <c r="BP898" t="s">
        <v>74</v>
      </c>
      <c r="BQ898" t="s">
        <v>74</v>
      </c>
      <c r="BR898" t="s">
        <v>105</v>
      </c>
      <c r="BS898" t="s">
        <v>16082</v>
      </c>
      <c r="BT898" t="str">
        <f>HYPERLINK("https%3A%2F%2Fwww.webofscience.com%2Fwos%2Fwoscc%2Ffull-record%2FWOS:001019813800001","View Full Record in Web of Science")</f>
        <v>View Full Record in Web of Science</v>
      </c>
    </row>
    <row r="899" spans="1:72" x14ac:dyDescent="0.15">
      <c r="A899" t="s">
        <v>72</v>
      </c>
      <c r="B899" t="s">
        <v>16083</v>
      </c>
      <c r="C899" t="s">
        <v>74</v>
      </c>
      <c r="D899" t="s">
        <v>74</v>
      </c>
      <c r="E899" t="s">
        <v>74</v>
      </c>
      <c r="F899" t="s">
        <v>16084</v>
      </c>
      <c r="G899" t="s">
        <v>74</v>
      </c>
      <c r="H899" t="s">
        <v>74</v>
      </c>
      <c r="I899" t="s">
        <v>16085</v>
      </c>
      <c r="J899" t="s">
        <v>16086</v>
      </c>
      <c r="K899" t="s">
        <v>74</v>
      </c>
      <c r="L899" t="s">
        <v>74</v>
      </c>
      <c r="M899" t="s">
        <v>78</v>
      </c>
      <c r="N899" t="s">
        <v>6754</v>
      </c>
      <c r="O899" t="s">
        <v>74</v>
      </c>
      <c r="P899" t="s">
        <v>74</v>
      </c>
      <c r="Q899" t="s">
        <v>74</v>
      </c>
      <c r="R899" t="s">
        <v>74</v>
      </c>
      <c r="S899" t="s">
        <v>74</v>
      </c>
      <c r="T899" t="s">
        <v>16087</v>
      </c>
      <c r="U899" t="s">
        <v>74</v>
      </c>
      <c r="V899" t="s">
        <v>16088</v>
      </c>
      <c r="W899" t="s">
        <v>16089</v>
      </c>
      <c r="X899" t="s">
        <v>16090</v>
      </c>
      <c r="Y899" t="s">
        <v>16091</v>
      </c>
      <c r="Z899" t="s">
        <v>16092</v>
      </c>
      <c r="AA899" t="s">
        <v>74</v>
      </c>
      <c r="AB899" t="s">
        <v>16093</v>
      </c>
      <c r="AC899" t="s">
        <v>16094</v>
      </c>
      <c r="AD899" t="s">
        <v>16094</v>
      </c>
      <c r="AE899" t="s">
        <v>16095</v>
      </c>
      <c r="AF899" t="s">
        <v>74</v>
      </c>
      <c r="AG899">
        <v>25</v>
      </c>
      <c r="AH899">
        <v>0</v>
      </c>
      <c r="AI899">
        <v>0</v>
      </c>
      <c r="AJ899">
        <v>1</v>
      </c>
      <c r="AK899">
        <v>1</v>
      </c>
      <c r="AL899" t="s">
        <v>1188</v>
      </c>
      <c r="AM899" t="s">
        <v>93</v>
      </c>
      <c r="AN899" t="s">
        <v>1189</v>
      </c>
      <c r="AO899" t="s">
        <v>16096</v>
      </c>
      <c r="AP899" t="s">
        <v>16097</v>
      </c>
      <c r="AQ899" t="s">
        <v>74</v>
      </c>
      <c r="AR899" t="s">
        <v>16098</v>
      </c>
      <c r="AS899" t="s">
        <v>16099</v>
      </c>
      <c r="AT899" t="s">
        <v>16042</v>
      </c>
      <c r="AU899">
        <v>2023</v>
      </c>
      <c r="AV899" t="s">
        <v>74</v>
      </c>
      <c r="AW899" t="s">
        <v>74</v>
      </c>
      <c r="AX899" t="s">
        <v>74</v>
      </c>
      <c r="AY899" t="s">
        <v>74</v>
      </c>
      <c r="AZ899" t="s">
        <v>74</v>
      </c>
      <c r="BA899" t="s">
        <v>74</v>
      </c>
      <c r="BB899" t="s">
        <v>74</v>
      </c>
      <c r="BC899" t="s">
        <v>74</v>
      </c>
      <c r="BD899" t="s">
        <v>74</v>
      </c>
      <c r="BE899" t="s">
        <v>16100</v>
      </c>
      <c r="BF899" t="str">
        <f>HYPERLINK("http://dx.doi.org/10.1080/01436597.2023.2233918","http://dx.doi.org/10.1080/01436597.2023.2233918")</f>
        <v>http://dx.doi.org/10.1080/01436597.2023.2233918</v>
      </c>
      <c r="BG899" t="s">
        <v>74</v>
      </c>
      <c r="BH899" t="s">
        <v>12687</v>
      </c>
      <c r="BI899">
        <v>13</v>
      </c>
      <c r="BJ899" t="s">
        <v>7269</v>
      </c>
      <c r="BK899" t="s">
        <v>272</v>
      </c>
      <c r="BL899" t="s">
        <v>7269</v>
      </c>
      <c r="BM899" t="s">
        <v>16101</v>
      </c>
      <c r="BN899" t="s">
        <v>74</v>
      </c>
      <c r="BO899" t="s">
        <v>74</v>
      </c>
      <c r="BP899" t="s">
        <v>74</v>
      </c>
      <c r="BQ899" t="s">
        <v>74</v>
      </c>
      <c r="BR899" t="s">
        <v>105</v>
      </c>
      <c r="BS899" t="s">
        <v>16102</v>
      </c>
      <c r="BT899" t="str">
        <f>HYPERLINK("https%3A%2F%2Fwww.webofscience.com%2Fwos%2Fwoscc%2Ffull-record%2FWOS:001025214900001","View Full Record in Web of Science")</f>
        <v>View Full Record in Web of Science</v>
      </c>
    </row>
    <row r="900" spans="1:72" x14ac:dyDescent="0.15">
      <c r="A900" t="s">
        <v>72</v>
      </c>
      <c r="B900" t="s">
        <v>16103</v>
      </c>
      <c r="C900" t="s">
        <v>74</v>
      </c>
      <c r="D900" t="s">
        <v>74</v>
      </c>
      <c r="E900" t="s">
        <v>74</v>
      </c>
      <c r="F900" t="s">
        <v>16104</v>
      </c>
      <c r="G900" t="s">
        <v>74</v>
      </c>
      <c r="H900" t="s">
        <v>74</v>
      </c>
      <c r="I900" t="s">
        <v>16105</v>
      </c>
      <c r="J900" t="s">
        <v>10736</v>
      </c>
      <c r="K900" t="s">
        <v>74</v>
      </c>
      <c r="L900" t="s">
        <v>74</v>
      </c>
      <c r="M900" t="s">
        <v>78</v>
      </c>
      <c r="N900" t="s">
        <v>5492</v>
      </c>
      <c r="O900" t="s">
        <v>74</v>
      </c>
      <c r="P900" t="s">
        <v>74</v>
      </c>
      <c r="Q900" t="s">
        <v>74</v>
      </c>
      <c r="R900" t="s">
        <v>74</v>
      </c>
      <c r="S900" t="s">
        <v>74</v>
      </c>
      <c r="T900" t="s">
        <v>16106</v>
      </c>
      <c r="U900" t="s">
        <v>16107</v>
      </c>
      <c r="V900" t="s">
        <v>16108</v>
      </c>
      <c r="W900" t="s">
        <v>16109</v>
      </c>
      <c r="X900" t="s">
        <v>16110</v>
      </c>
      <c r="Y900" t="s">
        <v>16111</v>
      </c>
      <c r="Z900" t="s">
        <v>16112</v>
      </c>
      <c r="AA900" t="s">
        <v>74</v>
      </c>
      <c r="AB900" t="s">
        <v>16113</v>
      </c>
      <c r="AC900" t="s">
        <v>16114</v>
      </c>
      <c r="AD900" t="s">
        <v>16115</v>
      </c>
      <c r="AE900" t="s">
        <v>16116</v>
      </c>
      <c r="AF900" t="s">
        <v>74</v>
      </c>
      <c r="AG900">
        <v>65</v>
      </c>
      <c r="AH900">
        <v>0</v>
      </c>
      <c r="AI900">
        <v>0</v>
      </c>
      <c r="AJ900">
        <v>3</v>
      </c>
      <c r="AK900">
        <v>3</v>
      </c>
      <c r="AL900" t="s">
        <v>184</v>
      </c>
      <c r="AM900" t="s">
        <v>185</v>
      </c>
      <c r="AN900" t="s">
        <v>186</v>
      </c>
      <c r="AO900" t="s">
        <v>10744</v>
      </c>
      <c r="AP900" t="s">
        <v>10745</v>
      </c>
      <c r="AQ900" t="s">
        <v>74</v>
      </c>
      <c r="AR900" t="s">
        <v>10746</v>
      </c>
      <c r="AS900" t="s">
        <v>10747</v>
      </c>
      <c r="AT900" t="s">
        <v>16042</v>
      </c>
      <c r="AU900">
        <v>2023</v>
      </c>
      <c r="AV900" t="s">
        <v>74</v>
      </c>
      <c r="AW900" t="s">
        <v>74</v>
      </c>
      <c r="AX900" t="s">
        <v>74</v>
      </c>
      <c r="AY900" t="s">
        <v>74</v>
      </c>
      <c r="AZ900" t="s">
        <v>74</v>
      </c>
      <c r="BA900" t="s">
        <v>74</v>
      </c>
      <c r="BB900" t="s">
        <v>74</v>
      </c>
      <c r="BC900" t="s">
        <v>74</v>
      </c>
      <c r="BD900" t="s">
        <v>74</v>
      </c>
      <c r="BE900" t="s">
        <v>16117</v>
      </c>
      <c r="BF900" t="str">
        <f>HYPERLINK("http://dx.doi.org/10.1080/09593985.2023.2232858","http://dx.doi.org/10.1080/09593985.2023.2232858")</f>
        <v>http://dx.doi.org/10.1080/09593985.2023.2232858</v>
      </c>
      <c r="BG900" t="s">
        <v>74</v>
      </c>
      <c r="BH900" t="s">
        <v>12687</v>
      </c>
      <c r="BI900">
        <v>14</v>
      </c>
      <c r="BJ900" t="s">
        <v>7824</v>
      </c>
      <c r="BK900" t="s">
        <v>102</v>
      </c>
      <c r="BL900" t="s">
        <v>7824</v>
      </c>
      <c r="BM900" t="s">
        <v>16118</v>
      </c>
      <c r="BN900">
        <v>37401626</v>
      </c>
      <c r="BO900" t="s">
        <v>74</v>
      </c>
      <c r="BP900" t="s">
        <v>74</v>
      </c>
      <c r="BQ900" t="s">
        <v>74</v>
      </c>
      <c r="BR900" t="s">
        <v>105</v>
      </c>
      <c r="BS900" t="s">
        <v>16119</v>
      </c>
      <c r="BT900" t="str">
        <f>HYPERLINK("https%3A%2F%2Fwww.webofscience.com%2Fwos%2Fwoscc%2Ffull-record%2FWOS:001024472400001","View Full Record in Web of Science")</f>
        <v>View Full Record in Web of Science</v>
      </c>
    </row>
    <row r="901" spans="1:72" x14ac:dyDescent="0.15">
      <c r="A901" t="s">
        <v>72</v>
      </c>
      <c r="B901" t="s">
        <v>16120</v>
      </c>
      <c r="C901" t="s">
        <v>74</v>
      </c>
      <c r="D901" t="s">
        <v>74</v>
      </c>
      <c r="E901" t="s">
        <v>74</v>
      </c>
      <c r="F901" t="s">
        <v>16121</v>
      </c>
      <c r="G901" t="s">
        <v>74</v>
      </c>
      <c r="H901" t="s">
        <v>74</v>
      </c>
      <c r="I901" t="s">
        <v>16122</v>
      </c>
      <c r="J901" t="s">
        <v>16123</v>
      </c>
      <c r="K901" t="s">
        <v>74</v>
      </c>
      <c r="L901" t="s">
        <v>74</v>
      </c>
      <c r="M901" t="s">
        <v>78</v>
      </c>
      <c r="N901" t="s">
        <v>3443</v>
      </c>
      <c r="O901" t="s">
        <v>74</v>
      </c>
      <c r="P901" t="s">
        <v>74</v>
      </c>
      <c r="Q901" t="s">
        <v>74</v>
      </c>
      <c r="R901" t="s">
        <v>74</v>
      </c>
      <c r="S901" t="s">
        <v>74</v>
      </c>
      <c r="T901" t="s">
        <v>74</v>
      </c>
      <c r="U901" t="s">
        <v>74</v>
      </c>
      <c r="V901" t="s">
        <v>74</v>
      </c>
      <c r="W901" t="s">
        <v>16124</v>
      </c>
      <c r="X901" t="s">
        <v>16125</v>
      </c>
      <c r="Y901" t="s">
        <v>16126</v>
      </c>
      <c r="Z901" t="s">
        <v>16127</v>
      </c>
      <c r="AA901" t="s">
        <v>16128</v>
      </c>
      <c r="AB901" t="s">
        <v>16129</v>
      </c>
      <c r="AC901" t="s">
        <v>74</v>
      </c>
      <c r="AD901" t="s">
        <v>74</v>
      </c>
      <c r="AE901" t="s">
        <v>74</v>
      </c>
      <c r="AF901" t="s">
        <v>74</v>
      </c>
      <c r="AG901">
        <v>1</v>
      </c>
      <c r="AH901">
        <v>0</v>
      </c>
      <c r="AI901">
        <v>0</v>
      </c>
      <c r="AJ901">
        <v>0</v>
      </c>
      <c r="AK901">
        <v>0</v>
      </c>
      <c r="AL901" t="s">
        <v>1188</v>
      </c>
      <c r="AM901" t="s">
        <v>93</v>
      </c>
      <c r="AN901" t="s">
        <v>1189</v>
      </c>
      <c r="AO901" t="s">
        <v>16130</v>
      </c>
      <c r="AP901" t="s">
        <v>16131</v>
      </c>
      <c r="AQ901" t="s">
        <v>74</v>
      </c>
      <c r="AR901" t="s">
        <v>16123</v>
      </c>
      <c r="AS901" t="s">
        <v>16132</v>
      </c>
      <c r="AT901" t="s">
        <v>5386</v>
      </c>
      <c r="AU901">
        <v>2023</v>
      </c>
      <c r="AV901">
        <v>30</v>
      </c>
      <c r="AW901">
        <v>7</v>
      </c>
      <c r="AX901" t="s">
        <v>74</v>
      </c>
      <c r="AY901" t="s">
        <v>74</v>
      </c>
      <c r="AZ901" t="s">
        <v>74</v>
      </c>
      <c r="BA901" t="s">
        <v>74</v>
      </c>
      <c r="BB901">
        <v>1427</v>
      </c>
      <c r="BC901">
        <v>1429</v>
      </c>
      <c r="BD901" t="s">
        <v>74</v>
      </c>
      <c r="BE901" t="s">
        <v>16133</v>
      </c>
      <c r="BF901" t="str">
        <f>HYPERLINK("http://dx.doi.org/10.1080/13510347.2023.2231853","http://dx.doi.org/10.1080/13510347.2023.2231853")</f>
        <v>http://dx.doi.org/10.1080/13510347.2023.2231853</v>
      </c>
      <c r="BG901" t="s">
        <v>74</v>
      </c>
      <c r="BH901" t="s">
        <v>12687</v>
      </c>
      <c r="BI901">
        <v>3</v>
      </c>
      <c r="BJ901" t="s">
        <v>6893</v>
      </c>
      <c r="BK901" t="s">
        <v>272</v>
      </c>
      <c r="BL901" t="s">
        <v>6894</v>
      </c>
      <c r="BM901" t="s">
        <v>16134</v>
      </c>
      <c r="BN901" t="s">
        <v>74</v>
      </c>
      <c r="BO901" t="s">
        <v>74</v>
      </c>
      <c r="BP901" t="s">
        <v>74</v>
      </c>
      <c r="BQ901" t="s">
        <v>74</v>
      </c>
      <c r="BR901" t="s">
        <v>105</v>
      </c>
      <c r="BS901" t="s">
        <v>16135</v>
      </c>
      <c r="BT901" t="str">
        <f>HYPERLINK("https%3A%2F%2Fwww.webofscience.com%2Fwos%2Fwoscc%2Ffull-record%2FWOS:001024927300001","View Full Record in Web of Science")</f>
        <v>View Full Record in Web of Science</v>
      </c>
    </row>
    <row r="902" spans="1:72" x14ac:dyDescent="0.15">
      <c r="A902" t="s">
        <v>72</v>
      </c>
      <c r="B902" t="s">
        <v>16136</v>
      </c>
      <c r="C902" t="s">
        <v>74</v>
      </c>
      <c r="D902" t="s">
        <v>74</v>
      </c>
      <c r="E902" t="s">
        <v>74</v>
      </c>
      <c r="F902" t="s">
        <v>16137</v>
      </c>
      <c r="G902" t="s">
        <v>74</v>
      </c>
      <c r="H902" t="s">
        <v>74</v>
      </c>
      <c r="I902" t="s">
        <v>16138</v>
      </c>
      <c r="J902" t="s">
        <v>16139</v>
      </c>
      <c r="K902" t="s">
        <v>74</v>
      </c>
      <c r="L902" t="s">
        <v>74</v>
      </c>
      <c r="M902" t="s">
        <v>78</v>
      </c>
      <c r="N902" t="s">
        <v>5492</v>
      </c>
      <c r="O902" t="s">
        <v>74</v>
      </c>
      <c r="P902" t="s">
        <v>74</v>
      </c>
      <c r="Q902" t="s">
        <v>74</v>
      </c>
      <c r="R902" t="s">
        <v>74</v>
      </c>
      <c r="S902" t="s">
        <v>74</v>
      </c>
      <c r="T902" t="s">
        <v>16140</v>
      </c>
      <c r="U902" t="s">
        <v>16141</v>
      </c>
      <c r="V902" t="s">
        <v>16142</v>
      </c>
      <c r="W902" t="s">
        <v>16143</v>
      </c>
      <c r="X902" t="s">
        <v>16144</v>
      </c>
      <c r="Y902" t="s">
        <v>16145</v>
      </c>
      <c r="Z902" t="s">
        <v>16146</v>
      </c>
      <c r="AA902" t="s">
        <v>74</v>
      </c>
      <c r="AB902" t="s">
        <v>16147</v>
      </c>
      <c r="AC902" t="s">
        <v>74</v>
      </c>
      <c r="AD902" t="s">
        <v>74</v>
      </c>
      <c r="AE902" t="s">
        <v>74</v>
      </c>
      <c r="AF902" t="s">
        <v>74</v>
      </c>
      <c r="AG902">
        <v>91</v>
      </c>
      <c r="AH902">
        <v>0</v>
      </c>
      <c r="AI902">
        <v>0</v>
      </c>
      <c r="AJ902">
        <v>0</v>
      </c>
      <c r="AK902">
        <v>0</v>
      </c>
      <c r="AL902" t="s">
        <v>1188</v>
      </c>
      <c r="AM902" t="s">
        <v>93</v>
      </c>
      <c r="AN902" t="s">
        <v>1189</v>
      </c>
      <c r="AO902" t="s">
        <v>16148</v>
      </c>
      <c r="AP902" t="s">
        <v>16149</v>
      </c>
      <c r="AQ902" t="s">
        <v>74</v>
      </c>
      <c r="AR902" t="s">
        <v>16150</v>
      </c>
      <c r="AS902" t="s">
        <v>16151</v>
      </c>
      <c r="AT902" t="s">
        <v>16042</v>
      </c>
      <c r="AU902">
        <v>2023</v>
      </c>
      <c r="AV902" t="s">
        <v>74</v>
      </c>
      <c r="AW902" t="s">
        <v>74</v>
      </c>
      <c r="AX902" t="s">
        <v>74</v>
      </c>
      <c r="AY902" t="s">
        <v>74</v>
      </c>
      <c r="AZ902" t="s">
        <v>74</v>
      </c>
      <c r="BA902" t="s">
        <v>74</v>
      </c>
      <c r="BB902" t="s">
        <v>74</v>
      </c>
      <c r="BC902" t="s">
        <v>74</v>
      </c>
      <c r="BD902" t="s">
        <v>74</v>
      </c>
      <c r="BE902" t="s">
        <v>16152</v>
      </c>
      <c r="BF902" t="str">
        <f>HYPERLINK("http://dx.doi.org/10.1080/09297049.2023.2230637","http://dx.doi.org/10.1080/09297049.2023.2230637")</f>
        <v>http://dx.doi.org/10.1080/09297049.2023.2230637</v>
      </c>
      <c r="BG902" t="s">
        <v>74</v>
      </c>
      <c r="BH902" t="s">
        <v>12687</v>
      </c>
      <c r="BI902">
        <v>19</v>
      </c>
      <c r="BJ902" t="s">
        <v>2796</v>
      </c>
      <c r="BK902" t="s">
        <v>102</v>
      </c>
      <c r="BL902" t="s">
        <v>2797</v>
      </c>
      <c r="BM902" t="s">
        <v>16153</v>
      </c>
      <c r="BN902">
        <v>37401450</v>
      </c>
      <c r="BO902" t="s">
        <v>74</v>
      </c>
      <c r="BP902" t="s">
        <v>74</v>
      </c>
      <c r="BQ902" t="s">
        <v>74</v>
      </c>
      <c r="BR902" t="s">
        <v>105</v>
      </c>
      <c r="BS902" t="s">
        <v>16154</v>
      </c>
      <c r="BT902" t="str">
        <f>HYPERLINK("https%3A%2F%2Fwww.webofscience.com%2Fwos%2Fwoscc%2Ffull-record%2FWOS:001020026500001","View Full Record in Web of Science")</f>
        <v>View Full Record in Web of Science</v>
      </c>
    </row>
    <row r="903" spans="1:72" x14ac:dyDescent="0.15">
      <c r="A903" t="s">
        <v>72</v>
      </c>
      <c r="B903" t="s">
        <v>16155</v>
      </c>
      <c r="C903" t="s">
        <v>74</v>
      </c>
      <c r="D903" t="s">
        <v>74</v>
      </c>
      <c r="E903" t="s">
        <v>74</v>
      </c>
      <c r="F903" t="s">
        <v>16156</v>
      </c>
      <c r="G903" t="s">
        <v>74</v>
      </c>
      <c r="H903" t="s">
        <v>74</v>
      </c>
      <c r="I903" t="s">
        <v>16157</v>
      </c>
      <c r="J903" t="s">
        <v>10868</v>
      </c>
      <c r="K903" t="s">
        <v>74</v>
      </c>
      <c r="L903" t="s">
        <v>74</v>
      </c>
      <c r="M903" t="s">
        <v>78</v>
      </c>
      <c r="N903" t="s">
        <v>5492</v>
      </c>
      <c r="O903" t="s">
        <v>74</v>
      </c>
      <c r="P903" t="s">
        <v>74</v>
      </c>
      <c r="Q903" t="s">
        <v>74</v>
      </c>
      <c r="R903" t="s">
        <v>74</v>
      </c>
      <c r="S903" t="s">
        <v>74</v>
      </c>
      <c r="T903" t="s">
        <v>16158</v>
      </c>
      <c r="U903" t="s">
        <v>16159</v>
      </c>
      <c r="V903" t="s">
        <v>16160</v>
      </c>
      <c r="W903" t="s">
        <v>16161</v>
      </c>
      <c r="X903" t="s">
        <v>3416</v>
      </c>
      <c r="Y903" t="s">
        <v>16162</v>
      </c>
      <c r="Z903" t="s">
        <v>16163</v>
      </c>
      <c r="AA903" t="s">
        <v>16164</v>
      </c>
      <c r="AB903" t="s">
        <v>16165</v>
      </c>
      <c r="AC903" t="s">
        <v>74</v>
      </c>
      <c r="AD903" t="s">
        <v>74</v>
      </c>
      <c r="AE903" t="s">
        <v>74</v>
      </c>
      <c r="AF903" t="s">
        <v>74</v>
      </c>
      <c r="AG903">
        <v>21</v>
      </c>
      <c r="AH903">
        <v>0</v>
      </c>
      <c r="AI903">
        <v>0</v>
      </c>
      <c r="AJ903">
        <v>0</v>
      </c>
      <c r="AK903">
        <v>0</v>
      </c>
      <c r="AL903" t="s">
        <v>92</v>
      </c>
      <c r="AM903" t="s">
        <v>93</v>
      </c>
      <c r="AN903" t="s">
        <v>94</v>
      </c>
      <c r="AO903" t="s">
        <v>10878</v>
      </c>
      <c r="AP903" t="s">
        <v>10879</v>
      </c>
      <c r="AQ903" t="s">
        <v>74</v>
      </c>
      <c r="AR903" t="s">
        <v>10868</v>
      </c>
      <c r="AS903" t="s">
        <v>10880</v>
      </c>
      <c r="AT903" t="s">
        <v>16166</v>
      </c>
      <c r="AU903">
        <v>2023</v>
      </c>
      <c r="AV903" t="s">
        <v>74</v>
      </c>
      <c r="AW903" t="s">
        <v>74</v>
      </c>
      <c r="AX903" t="s">
        <v>74</v>
      </c>
      <c r="AY903" t="s">
        <v>74</v>
      </c>
      <c r="AZ903" t="s">
        <v>74</v>
      </c>
      <c r="BA903" t="s">
        <v>74</v>
      </c>
      <c r="BB903" t="s">
        <v>74</v>
      </c>
      <c r="BC903" t="s">
        <v>74</v>
      </c>
      <c r="BD903" t="s">
        <v>74</v>
      </c>
      <c r="BE903" t="s">
        <v>16167</v>
      </c>
      <c r="BF903" t="str">
        <f>HYPERLINK("http://dx.doi.org/10.1080/02331934.2023.2231481","http://dx.doi.org/10.1080/02331934.2023.2231481")</f>
        <v>http://dx.doi.org/10.1080/02331934.2023.2231481</v>
      </c>
      <c r="BG903" t="s">
        <v>74</v>
      </c>
      <c r="BH903" t="s">
        <v>12687</v>
      </c>
      <c r="BI903">
        <v>33</v>
      </c>
      <c r="BJ903" t="s">
        <v>10882</v>
      </c>
      <c r="BK903" t="s">
        <v>102</v>
      </c>
      <c r="BL903" t="s">
        <v>10883</v>
      </c>
      <c r="BM903" t="s">
        <v>16168</v>
      </c>
      <c r="BN903" t="s">
        <v>74</v>
      </c>
      <c r="BO903" t="s">
        <v>74</v>
      </c>
      <c r="BP903" t="s">
        <v>74</v>
      </c>
      <c r="BQ903" t="s">
        <v>74</v>
      </c>
      <c r="BR903" t="s">
        <v>105</v>
      </c>
      <c r="BS903" t="s">
        <v>16169</v>
      </c>
      <c r="BT903" t="str">
        <f>HYPERLINK("https%3A%2F%2Fwww.webofscience.com%2Fwos%2Fwoscc%2Ffull-record%2FWOS:001019759300001","View Full Record in Web of Science")</f>
        <v>View Full Record in Web of Science</v>
      </c>
    </row>
    <row r="904" spans="1:72" x14ac:dyDescent="0.15">
      <c r="A904" t="s">
        <v>72</v>
      </c>
      <c r="B904" t="s">
        <v>16170</v>
      </c>
      <c r="C904" t="s">
        <v>74</v>
      </c>
      <c r="D904" t="s">
        <v>74</v>
      </c>
      <c r="E904" t="s">
        <v>74</v>
      </c>
      <c r="F904" t="s">
        <v>16171</v>
      </c>
      <c r="G904" t="s">
        <v>74</v>
      </c>
      <c r="H904" t="s">
        <v>74</v>
      </c>
      <c r="I904" t="s">
        <v>16172</v>
      </c>
      <c r="J904" t="s">
        <v>16173</v>
      </c>
      <c r="K904" t="s">
        <v>74</v>
      </c>
      <c r="L904" t="s">
        <v>74</v>
      </c>
      <c r="M904" t="s">
        <v>78</v>
      </c>
      <c r="N904" t="s">
        <v>5492</v>
      </c>
      <c r="O904" t="s">
        <v>74</v>
      </c>
      <c r="P904" t="s">
        <v>74</v>
      </c>
      <c r="Q904" t="s">
        <v>74</v>
      </c>
      <c r="R904" t="s">
        <v>74</v>
      </c>
      <c r="S904" t="s">
        <v>74</v>
      </c>
      <c r="T904" t="s">
        <v>16174</v>
      </c>
      <c r="U904" t="s">
        <v>16175</v>
      </c>
      <c r="V904" t="s">
        <v>16176</v>
      </c>
      <c r="W904" t="s">
        <v>16177</v>
      </c>
      <c r="X904" t="s">
        <v>16178</v>
      </c>
      <c r="Y904" t="s">
        <v>16179</v>
      </c>
      <c r="Z904" t="s">
        <v>16180</v>
      </c>
      <c r="AA904" t="s">
        <v>74</v>
      </c>
      <c r="AB904" t="s">
        <v>74</v>
      </c>
      <c r="AC904" t="s">
        <v>74</v>
      </c>
      <c r="AD904" t="s">
        <v>74</v>
      </c>
      <c r="AE904" t="s">
        <v>74</v>
      </c>
      <c r="AF904" t="s">
        <v>74</v>
      </c>
      <c r="AG904">
        <v>87</v>
      </c>
      <c r="AH904">
        <v>0</v>
      </c>
      <c r="AI904">
        <v>0</v>
      </c>
      <c r="AJ904">
        <v>0</v>
      </c>
      <c r="AK904">
        <v>0</v>
      </c>
      <c r="AL904" t="s">
        <v>1188</v>
      </c>
      <c r="AM904" t="s">
        <v>93</v>
      </c>
      <c r="AN904" t="s">
        <v>1189</v>
      </c>
      <c r="AO904" t="s">
        <v>16181</v>
      </c>
      <c r="AP904" t="s">
        <v>16182</v>
      </c>
      <c r="AQ904" t="s">
        <v>74</v>
      </c>
      <c r="AR904" t="s">
        <v>16183</v>
      </c>
      <c r="AS904" t="s">
        <v>16184</v>
      </c>
      <c r="AT904" t="s">
        <v>16166</v>
      </c>
      <c r="AU904">
        <v>2023</v>
      </c>
      <c r="AV904" t="s">
        <v>74</v>
      </c>
      <c r="AW904" t="s">
        <v>74</v>
      </c>
      <c r="AX904" t="s">
        <v>74</v>
      </c>
      <c r="AY904" t="s">
        <v>74</v>
      </c>
      <c r="AZ904" t="s">
        <v>74</v>
      </c>
      <c r="BA904" t="s">
        <v>74</v>
      </c>
      <c r="BB904" t="s">
        <v>74</v>
      </c>
      <c r="BC904" t="s">
        <v>74</v>
      </c>
      <c r="BD904" t="s">
        <v>74</v>
      </c>
      <c r="BE904" t="s">
        <v>16185</v>
      </c>
      <c r="BF904" t="str">
        <f>HYPERLINK("http://dx.doi.org/10.1080/14443058.2023.2229348","http://dx.doi.org/10.1080/14443058.2023.2229348")</f>
        <v>http://dx.doi.org/10.1080/14443058.2023.2229348</v>
      </c>
      <c r="BG904" t="s">
        <v>74</v>
      </c>
      <c r="BH904" t="s">
        <v>12687</v>
      </c>
      <c r="BI904">
        <v>15</v>
      </c>
      <c r="BJ904" t="s">
        <v>16186</v>
      </c>
      <c r="BK904" t="s">
        <v>7170</v>
      </c>
      <c r="BL904" t="s">
        <v>16186</v>
      </c>
      <c r="BM904" t="s">
        <v>16187</v>
      </c>
      <c r="BN904" t="s">
        <v>74</v>
      </c>
      <c r="BO904" t="s">
        <v>887</v>
      </c>
      <c r="BP904" t="s">
        <v>74</v>
      </c>
      <c r="BQ904" t="s">
        <v>74</v>
      </c>
      <c r="BR904" t="s">
        <v>105</v>
      </c>
      <c r="BS904" t="s">
        <v>16188</v>
      </c>
      <c r="BT904" t="str">
        <f>HYPERLINK("https%3A%2F%2Fwww.webofscience.com%2Fwos%2Fwoscc%2Ffull-record%2FWOS:001024490200001","View Full Record in Web of Science")</f>
        <v>View Full Record in Web of Science</v>
      </c>
    </row>
    <row r="905" spans="1:72" x14ac:dyDescent="0.15">
      <c r="A905" t="s">
        <v>72</v>
      </c>
      <c r="B905" t="s">
        <v>16189</v>
      </c>
      <c r="C905" t="s">
        <v>74</v>
      </c>
      <c r="D905" t="s">
        <v>74</v>
      </c>
      <c r="E905" t="s">
        <v>74</v>
      </c>
      <c r="F905" t="s">
        <v>16190</v>
      </c>
      <c r="G905" t="s">
        <v>74</v>
      </c>
      <c r="H905" t="s">
        <v>74</v>
      </c>
      <c r="I905" t="s">
        <v>16191</v>
      </c>
      <c r="J905" t="s">
        <v>16192</v>
      </c>
      <c r="K905" t="s">
        <v>74</v>
      </c>
      <c r="L905" t="s">
        <v>74</v>
      </c>
      <c r="M905" t="s">
        <v>78</v>
      </c>
      <c r="N905" t="s">
        <v>171</v>
      </c>
      <c r="O905" t="s">
        <v>74</v>
      </c>
      <c r="P905" t="s">
        <v>74</v>
      </c>
      <c r="Q905" t="s">
        <v>74</v>
      </c>
      <c r="R905" t="s">
        <v>74</v>
      </c>
      <c r="S905" t="s">
        <v>74</v>
      </c>
      <c r="T905" t="s">
        <v>16193</v>
      </c>
      <c r="U905" t="s">
        <v>16194</v>
      </c>
      <c r="V905" t="s">
        <v>16195</v>
      </c>
      <c r="W905" t="s">
        <v>16196</v>
      </c>
      <c r="X905" t="s">
        <v>16197</v>
      </c>
      <c r="Y905" t="s">
        <v>16198</v>
      </c>
      <c r="Z905" t="s">
        <v>16199</v>
      </c>
      <c r="AA905" t="s">
        <v>74</v>
      </c>
      <c r="AB905" t="s">
        <v>74</v>
      </c>
      <c r="AC905" t="s">
        <v>74</v>
      </c>
      <c r="AD905" t="s">
        <v>74</v>
      </c>
      <c r="AE905" t="s">
        <v>74</v>
      </c>
      <c r="AF905" t="s">
        <v>74</v>
      </c>
      <c r="AG905">
        <v>80</v>
      </c>
      <c r="AH905">
        <v>0</v>
      </c>
      <c r="AI905">
        <v>0</v>
      </c>
      <c r="AJ905">
        <v>5</v>
      </c>
      <c r="AK905">
        <v>5</v>
      </c>
      <c r="AL905" t="s">
        <v>92</v>
      </c>
      <c r="AM905" t="s">
        <v>93</v>
      </c>
      <c r="AN905" t="s">
        <v>94</v>
      </c>
      <c r="AO905" t="s">
        <v>16200</v>
      </c>
      <c r="AP905" t="s">
        <v>16201</v>
      </c>
      <c r="AQ905" t="s">
        <v>74</v>
      </c>
      <c r="AR905" t="s">
        <v>16202</v>
      </c>
      <c r="AS905" t="s">
        <v>16203</v>
      </c>
      <c r="AT905" t="s">
        <v>7207</v>
      </c>
      <c r="AU905">
        <v>2023</v>
      </c>
      <c r="AV905">
        <v>22</v>
      </c>
      <c r="AW905">
        <v>8</v>
      </c>
      <c r="AX905" t="s">
        <v>74</v>
      </c>
      <c r="AY905" t="s">
        <v>74</v>
      </c>
      <c r="AZ905" t="s">
        <v>74</v>
      </c>
      <c r="BA905" t="s">
        <v>74</v>
      </c>
      <c r="BB905">
        <v>659</v>
      </c>
      <c r="BC905">
        <v>668</v>
      </c>
      <c r="BD905" t="s">
        <v>74</v>
      </c>
      <c r="BE905" t="s">
        <v>16204</v>
      </c>
      <c r="BF905" t="str">
        <f>HYPERLINK("http://dx.doi.org/10.1080/14740338.2023.2228197","http://dx.doi.org/10.1080/14740338.2023.2228197")</f>
        <v>http://dx.doi.org/10.1080/14740338.2023.2228197</v>
      </c>
      <c r="BG905" t="s">
        <v>74</v>
      </c>
      <c r="BH905" t="s">
        <v>12687</v>
      </c>
      <c r="BI905">
        <v>10</v>
      </c>
      <c r="BJ905" t="s">
        <v>101</v>
      </c>
      <c r="BK905" t="s">
        <v>102</v>
      </c>
      <c r="BL905" t="s">
        <v>101</v>
      </c>
      <c r="BM905" t="s">
        <v>16205</v>
      </c>
      <c r="BN905">
        <v>37339273</v>
      </c>
      <c r="BO905" t="s">
        <v>74</v>
      </c>
      <c r="BP905" t="s">
        <v>74</v>
      </c>
      <c r="BQ905" t="s">
        <v>74</v>
      </c>
      <c r="BR905" t="s">
        <v>105</v>
      </c>
      <c r="BS905" t="s">
        <v>16206</v>
      </c>
      <c r="BT905" t="str">
        <f>HYPERLINK("https%3A%2F%2Fwww.webofscience.com%2Fwos%2Fwoscc%2Ffull-record%2FWOS:001020010300001","View Full Record in Web of Science")</f>
        <v>View Full Record in Web of Science</v>
      </c>
    </row>
    <row r="906" spans="1:72" x14ac:dyDescent="0.15">
      <c r="A906" t="s">
        <v>72</v>
      </c>
      <c r="B906" t="s">
        <v>16207</v>
      </c>
      <c r="C906" t="s">
        <v>74</v>
      </c>
      <c r="D906" t="s">
        <v>74</v>
      </c>
      <c r="E906" t="s">
        <v>74</v>
      </c>
      <c r="F906" t="s">
        <v>16208</v>
      </c>
      <c r="G906" t="s">
        <v>74</v>
      </c>
      <c r="H906" t="s">
        <v>74</v>
      </c>
      <c r="I906" t="s">
        <v>16209</v>
      </c>
      <c r="J906" t="s">
        <v>16210</v>
      </c>
      <c r="K906" t="s">
        <v>74</v>
      </c>
      <c r="L906" t="s">
        <v>74</v>
      </c>
      <c r="M906" t="s">
        <v>78</v>
      </c>
      <c r="N906" t="s">
        <v>79</v>
      </c>
      <c r="O906" t="s">
        <v>74</v>
      </c>
      <c r="P906" t="s">
        <v>74</v>
      </c>
      <c r="Q906" t="s">
        <v>74</v>
      </c>
      <c r="R906" t="s">
        <v>74</v>
      </c>
      <c r="S906" t="s">
        <v>74</v>
      </c>
      <c r="T906" t="s">
        <v>16211</v>
      </c>
      <c r="U906" t="s">
        <v>74</v>
      </c>
      <c r="V906" t="s">
        <v>16212</v>
      </c>
      <c r="W906" t="s">
        <v>16213</v>
      </c>
      <c r="X906" t="s">
        <v>16214</v>
      </c>
      <c r="Y906" t="s">
        <v>16215</v>
      </c>
      <c r="Z906" t="s">
        <v>16216</v>
      </c>
      <c r="AA906" t="s">
        <v>74</v>
      </c>
      <c r="AB906" t="s">
        <v>74</v>
      </c>
      <c r="AC906" t="s">
        <v>74</v>
      </c>
      <c r="AD906" t="s">
        <v>74</v>
      </c>
      <c r="AE906" t="s">
        <v>74</v>
      </c>
      <c r="AF906" t="s">
        <v>74</v>
      </c>
      <c r="AG906">
        <v>78</v>
      </c>
      <c r="AH906">
        <v>0</v>
      </c>
      <c r="AI906">
        <v>0</v>
      </c>
      <c r="AJ906">
        <v>1</v>
      </c>
      <c r="AK906">
        <v>1</v>
      </c>
      <c r="AL906" t="s">
        <v>92</v>
      </c>
      <c r="AM906" t="s">
        <v>93</v>
      </c>
      <c r="AN906" t="s">
        <v>94</v>
      </c>
      <c r="AO906" t="s">
        <v>16217</v>
      </c>
      <c r="AP906" t="s">
        <v>16218</v>
      </c>
      <c r="AQ906" t="s">
        <v>74</v>
      </c>
      <c r="AR906" t="s">
        <v>16219</v>
      </c>
      <c r="AS906" t="s">
        <v>16220</v>
      </c>
      <c r="AT906" t="s">
        <v>12289</v>
      </c>
      <c r="AU906">
        <v>2023</v>
      </c>
      <c r="AV906">
        <v>16</v>
      </c>
      <c r="AW906">
        <v>3</v>
      </c>
      <c r="AX906" t="s">
        <v>74</v>
      </c>
      <c r="AY906" t="s">
        <v>74</v>
      </c>
      <c r="AZ906" t="s">
        <v>74</v>
      </c>
      <c r="BA906" t="s">
        <v>74</v>
      </c>
      <c r="BB906">
        <v>537</v>
      </c>
      <c r="BC906">
        <v>559</v>
      </c>
      <c r="BD906" t="s">
        <v>74</v>
      </c>
      <c r="BE906" t="s">
        <v>16221</v>
      </c>
      <c r="BF906" t="str">
        <f>HYPERLINK("http://dx.doi.org/10.1080/17539153.2023.2229618","http://dx.doi.org/10.1080/17539153.2023.2229618")</f>
        <v>http://dx.doi.org/10.1080/17539153.2023.2229618</v>
      </c>
      <c r="BG906" t="s">
        <v>74</v>
      </c>
      <c r="BH906" t="s">
        <v>12687</v>
      </c>
      <c r="BI906">
        <v>23</v>
      </c>
      <c r="BJ906" t="s">
        <v>6893</v>
      </c>
      <c r="BK906" t="s">
        <v>211</v>
      </c>
      <c r="BL906" t="s">
        <v>6894</v>
      </c>
      <c r="BM906" t="s">
        <v>16222</v>
      </c>
      <c r="BN906" t="s">
        <v>74</v>
      </c>
      <c r="BO906" t="s">
        <v>74</v>
      </c>
      <c r="BP906" t="s">
        <v>74</v>
      </c>
      <c r="BQ906" t="s">
        <v>74</v>
      </c>
      <c r="BR906" t="s">
        <v>105</v>
      </c>
      <c r="BS906" t="s">
        <v>16223</v>
      </c>
      <c r="BT906" t="str">
        <f>HYPERLINK("https%3A%2F%2Fwww.webofscience.com%2Fwos%2Fwoscc%2Ffull-record%2FWOS:001018759900001","View Full Record in Web of Science")</f>
        <v>View Full Record in Web of Science</v>
      </c>
    </row>
    <row r="907" spans="1:72" x14ac:dyDescent="0.15">
      <c r="A907" t="s">
        <v>72</v>
      </c>
      <c r="B907" t="s">
        <v>16224</v>
      </c>
      <c r="C907" t="s">
        <v>74</v>
      </c>
      <c r="D907" t="s">
        <v>74</v>
      </c>
      <c r="E907" t="s">
        <v>74</v>
      </c>
      <c r="F907" t="s">
        <v>16225</v>
      </c>
      <c r="G907" t="s">
        <v>74</v>
      </c>
      <c r="H907" t="s">
        <v>74</v>
      </c>
      <c r="I907" t="s">
        <v>16226</v>
      </c>
      <c r="J907" t="s">
        <v>16227</v>
      </c>
      <c r="K907" t="s">
        <v>74</v>
      </c>
      <c r="L907" t="s">
        <v>74</v>
      </c>
      <c r="M907" t="s">
        <v>78</v>
      </c>
      <c r="N907" t="s">
        <v>5492</v>
      </c>
      <c r="O907" t="s">
        <v>74</v>
      </c>
      <c r="P907" t="s">
        <v>74</v>
      </c>
      <c r="Q907" t="s">
        <v>74</v>
      </c>
      <c r="R907" t="s">
        <v>74</v>
      </c>
      <c r="S907" t="s">
        <v>74</v>
      </c>
      <c r="T907" t="s">
        <v>74</v>
      </c>
      <c r="U907" t="s">
        <v>74</v>
      </c>
      <c r="V907" t="s">
        <v>16228</v>
      </c>
      <c r="W907" t="s">
        <v>74</v>
      </c>
      <c r="X907" t="s">
        <v>74</v>
      </c>
      <c r="Y907" t="s">
        <v>74</v>
      </c>
      <c r="Z907" t="s">
        <v>74</v>
      </c>
      <c r="AA907" t="s">
        <v>74</v>
      </c>
      <c r="AB907" t="s">
        <v>74</v>
      </c>
      <c r="AC907" t="s">
        <v>74</v>
      </c>
      <c r="AD907" t="s">
        <v>74</v>
      </c>
      <c r="AE907" t="s">
        <v>74</v>
      </c>
      <c r="AF907" t="s">
        <v>74</v>
      </c>
      <c r="AG907">
        <v>61</v>
      </c>
      <c r="AH907">
        <v>0</v>
      </c>
      <c r="AI907">
        <v>0</v>
      </c>
      <c r="AJ907">
        <v>1</v>
      </c>
      <c r="AK907">
        <v>1</v>
      </c>
      <c r="AL907" t="s">
        <v>1188</v>
      </c>
      <c r="AM907" t="s">
        <v>93</v>
      </c>
      <c r="AN907" t="s">
        <v>1189</v>
      </c>
      <c r="AO907" t="s">
        <v>16229</v>
      </c>
      <c r="AP907" t="s">
        <v>16230</v>
      </c>
      <c r="AQ907" t="s">
        <v>74</v>
      </c>
      <c r="AR907" t="s">
        <v>16231</v>
      </c>
      <c r="AS907" t="s">
        <v>16232</v>
      </c>
      <c r="AT907" t="s">
        <v>16166</v>
      </c>
      <c r="AU907">
        <v>2023</v>
      </c>
      <c r="AV907" t="s">
        <v>74</v>
      </c>
      <c r="AW907" t="s">
        <v>74</v>
      </c>
      <c r="AX907" t="s">
        <v>74</v>
      </c>
      <c r="AY907" t="s">
        <v>74</v>
      </c>
      <c r="AZ907" t="s">
        <v>74</v>
      </c>
      <c r="BA907" t="s">
        <v>74</v>
      </c>
      <c r="BB907" t="s">
        <v>74</v>
      </c>
      <c r="BC907" t="s">
        <v>74</v>
      </c>
      <c r="BD907" t="s">
        <v>74</v>
      </c>
      <c r="BE907" t="s">
        <v>16233</v>
      </c>
      <c r="BF907" t="str">
        <f>HYPERLINK("http://dx.doi.org/10.1080/03071847.2023.2229652","http://dx.doi.org/10.1080/03071847.2023.2229652")</f>
        <v>http://dx.doi.org/10.1080/03071847.2023.2229652</v>
      </c>
      <c r="BG907" t="s">
        <v>74</v>
      </c>
      <c r="BH907" t="s">
        <v>12687</v>
      </c>
      <c r="BI907">
        <v>9</v>
      </c>
      <c r="BJ907" t="s">
        <v>6893</v>
      </c>
      <c r="BK907" t="s">
        <v>211</v>
      </c>
      <c r="BL907" t="s">
        <v>6894</v>
      </c>
      <c r="BM907" t="s">
        <v>16234</v>
      </c>
      <c r="BN907" t="s">
        <v>74</v>
      </c>
      <c r="BO907" t="s">
        <v>74</v>
      </c>
      <c r="BP907" t="s">
        <v>74</v>
      </c>
      <c r="BQ907" t="s">
        <v>74</v>
      </c>
      <c r="BR907" t="s">
        <v>105</v>
      </c>
      <c r="BS907" t="s">
        <v>16235</v>
      </c>
      <c r="BT907" t="str">
        <f>HYPERLINK("https%3A%2F%2Fwww.webofscience.com%2Fwos%2Fwoscc%2Ffull-record%2FWOS:001024903900001","View Full Record in Web of Science")</f>
        <v>View Full Record in Web of Science</v>
      </c>
    </row>
    <row r="908" spans="1:72" x14ac:dyDescent="0.15">
      <c r="A908" t="s">
        <v>72</v>
      </c>
      <c r="B908" t="s">
        <v>16236</v>
      </c>
      <c r="C908" t="s">
        <v>74</v>
      </c>
      <c r="D908" t="s">
        <v>74</v>
      </c>
      <c r="E908" t="s">
        <v>74</v>
      </c>
      <c r="F908" t="s">
        <v>16237</v>
      </c>
      <c r="G908" t="s">
        <v>74</v>
      </c>
      <c r="H908" t="s">
        <v>74</v>
      </c>
      <c r="I908" t="s">
        <v>16238</v>
      </c>
      <c r="J908" t="s">
        <v>16239</v>
      </c>
      <c r="K908" t="s">
        <v>74</v>
      </c>
      <c r="L908" t="s">
        <v>74</v>
      </c>
      <c r="M908" t="s">
        <v>78</v>
      </c>
      <c r="N908" t="s">
        <v>5492</v>
      </c>
      <c r="O908" t="s">
        <v>74</v>
      </c>
      <c r="P908" t="s">
        <v>74</v>
      </c>
      <c r="Q908" t="s">
        <v>74</v>
      </c>
      <c r="R908" t="s">
        <v>74</v>
      </c>
      <c r="S908" t="s">
        <v>74</v>
      </c>
      <c r="T908" t="s">
        <v>16240</v>
      </c>
      <c r="U908" t="s">
        <v>16241</v>
      </c>
      <c r="V908" t="s">
        <v>16242</v>
      </c>
      <c r="W908" t="s">
        <v>16243</v>
      </c>
      <c r="X908" t="s">
        <v>16244</v>
      </c>
      <c r="Y908" t="s">
        <v>16245</v>
      </c>
      <c r="Z908" t="s">
        <v>16246</v>
      </c>
      <c r="AA908" t="s">
        <v>74</v>
      </c>
      <c r="AB908" t="s">
        <v>74</v>
      </c>
      <c r="AC908" t="s">
        <v>74</v>
      </c>
      <c r="AD908" t="s">
        <v>74</v>
      </c>
      <c r="AE908" t="s">
        <v>74</v>
      </c>
      <c r="AF908" t="s">
        <v>74</v>
      </c>
      <c r="AG908">
        <v>36</v>
      </c>
      <c r="AH908">
        <v>0</v>
      </c>
      <c r="AI908">
        <v>0</v>
      </c>
      <c r="AJ908">
        <v>6</v>
      </c>
      <c r="AK908">
        <v>6</v>
      </c>
      <c r="AL908" t="s">
        <v>1188</v>
      </c>
      <c r="AM908" t="s">
        <v>93</v>
      </c>
      <c r="AN908" t="s">
        <v>1189</v>
      </c>
      <c r="AO908" t="s">
        <v>16247</v>
      </c>
      <c r="AP908" t="s">
        <v>16248</v>
      </c>
      <c r="AQ908" t="s">
        <v>74</v>
      </c>
      <c r="AR908" t="s">
        <v>16249</v>
      </c>
      <c r="AS908" t="s">
        <v>16250</v>
      </c>
      <c r="AT908" t="s">
        <v>16166</v>
      </c>
      <c r="AU908">
        <v>2023</v>
      </c>
      <c r="AV908" t="s">
        <v>74</v>
      </c>
      <c r="AW908" t="s">
        <v>74</v>
      </c>
      <c r="AX908" t="s">
        <v>74</v>
      </c>
      <c r="AY908" t="s">
        <v>74</v>
      </c>
      <c r="AZ908" t="s">
        <v>74</v>
      </c>
      <c r="BA908" t="s">
        <v>74</v>
      </c>
      <c r="BB908" t="s">
        <v>74</v>
      </c>
      <c r="BC908" t="s">
        <v>74</v>
      </c>
      <c r="BD908" t="s">
        <v>74</v>
      </c>
      <c r="BE908" t="s">
        <v>16251</v>
      </c>
      <c r="BF908" t="str">
        <f>HYPERLINK("http://dx.doi.org/10.1080/17439760.2023.2230455","http://dx.doi.org/10.1080/17439760.2023.2230455")</f>
        <v>http://dx.doi.org/10.1080/17439760.2023.2230455</v>
      </c>
      <c r="BG908" t="s">
        <v>74</v>
      </c>
      <c r="BH908" t="s">
        <v>12687</v>
      </c>
      <c r="BI908">
        <v>12</v>
      </c>
      <c r="BJ908" t="s">
        <v>1690</v>
      </c>
      <c r="BK908" t="s">
        <v>272</v>
      </c>
      <c r="BL908" t="s">
        <v>1691</v>
      </c>
      <c r="BM908" t="s">
        <v>16252</v>
      </c>
      <c r="BN908" t="s">
        <v>74</v>
      </c>
      <c r="BO908" t="s">
        <v>74</v>
      </c>
      <c r="BP908" t="s">
        <v>74</v>
      </c>
      <c r="BQ908" t="s">
        <v>74</v>
      </c>
      <c r="BR908" t="s">
        <v>105</v>
      </c>
      <c r="BS908" t="s">
        <v>16253</v>
      </c>
      <c r="BT908" t="str">
        <f>HYPERLINK("https%3A%2F%2Fwww.webofscience.com%2Fwos%2Fwoscc%2Ffull-record%2FWOS:001020029000001","View Full Record in Web of Science")</f>
        <v>View Full Record in Web of Science</v>
      </c>
    </row>
    <row r="909" spans="1:72" x14ac:dyDescent="0.15">
      <c r="A909" t="s">
        <v>72</v>
      </c>
      <c r="B909" t="s">
        <v>16254</v>
      </c>
      <c r="C909" t="s">
        <v>74</v>
      </c>
      <c r="D909" t="s">
        <v>74</v>
      </c>
      <c r="E909" t="s">
        <v>74</v>
      </c>
      <c r="F909" t="s">
        <v>16255</v>
      </c>
      <c r="G909" t="s">
        <v>74</v>
      </c>
      <c r="H909" t="s">
        <v>74</v>
      </c>
      <c r="I909" t="s">
        <v>16256</v>
      </c>
      <c r="J909" t="s">
        <v>16257</v>
      </c>
      <c r="K909" t="s">
        <v>74</v>
      </c>
      <c r="L909" t="s">
        <v>74</v>
      </c>
      <c r="M909" t="s">
        <v>78</v>
      </c>
      <c r="N909" t="s">
        <v>5492</v>
      </c>
      <c r="O909" t="s">
        <v>74</v>
      </c>
      <c r="P909" t="s">
        <v>74</v>
      </c>
      <c r="Q909" t="s">
        <v>74</v>
      </c>
      <c r="R909" t="s">
        <v>74</v>
      </c>
      <c r="S909" t="s">
        <v>74</v>
      </c>
      <c r="T909" t="s">
        <v>16258</v>
      </c>
      <c r="U909" t="s">
        <v>16259</v>
      </c>
      <c r="V909" t="s">
        <v>16260</v>
      </c>
      <c r="W909" t="s">
        <v>16261</v>
      </c>
      <c r="X909" t="s">
        <v>74</v>
      </c>
      <c r="Y909" t="s">
        <v>16262</v>
      </c>
      <c r="Z909" t="s">
        <v>16263</v>
      </c>
      <c r="AA909" t="s">
        <v>74</v>
      </c>
      <c r="AB909" t="s">
        <v>74</v>
      </c>
      <c r="AC909" t="s">
        <v>74</v>
      </c>
      <c r="AD909" t="s">
        <v>74</v>
      </c>
      <c r="AE909" t="s">
        <v>74</v>
      </c>
      <c r="AF909" t="s">
        <v>74</v>
      </c>
      <c r="AG909">
        <v>75</v>
      </c>
      <c r="AH909">
        <v>0</v>
      </c>
      <c r="AI909">
        <v>0</v>
      </c>
      <c r="AJ909">
        <v>0</v>
      </c>
      <c r="AK909">
        <v>0</v>
      </c>
      <c r="AL909" t="s">
        <v>1188</v>
      </c>
      <c r="AM909" t="s">
        <v>93</v>
      </c>
      <c r="AN909" t="s">
        <v>1189</v>
      </c>
      <c r="AO909" t="s">
        <v>16264</v>
      </c>
      <c r="AP909" t="s">
        <v>16265</v>
      </c>
      <c r="AQ909" t="s">
        <v>74</v>
      </c>
      <c r="AR909" t="s">
        <v>16266</v>
      </c>
      <c r="AS909" t="s">
        <v>16267</v>
      </c>
      <c r="AT909" t="s">
        <v>16166</v>
      </c>
      <c r="AU909">
        <v>2023</v>
      </c>
      <c r="AV909" t="s">
        <v>74</v>
      </c>
      <c r="AW909" t="s">
        <v>74</v>
      </c>
      <c r="AX909" t="s">
        <v>74</v>
      </c>
      <c r="AY909" t="s">
        <v>74</v>
      </c>
      <c r="AZ909" t="s">
        <v>74</v>
      </c>
      <c r="BA909" t="s">
        <v>74</v>
      </c>
      <c r="BB909" t="s">
        <v>74</v>
      </c>
      <c r="BC909" t="s">
        <v>74</v>
      </c>
      <c r="BD909" t="s">
        <v>74</v>
      </c>
      <c r="BE909" t="s">
        <v>16268</v>
      </c>
      <c r="BF909" t="str">
        <f>HYPERLINK("http://dx.doi.org/10.1080/19376812.2023.2232779","http://dx.doi.org/10.1080/19376812.2023.2232779")</f>
        <v>http://dx.doi.org/10.1080/19376812.2023.2232779</v>
      </c>
      <c r="BG909" t="s">
        <v>74</v>
      </c>
      <c r="BH909" t="s">
        <v>12687</v>
      </c>
      <c r="BI909">
        <v>13</v>
      </c>
      <c r="BJ909" t="s">
        <v>1194</v>
      </c>
      <c r="BK909" t="s">
        <v>211</v>
      </c>
      <c r="BL909" t="s">
        <v>1194</v>
      </c>
      <c r="BM909" t="s">
        <v>16269</v>
      </c>
      <c r="BN909" t="s">
        <v>74</v>
      </c>
      <c r="BO909" t="s">
        <v>74</v>
      </c>
      <c r="BP909" t="s">
        <v>74</v>
      </c>
      <c r="BQ909" t="s">
        <v>74</v>
      </c>
      <c r="BR909" t="s">
        <v>105</v>
      </c>
      <c r="BS909" t="s">
        <v>16270</v>
      </c>
      <c r="BT909" t="str">
        <f>HYPERLINK("https%3A%2F%2Fwww.webofscience.com%2Fwos%2Fwoscc%2Ffull-record%2FWOS:001018756900001","View Full Record in Web of Science")</f>
        <v>View Full Record in Web of Science</v>
      </c>
    </row>
    <row r="910" spans="1:72" x14ac:dyDescent="0.15">
      <c r="A910" t="s">
        <v>72</v>
      </c>
      <c r="B910" t="s">
        <v>16271</v>
      </c>
      <c r="C910" t="s">
        <v>74</v>
      </c>
      <c r="D910" t="s">
        <v>74</v>
      </c>
      <c r="E910" t="s">
        <v>74</v>
      </c>
      <c r="F910" t="s">
        <v>16272</v>
      </c>
      <c r="G910" t="s">
        <v>74</v>
      </c>
      <c r="H910" t="s">
        <v>74</v>
      </c>
      <c r="I910" t="s">
        <v>16273</v>
      </c>
      <c r="J910" t="s">
        <v>9602</v>
      </c>
      <c r="K910" t="s">
        <v>74</v>
      </c>
      <c r="L910" t="s">
        <v>74</v>
      </c>
      <c r="M910" t="s">
        <v>78</v>
      </c>
      <c r="N910" t="s">
        <v>5492</v>
      </c>
      <c r="O910" t="s">
        <v>74</v>
      </c>
      <c r="P910" t="s">
        <v>74</v>
      </c>
      <c r="Q910" t="s">
        <v>74</v>
      </c>
      <c r="R910" t="s">
        <v>74</v>
      </c>
      <c r="S910" t="s">
        <v>74</v>
      </c>
      <c r="T910" t="s">
        <v>16274</v>
      </c>
      <c r="U910" t="s">
        <v>16275</v>
      </c>
      <c r="V910" t="s">
        <v>16276</v>
      </c>
      <c r="W910" t="s">
        <v>16277</v>
      </c>
      <c r="X910" t="s">
        <v>16278</v>
      </c>
      <c r="Y910" t="s">
        <v>16279</v>
      </c>
      <c r="Z910" t="s">
        <v>16280</v>
      </c>
      <c r="AA910" t="s">
        <v>74</v>
      </c>
      <c r="AB910" t="s">
        <v>74</v>
      </c>
      <c r="AC910" t="s">
        <v>74</v>
      </c>
      <c r="AD910" t="s">
        <v>74</v>
      </c>
      <c r="AE910" t="s">
        <v>74</v>
      </c>
      <c r="AF910" t="s">
        <v>74</v>
      </c>
      <c r="AG910">
        <v>38</v>
      </c>
      <c r="AH910">
        <v>0</v>
      </c>
      <c r="AI910">
        <v>0</v>
      </c>
      <c r="AJ910">
        <v>0</v>
      </c>
      <c r="AK910">
        <v>0</v>
      </c>
      <c r="AL910" t="s">
        <v>1188</v>
      </c>
      <c r="AM910" t="s">
        <v>93</v>
      </c>
      <c r="AN910" t="s">
        <v>1189</v>
      </c>
      <c r="AO910" t="s">
        <v>9610</v>
      </c>
      <c r="AP910" t="s">
        <v>9611</v>
      </c>
      <c r="AQ910" t="s">
        <v>74</v>
      </c>
      <c r="AR910" t="s">
        <v>9612</v>
      </c>
      <c r="AS910" t="s">
        <v>9613</v>
      </c>
      <c r="AT910" t="s">
        <v>16166</v>
      </c>
      <c r="AU910">
        <v>2023</v>
      </c>
      <c r="AV910" t="s">
        <v>74</v>
      </c>
      <c r="AW910" t="s">
        <v>74</v>
      </c>
      <c r="AX910" t="s">
        <v>74</v>
      </c>
      <c r="AY910" t="s">
        <v>74</v>
      </c>
      <c r="AZ910" t="s">
        <v>74</v>
      </c>
      <c r="BA910" t="s">
        <v>74</v>
      </c>
      <c r="BB910" t="s">
        <v>74</v>
      </c>
      <c r="BC910" t="s">
        <v>74</v>
      </c>
      <c r="BD910" t="s">
        <v>74</v>
      </c>
      <c r="BE910" t="s">
        <v>16281</v>
      </c>
      <c r="BF910" t="str">
        <f>HYPERLINK("http://dx.doi.org/10.1080/10570314.2023.2230950","http://dx.doi.org/10.1080/10570314.2023.2230950")</f>
        <v>http://dx.doi.org/10.1080/10570314.2023.2230950</v>
      </c>
      <c r="BG910" t="s">
        <v>74</v>
      </c>
      <c r="BH910" t="s">
        <v>12687</v>
      </c>
      <c r="BI910">
        <v>22</v>
      </c>
      <c r="BJ910" t="s">
        <v>7911</v>
      </c>
      <c r="BK910" t="s">
        <v>211</v>
      </c>
      <c r="BL910" t="s">
        <v>7911</v>
      </c>
      <c r="BM910" t="s">
        <v>16282</v>
      </c>
      <c r="BN910" t="s">
        <v>74</v>
      </c>
      <c r="BO910" t="s">
        <v>74</v>
      </c>
      <c r="BP910" t="s">
        <v>74</v>
      </c>
      <c r="BQ910" t="s">
        <v>74</v>
      </c>
      <c r="BR910" t="s">
        <v>105</v>
      </c>
      <c r="BS910" t="s">
        <v>16283</v>
      </c>
      <c r="BT910" t="str">
        <f>HYPERLINK("https%3A%2F%2Fwww.webofscience.com%2Fwos%2Fwoscc%2Ffull-record%2FWOS:001022969600001","View Full Record in Web of Science")</f>
        <v>View Full Record in Web of Science</v>
      </c>
    </row>
    <row r="911" spans="1:72" x14ac:dyDescent="0.15">
      <c r="A911" t="s">
        <v>72</v>
      </c>
      <c r="B911" t="s">
        <v>16284</v>
      </c>
      <c r="C911" t="s">
        <v>74</v>
      </c>
      <c r="D911" t="s">
        <v>74</v>
      </c>
      <c r="E911" t="s">
        <v>74</v>
      </c>
      <c r="F911" t="s">
        <v>16285</v>
      </c>
      <c r="G911" t="s">
        <v>74</v>
      </c>
      <c r="H911" t="s">
        <v>74</v>
      </c>
      <c r="I911" t="s">
        <v>16286</v>
      </c>
      <c r="J911" t="s">
        <v>9906</v>
      </c>
      <c r="K911" t="s">
        <v>74</v>
      </c>
      <c r="L911" t="s">
        <v>74</v>
      </c>
      <c r="M911" t="s">
        <v>78</v>
      </c>
      <c r="N911" t="s">
        <v>5492</v>
      </c>
      <c r="O911" t="s">
        <v>74</v>
      </c>
      <c r="P911" t="s">
        <v>74</v>
      </c>
      <c r="Q911" t="s">
        <v>74</v>
      </c>
      <c r="R911" t="s">
        <v>74</v>
      </c>
      <c r="S911" t="s">
        <v>74</v>
      </c>
      <c r="T911" t="s">
        <v>16287</v>
      </c>
      <c r="U911" t="s">
        <v>16288</v>
      </c>
      <c r="V911" t="s">
        <v>16289</v>
      </c>
      <c r="W911" t="s">
        <v>16290</v>
      </c>
      <c r="X911" t="s">
        <v>16291</v>
      </c>
      <c r="Y911" t="s">
        <v>16292</v>
      </c>
      <c r="Z911" t="s">
        <v>16293</v>
      </c>
      <c r="AA911" t="s">
        <v>74</v>
      </c>
      <c r="AB911" t="s">
        <v>74</v>
      </c>
      <c r="AC911" t="s">
        <v>74</v>
      </c>
      <c r="AD911" t="s">
        <v>74</v>
      </c>
      <c r="AE911" t="s">
        <v>74</v>
      </c>
      <c r="AF911" t="s">
        <v>74</v>
      </c>
      <c r="AG911">
        <v>59</v>
      </c>
      <c r="AH911">
        <v>0</v>
      </c>
      <c r="AI911">
        <v>0</v>
      </c>
      <c r="AJ911">
        <v>0</v>
      </c>
      <c r="AK911">
        <v>0</v>
      </c>
      <c r="AL911" t="s">
        <v>184</v>
      </c>
      <c r="AM911" t="s">
        <v>185</v>
      </c>
      <c r="AN911" t="s">
        <v>186</v>
      </c>
      <c r="AO911" t="s">
        <v>9913</v>
      </c>
      <c r="AP911" t="s">
        <v>9914</v>
      </c>
      <c r="AQ911" t="s">
        <v>74</v>
      </c>
      <c r="AR911" t="s">
        <v>9915</v>
      </c>
      <c r="AS911" t="s">
        <v>9916</v>
      </c>
      <c r="AT911" t="s">
        <v>16166</v>
      </c>
      <c r="AU911">
        <v>2023</v>
      </c>
      <c r="AV911" t="s">
        <v>74</v>
      </c>
      <c r="AW911" t="s">
        <v>74</v>
      </c>
      <c r="AX911" t="s">
        <v>74</v>
      </c>
      <c r="AY911" t="s">
        <v>74</v>
      </c>
      <c r="AZ911" t="s">
        <v>74</v>
      </c>
      <c r="BA911" t="s">
        <v>74</v>
      </c>
      <c r="BB911" t="s">
        <v>74</v>
      </c>
      <c r="BC911" t="s">
        <v>74</v>
      </c>
      <c r="BD911" t="s">
        <v>74</v>
      </c>
      <c r="BE911" t="s">
        <v>16294</v>
      </c>
      <c r="BF911" t="str">
        <f>HYPERLINK("http://dx.doi.org/10.1080/01942638.2023.2228898","http://dx.doi.org/10.1080/01942638.2023.2228898")</f>
        <v>http://dx.doi.org/10.1080/01942638.2023.2228898</v>
      </c>
      <c r="BG911" t="s">
        <v>74</v>
      </c>
      <c r="BH911" t="s">
        <v>12687</v>
      </c>
      <c r="BI911">
        <v>18</v>
      </c>
      <c r="BJ911" t="s">
        <v>9919</v>
      </c>
      <c r="BK911" t="s">
        <v>123</v>
      </c>
      <c r="BL911" t="s">
        <v>9919</v>
      </c>
      <c r="BM911" t="s">
        <v>16295</v>
      </c>
      <c r="BN911" t="s">
        <v>74</v>
      </c>
      <c r="BO911" t="s">
        <v>74</v>
      </c>
      <c r="BP911" t="s">
        <v>74</v>
      </c>
      <c r="BQ911" t="s">
        <v>74</v>
      </c>
      <c r="BR911" t="s">
        <v>105</v>
      </c>
      <c r="BS911" t="s">
        <v>16296</v>
      </c>
      <c r="BT911" t="str">
        <f>HYPERLINK("https%3A%2F%2Fwww.webofscience.com%2Fwos%2Fwoscc%2Ffull-record%2FWOS:001041382900001","View Full Record in Web of Science")</f>
        <v>View Full Record in Web of Science</v>
      </c>
    </row>
    <row r="912" spans="1:72" x14ac:dyDescent="0.15">
      <c r="A912" t="s">
        <v>72</v>
      </c>
      <c r="B912" t="s">
        <v>16297</v>
      </c>
      <c r="C912" t="s">
        <v>74</v>
      </c>
      <c r="D912" t="s">
        <v>74</v>
      </c>
      <c r="E912" t="s">
        <v>74</v>
      </c>
      <c r="F912" t="s">
        <v>16298</v>
      </c>
      <c r="G912" t="s">
        <v>74</v>
      </c>
      <c r="H912" t="s">
        <v>74</v>
      </c>
      <c r="I912" t="s">
        <v>16299</v>
      </c>
      <c r="J912" t="s">
        <v>5551</v>
      </c>
      <c r="K912" t="s">
        <v>74</v>
      </c>
      <c r="L912" t="s">
        <v>74</v>
      </c>
      <c r="M912" t="s">
        <v>78</v>
      </c>
      <c r="N912" t="s">
        <v>5492</v>
      </c>
      <c r="O912" t="s">
        <v>74</v>
      </c>
      <c r="P912" t="s">
        <v>74</v>
      </c>
      <c r="Q912" t="s">
        <v>74</v>
      </c>
      <c r="R912" t="s">
        <v>74</v>
      </c>
      <c r="S912" t="s">
        <v>74</v>
      </c>
      <c r="T912" t="s">
        <v>16300</v>
      </c>
      <c r="U912" t="s">
        <v>16301</v>
      </c>
      <c r="V912" t="s">
        <v>16302</v>
      </c>
      <c r="W912" t="s">
        <v>16303</v>
      </c>
      <c r="X912" t="s">
        <v>16304</v>
      </c>
      <c r="Y912" t="s">
        <v>16305</v>
      </c>
      <c r="Z912" t="s">
        <v>16306</v>
      </c>
      <c r="AA912" t="s">
        <v>74</v>
      </c>
      <c r="AB912" t="s">
        <v>74</v>
      </c>
      <c r="AC912" t="s">
        <v>16307</v>
      </c>
      <c r="AD912" t="s">
        <v>16308</v>
      </c>
      <c r="AE912" t="s">
        <v>16309</v>
      </c>
      <c r="AF912" t="s">
        <v>74</v>
      </c>
      <c r="AG912">
        <v>42</v>
      </c>
      <c r="AH912">
        <v>0</v>
      </c>
      <c r="AI912">
        <v>0</v>
      </c>
      <c r="AJ912">
        <v>1</v>
      </c>
      <c r="AK912">
        <v>1</v>
      </c>
      <c r="AL912" t="s">
        <v>1188</v>
      </c>
      <c r="AM912" t="s">
        <v>93</v>
      </c>
      <c r="AN912" t="s">
        <v>1189</v>
      </c>
      <c r="AO912" t="s">
        <v>5560</v>
      </c>
      <c r="AP912" t="s">
        <v>5561</v>
      </c>
      <c r="AQ912" t="s">
        <v>74</v>
      </c>
      <c r="AR912" t="s">
        <v>5562</v>
      </c>
      <c r="AS912" t="s">
        <v>5563</v>
      </c>
      <c r="AT912" t="s">
        <v>16166</v>
      </c>
      <c r="AU912">
        <v>2023</v>
      </c>
      <c r="AV912" t="s">
        <v>74</v>
      </c>
      <c r="AW912" t="s">
        <v>74</v>
      </c>
      <c r="AX912" t="s">
        <v>74</v>
      </c>
      <c r="AY912" t="s">
        <v>74</v>
      </c>
      <c r="AZ912" t="s">
        <v>74</v>
      </c>
      <c r="BA912" t="s">
        <v>74</v>
      </c>
      <c r="BB912" t="s">
        <v>74</v>
      </c>
      <c r="BC912" t="s">
        <v>74</v>
      </c>
      <c r="BD912" t="s">
        <v>74</v>
      </c>
      <c r="BE912" t="s">
        <v>16310</v>
      </c>
      <c r="BF912" t="str">
        <f>HYPERLINK("http://dx.doi.org/10.1080/07294360.2023.2228229","http://dx.doi.org/10.1080/07294360.2023.2228229")</f>
        <v>http://dx.doi.org/10.1080/07294360.2023.2228229</v>
      </c>
      <c r="BG912" t="s">
        <v>74</v>
      </c>
      <c r="BH912" t="s">
        <v>12687</v>
      </c>
      <c r="BI912">
        <v>15</v>
      </c>
      <c r="BJ912" t="s">
        <v>271</v>
      </c>
      <c r="BK912" t="s">
        <v>272</v>
      </c>
      <c r="BL912" t="s">
        <v>271</v>
      </c>
      <c r="BM912" t="s">
        <v>16311</v>
      </c>
      <c r="BN912" t="s">
        <v>74</v>
      </c>
      <c r="BO912" t="s">
        <v>74</v>
      </c>
      <c r="BP912" t="s">
        <v>74</v>
      </c>
      <c r="BQ912" t="s">
        <v>74</v>
      </c>
      <c r="BR912" t="s">
        <v>105</v>
      </c>
      <c r="BS912" t="s">
        <v>16312</v>
      </c>
      <c r="BT912" t="str">
        <f>HYPERLINK("https%3A%2F%2Fwww.webofscience.com%2Fwos%2Fwoscc%2Ffull-record%2FWOS:001019809700001","View Full Record in Web of Science")</f>
        <v>View Full Record in Web of Science</v>
      </c>
    </row>
    <row r="913" spans="1:72" x14ac:dyDescent="0.15">
      <c r="A913" t="s">
        <v>72</v>
      </c>
      <c r="B913" t="s">
        <v>16313</v>
      </c>
      <c r="C913" t="s">
        <v>74</v>
      </c>
      <c r="D913" t="s">
        <v>74</v>
      </c>
      <c r="E913" t="s">
        <v>74</v>
      </c>
      <c r="F913" t="s">
        <v>16314</v>
      </c>
      <c r="G913" t="s">
        <v>74</v>
      </c>
      <c r="H913" t="s">
        <v>74</v>
      </c>
      <c r="I913" t="s">
        <v>16315</v>
      </c>
      <c r="J913" t="s">
        <v>16316</v>
      </c>
      <c r="K913" t="s">
        <v>74</v>
      </c>
      <c r="L913" t="s">
        <v>74</v>
      </c>
      <c r="M913" t="s">
        <v>78</v>
      </c>
      <c r="N913" t="s">
        <v>5492</v>
      </c>
      <c r="O913" t="s">
        <v>74</v>
      </c>
      <c r="P913" t="s">
        <v>74</v>
      </c>
      <c r="Q913" t="s">
        <v>74</v>
      </c>
      <c r="R913" t="s">
        <v>74</v>
      </c>
      <c r="S913" t="s">
        <v>74</v>
      </c>
      <c r="T913" t="s">
        <v>16317</v>
      </c>
      <c r="U913" t="s">
        <v>16318</v>
      </c>
      <c r="V913" t="s">
        <v>16319</v>
      </c>
      <c r="W913" t="s">
        <v>16320</v>
      </c>
      <c r="X913" t="s">
        <v>16321</v>
      </c>
      <c r="Y913" t="s">
        <v>16322</v>
      </c>
      <c r="Z913" t="s">
        <v>16323</v>
      </c>
      <c r="AA913" t="s">
        <v>74</v>
      </c>
      <c r="AB913" t="s">
        <v>74</v>
      </c>
      <c r="AC913" t="s">
        <v>74</v>
      </c>
      <c r="AD913" t="s">
        <v>74</v>
      </c>
      <c r="AE913" t="s">
        <v>74</v>
      </c>
      <c r="AF913" t="s">
        <v>74</v>
      </c>
      <c r="AG913">
        <v>35</v>
      </c>
      <c r="AH913">
        <v>0</v>
      </c>
      <c r="AI913">
        <v>0</v>
      </c>
      <c r="AJ913">
        <v>1</v>
      </c>
      <c r="AK913">
        <v>1</v>
      </c>
      <c r="AL913" t="s">
        <v>92</v>
      </c>
      <c r="AM913" t="s">
        <v>93</v>
      </c>
      <c r="AN913" t="s">
        <v>94</v>
      </c>
      <c r="AO913" t="s">
        <v>16324</v>
      </c>
      <c r="AP913" t="s">
        <v>16325</v>
      </c>
      <c r="AQ913" t="s">
        <v>74</v>
      </c>
      <c r="AR913" t="s">
        <v>16326</v>
      </c>
      <c r="AS913" t="s">
        <v>16327</v>
      </c>
      <c r="AT913" t="s">
        <v>16166</v>
      </c>
      <c r="AU913">
        <v>2023</v>
      </c>
      <c r="AV913" t="s">
        <v>74</v>
      </c>
      <c r="AW913" t="s">
        <v>74</v>
      </c>
      <c r="AX913" t="s">
        <v>74</v>
      </c>
      <c r="AY913" t="s">
        <v>74</v>
      </c>
      <c r="AZ913" t="s">
        <v>74</v>
      </c>
      <c r="BA913" t="s">
        <v>74</v>
      </c>
      <c r="BB913" t="s">
        <v>74</v>
      </c>
      <c r="BC913" t="s">
        <v>74</v>
      </c>
      <c r="BD913" t="s">
        <v>74</v>
      </c>
      <c r="BE913" t="s">
        <v>16328</v>
      </c>
      <c r="BF913" t="str">
        <f>HYPERLINK("http://dx.doi.org/10.1080/24733938.2023.2228279","http://dx.doi.org/10.1080/24733938.2023.2228279")</f>
        <v>http://dx.doi.org/10.1080/24733938.2023.2228279</v>
      </c>
      <c r="BG913" t="s">
        <v>74</v>
      </c>
      <c r="BH913" t="s">
        <v>12687</v>
      </c>
      <c r="BI913">
        <v>5</v>
      </c>
      <c r="BJ913" t="s">
        <v>9416</v>
      </c>
      <c r="BK913" t="s">
        <v>102</v>
      </c>
      <c r="BL913" t="s">
        <v>9416</v>
      </c>
      <c r="BM913" t="s">
        <v>16329</v>
      </c>
      <c r="BN913">
        <v>37352118</v>
      </c>
      <c r="BO913" t="s">
        <v>887</v>
      </c>
      <c r="BP913" t="s">
        <v>74</v>
      </c>
      <c r="BQ913" t="s">
        <v>74</v>
      </c>
      <c r="BR913" t="s">
        <v>105</v>
      </c>
      <c r="BS913" t="s">
        <v>16330</v>
      </c>
      <c r="BT913" t="str">
        <f>HYPERLINK("https%3A%2F%2Fwww.webofscience.com%2Fwos%2Fwoscc%2Ffull-record%2FWOS:001020038400001","View Full Record in Web of Science")</f>
        <v>View Full Record in Web of Science</v>
      </c>
    </row>
    <row r="914" spans="1:72" x14ac:dyDescent="0.15">
      <c r="A914" t="s">
        <v>72</v>
      </c>
      <c r="B914" t="s">
        <v>16331</v>
      </c>
      <c r="C914" t="s">
        <v>74</v>
      </c>
      <c r="D914" t="s">
        <v>74</v>
      </c>
      <c r="E914" t="s">
        <v>74</v>
      </c>
      <c r="F914" t="s">
        <v>16332</v>
      </c>
      <c r="G914" t="s">
        <v>74</v>
      </c>
      <c r="H914" t="s">
        <v>74</v>
      </c>
      <c r="I914" t="s">
        <v>16333</v>
      </c>
      <c r="J914" t="s">
        <v>13434</v>
      </c>
      <c r="K914" t="s">
        <v>74</v>
      </c>
      <c r="L914" t="s">
        <v>74</v>
      </c>
      <c r="M914" t="s">
        <v>78</v>
      </c>
      <c r="N914" t="s">
        <v>5492</v>
      </c>
      <c r="O914" t="s">
        <v>74</v>
      </c>
      <c r="P914" t="s">
        <v>74</v>
      </c>
      <c r="Q914" t="s">
        <v>74</v>
      </c>
      <c r="R914" t="s">
        <v>74</v>
      </c>
      <c r="S914" t="s">
        <v>74</v>
      </c>
      <c r="T914" t="s">
        <v>74</v>
      </c>
      <c r="U914" t="s">
        <v>16334</v>
      </c>
      <c r="V914" t="s">
        <v>16335</v>
      </c>
      <c r="W914" t="s">
        <v>74</v>
      </c>
      <c r="X914" t="s">
        <v>74</v>
      </c>
      <c r="Y914" t="s">
        <v>74</v>
      </c>
      <c r="Z914" t="s">
        <v>16336</v>
      </c>
      <c r="AA914" t="s">
        <v>74</v>
      </c>
      <c r="AB914" t="s">
        <v>74</v>
      </c>
      <c r="AC914" t="s">
        <v>74</v>
      </c>
      <c r="AD914" t="s">
        <v>74</v>
      </c>
      <c r="AE914" t="s">
        <v>74</v>
      </c>
      <c r="AF914" t="s">
        <v>74</v>
      </c>
      <c r="AG914">
        <v>70</v>
      </c>
      <c r="AH914">
        <v>0</v>
      </c>
      <c r="AI914">
        <v>0</v>
      </c>
      <c r="AJ914">
        <v>3</v>
      </c>
      <c r="AK914">
        <v>3</v>
      </c>
      <c r="AL914" t="s">
        <v>1188</v>
      </c>
      <c r="AM914" t="s">
        <v>93</v>
      </c>
      <c r="AN914" t="s">
        <v>1189</v>
      </c>
      <c r="AO914" t="s">
        <v>13443</v>
      </c>
      <c r="AP914" t="s">
        <v>13444</v>
      </c>
      <c r="AQ914" t="s">
        <v>74</v>
      </c>
      <c r="AR914" t="s">
        <v>13445</v>
      </c>
      <c r="AS914" t="s">
        <v>13446</v>
      </c>
      <c r="AT914" t="s">
        <v>16166</v>
      </c>
      <c r="AU914">
        <v>2023</v>
      </c>
      <c r="AV914" t="s">
        <v>74</v>
      </c>
      <c r="AW914" t="s">
        <v>74</v>
      </c>
      <c r="AX914" t="s">
        <v>74</v>
      </c>
      <c r="AY914" t="s">
        <v>74</v>
      </c>
      <c r="AZ914" t="s">
        <v>74</v>
      </c>
      <c r="BA914" t="s">
        <v>74</v>
      </c>
      <c r="BB914" t="s">
        <v>74</v>
      </c>
      <c r="BC914" t="s">
        <v>74</v>
      </c>
      <c r="BD914" t="s">
        <v>74</v>
      </c>
      <c r="BE914" t="s">
        <v>16337</v>
      </c>
      <c r="BF914" t="str">
        <f>HYPERLINK("http://dx.doi.org/10.1080/09644008.2023.2232308","http://dx.doi.org/10.1080/09644008.2023.2232308")</f>
        <v>http://dx.doi.org/10.1080/09644008.2023.2232308</v>
      </c>
      <c r="BG914" t="s">
        <v>74</v>
      </c>
      <c r="BH914" t="s">
        <v>12687</v>
      </c>
      <c r="BI914">
        <v>27</v>
      </c>
      <c r="BJ914" t="s">
        <v>6893</v>
      </c>
      <c r="BK914" t="s">
        <v>272</v>
      </c>
      <c r="BL914" t="s">
        <v>6894</v>
      </c>
      <c r="BM914" t="s">
        <v>16338</v>
      </c>
      <c r="BN914" t="s">
        <v>74</v>
      </c>
      <c r="BO914" t="s">
        <v>74</v>
      </c>
      <c r="BP914" t="s">
        <v>74</v>
      </c>
      <c r="BQ914" t="s">
        <v>74</v>
      </c>
      <c r="BR914" t="s">
        <v>105</v>
      </c>
      <c r="BS914" t="s">
        <v>16339</v>
      </c>
      <c r="BT914" t="str">
        <f>HYPERLINK("https%3A%2F%2Fwww.webofscience.com%2Fwos%2Fwoscc%2Ffull-record%2FWOS:001019802800001","View Full Record in Web of Science")</f>
        <v>View Full Record in Web of Science</v>
      </c>
    </row>
    <row r="915" spans="1:72" x14ac:dyDescent="0.15">
      <c r="A915" t="s">
        <v>72</v>
      </c>
      <c r="B915" t="s">
        <v>16340</v>
      </c>
      <c r="C915" t="s">
        <v>74</v>
      </c>
      <c r="D915" t="s">
        <v>74</v>
      </c>
      <c r="E915" t="s">
        <v>74</v>
      </c>
      <c r="F915" t="s">
        <v>16341</v>
      </c>
      <c r="G915" t="s">
        <v>74</v>
      </c>
      <c r="H915" t="s">
        <v>74</v>
      </c>
      <c r="I915" t="s">
        <v>16342</v>
      </c>
      <c r="J915" t="s">
        <v>16343</v>
      </c>
      <c r="K915" t="s">
        <v>74</v>
      </c>
      <c r="L915" t="s">
        <v>74</v>
      </c>
      <c r="M915" t="s">
        <v>78</v>
      </c>
      <c r="N915" t="s">
        <v>5492</v>
      </c>
      <c r="O915" t="s">
        <v>74</v>
      </c>
      <c r="P915" t="s">
        <v>74</v>
      </c>
      <c r="Q915" t="s">
        <v>74</v>
      </c>
      <c r="R915" t="s">
        <v>74</v>
      </c>
      <c r="S915" t="s">
        <v>74</v>
      </c>
      <c r="T915" t="s">
        <v>16344</v>
      </c>
      <c r="U915" t="s">
        <v>74</v>
      </c>
      <c r="V915" t="s">
        <v>16345</v>
      </c>
      <c r="W915" t="s">
        <v>16346</v>
      </c>
      <c r="X915" t="s">
        <v>16347</v>
      </c>
      <c r="Y915" t="s">
        <v>16348</v>
      </c>
      <c r="Z915" t="s">
        <v>16349</v>
      </c>
      <c r="AA915" t="s">
        <v>74</v>
      </c>
      <c r="AB915" t="s">
        <v>16350</v>
      </c>
      <c r="AC915" t="s">
        <v>16351</v>
      </c>
      <c r="AD915" t="s">
        <v>16351</v>
      </c>
      <c r="AE915" t="s">
        <v>16352</v>
      </c>
      <c r="AF915" t="s">
        <v>74</v>
      </c>
      <c r="AG915">
        <v>69</v>
      </c>
      <c r="AH915">
        <v>1</v>
      </c>
      <c r="AI915">
        <v>1</v>
      </c>
      <c r="AJ915">
        <v>1</v>
      </c>
      <c r="AK915">
        <v>1</v>
      </c>
      <c r="AL915" t="s">
        <v>1188</v>
      </c>
      <c r="AM915" t="s">
        <v>93</v>
      </c>
      <c r="AN915" t="s">
        <v>1189</v>
      </c>
      <c r="AO915" t="s">
        <v>16353</v>
      </c>
      <c r="AP915" t="s">
        <v>16354</v>
      </c>
      <c r="AQ915" t="s">
        <v>74</v>
      </c>
      <c r="AR915" t="s">
        <v>16343</v>
      </c>
      <c r="AS915" t="s">
        <v>16355</v>
      </c>
      <c r="AT915" t="s">
        <v>16166</v>
      </c>
      <c r="AU915">
        <v>2023</v>
      </c>
      <c r="AV915" t="s">
        <v>74</v>
      </c>
      <c r="AW915" t="s">
        <v>74</v>
      </c>
      <c r="AX915" t="s">
        <v>74</v>
      </c>
      <c r="AY915" t="s">
        <v>74</v>
      </c>
      <c r="AZ915" t="s">
        <v>74</v>
      </c>
      <c r="BA915" t="s">
        <v>74</v>
      </c>
      <c r="BB915" t="s">
        <v>74</v>
      </c>
      <c r="BC915" t="s">
        <v>74</v>
      </c>
      <c r="BD915" t="s">
        <v>74</v>
      </c>
      <c r="BE915" t="s">
        <v>16356</v>
      </c>
      <c r="BF915" t="str">
        <f>HYPERLINK("http://dx.doi.org/10.1080/21647259.2023.2219119","http://dx.doi.org/10.1080/21647259.2023.2219119")</f>
        <v>http://dx.doi.org/10.1080/21647259.2023.2219119</v>
      </c>
      <c r="BG915" t="s">
        <v>74</v>
      </c>
      <c r="BH915" t="s">
        <v>12687</v>
      </c>
      <c r="BI915">
        <v>22</v>
      </c>
      <c r="BJ915" t="s">
        <v>8001</v>
      </c>
      <c r="BK915" t="s">
        <v>272</v>
      </c>
      <c r="BL915" t="s">
        <v>8002</v>
      </c>
      <c r="BM915" t="s">
        <v>16357</v>
      </c>
      <c r="BN915" t="s">
        <v>74</v>
      </c>
      <c r="BO915" t="s">
        <v>887</v>
      </c>
      <c r="BP915" t="s">
        <v>74</v>
      </c>
      <c r="BQ915" t="s">
        <v>74</v>
      </c>
      <c r="BR915" t="s">
        <v>105</v>
      </c>
      <c r="BS915" t="s">
        <v>16358</v>
      </c>
      <c r="BT915" t="str">
        <f>HYPERLINK("https%3A%2F%2Fwww.webofscience.com%2Fwos%2Fwoscc%2Ffull-record%2FWOS:001024475700001","View Full Record in Web of Science")</f>
        <v>View Full Record in Web of Science</v>
      </c>
    </row>
    <row r="916" spans="1:72" x14ac:dyDescent="0.15">
      <c r="A916" t="s">
        <v>72</v>
      </c>
      <c r="B916" t="s">
        <v>16359</v>
      </c>
      <c r="C916" t="s">
        <v>74</v>
      </c>
      <c r="D916" t="s">
        <v>74</v>
      </c>
      <c r="E916" t="s">
        <v>74</v>
      </c>
      <c r="F916" t="s">
        <v>16360</v>
      </c>
      <c r="G916" t="s">
        <v>74</v>
      </c>
      <c r="H916" t="s">
        <v>74</v>
      </c>
      <c r="I916" t="s">
        <v>16361</v>
      </c>
      <c r="J916" t="s">
        <v>16362</v>
      </c>
      <c r="K916" t="s">
        <v>74</v>
      </c>
      <c r="L916" t="s">
        <v>74</v>
      </c>
      <c r="M916" t="s">
        <v>78</v>
      </c>
      <c r="N916" t="s">
        <v>6754</v>
      </c>
      <c r="O916" t="s">
        <v>74</v>
      </c>
      <c r="P916" t="s">
        <v>74</v>
      </c>
      <c r="Q916" t="s">
        <v>74</v>
      </c>
      <c r="R916" t="s">
        <v>74</v>
      </c>
      <c r="S916" t="s">
        <v>74</v>
      </c>
      <c r="T916" t="s">
        <v>16363</v>
      </c>
      <c r="U916" t="s">
        <v>74</v>
      </c>
      <c r="V916" t="s">
        <v>16364</v>
      </c>
      <c r="W916" t="s">
        <v>16365</v>
      </c>
      <c r="X916" t="s">
        <v>16366</v>
      </c>
      <c r="Y916" t="s">
        <v>16367</v>
      </c>
      <c r="Z916" t="s">
        <v>16368</v>
      </c>
      <c r="AA916" t="s">
        <v>74</v>
      </c>
      <c r="AB916" t="s">
        <v>16369</v>
      </c>
      <c r="AC916" t="s">
        <v>74</v>
      </c>
      <c r="AD916" t="s">
        <v>74</v>
      </c>
      <c r="AE916" t="s">
        <v>74</v>
      </c>
      <c r="AF916" t="s">
        <v>74</v>
      </c>
      <c r="AG916">
        <v>25</v>
      </c>
      <c r="AH916">
        <v>0</v>
      </c>
      <c r="AI916">
        <v>0</v>
      </c>
      <c r="AJ916">
        <v>0</v>
      </c>
      <c r="AK916">
        <v>0</v>
      </c>
      <c r="AL916" t="s">
        <v>1188</v>
      </c>
      <c r="AM916" t="s">
        <v>93</v>
      </c>
      <c r="AN916" t="s">
        <v>1189</v>
      </c>
      <c r="AO916" t="s">
        <v>16370</v>
      </c>
      <c r="AP916" t="s">
        <v>16371</v>
      </c>
      <c r="AQ916" t="s">
        <v>74</v>
      </c>
      <c r="AR916" t="s">
        <v>16372</v>
      </c>
      <c r="AS916" t="s">
        <v>16373</v>
      </c>
      <c r="AT916" t="s">
        <v>16166</v>
      </c>
      <c r="AU916">
        <v>2023</v>
      </c>
      <c r="AV916" t="s">
        <v>74</v>
      </c>
      <c r="AW916" t="s">
        <v>74</v>
      </c>
      <c r="AX916" t="s">
        <v>74</v>
      </c>
      <c r="AY916" t="s">
        <v>74</v>
      </c>
      <c r="AZ916" t="s">
        <v>74</v>
      </c>
      <c r="BA916" t="s">
        <v>74</v>
      </c>
      <c r="BB916" t="s">
        <v>74</v>
      </c>
      <c r="BC916" t="s">
        <v>74</v>
      </c>
      <c r="BD916" t="s">
        <v>74</v>
      </c>
      <c r="BE916" t="s">
        <v>16374</v>
      </c>
      <c r="BF916" t="str">
        <f>HYPERLINK("http://dx.doi.org/10.1080/08963568.2023.2233837","http://dx.doi.org/10.1080/08963568.2023.2233837")</f>
        <v>http://dx.doi.org/10.1080/08963568.2023.2233837</v>
      </c>
      <c r="BG916" t="s">
        <v>74</v>
      </c>
      <c r="BH916" t="s">
        <v>12687</v>
      </c>
      <c r="BI916">
        <v>10</v>
      </c>
      <c r="BJ916" t="s">
        <v>13523</v>
      </c>
      <c r="BK916" t="s">
        <v>211</v>
      </c>
      <c r="BL916" t="s">
        <v>13523</v>
      </c>
      <c r="BM916" t="s">
        <v>16375</v>
      </c>
      <c r="BN916" t="s">
        <v>74</v>
      </c>
      <c r="BO916" t="s">
        <v>74</v>
      </c>
      <c r="BP916" t="s">
        <v>74</v>
      </c>
      <c r="BQ916" t="s">
        <v>74</v>
      </c>
      <c r="BR916" t="s">
        <v>105</v>
      </c>
      <c r="BS916" t="s">
        <v>16376</v>
      </c>
      <c r="BT916" t="str">
        <f>HYPERLINK("https%3A%2F%2Fwww.webofscience.com%2Fwos%2Fwoscc%2Ffull-record%2FWOS:001034532300001","View Full Record in Web of Science")</f>
        <v>View Full Record in Web of Science</v>
      </c>
    </row>
    <row r="917" spans="1:72" x14ac:dyDescent="0.15">
      <c r="A917" t="s">
        <v>72</v>
      </c>
      <c r="B917" t="s">
        <v>16377</v>
      </c>
      <c r="C917" t="s">
        <v>74</v>
      </c>
      <c r="D917" t="s">
        <v>74</v>
      </c>
      <c r="E917" t="s">
        <v>74</v>
      </c>
      <c r="F917" t="s">
        <v>16378</v>
      </c>
      <c r="G917" t="s">
        <v>74</v>
      </c>
      <c r="H917" t="s">
        <v>74</v>
      </c>
      <c r="I917" t="s">
        <v>16379</v>
      </c>
      <c r="J917" t="s">
        <v>16380</v>
      </c>
      <c r="K917" t="s">
        <v>74</v>
      </c>
      <c r="L917" t="s">
        <v>74</v>
      </c>
      <c r="M917" t="s">
        <v>78</v>
      </c>
      <c r="N917" t="s">
        <v>5492</v>
      </c>
      <c r="O917" t="s">
        <v>74</v>
      </c>
      <c r="P917" t="s">
        <v>74</v>
      </c>
      <c r="Q917" t="s">
        <v>74</v>
      </c>
      <c r="R917" t="s">
        <v>74</v>
      </c>
      <c r="S917" t="s">
        <v>74</v>
      </c>
      <c r="T917" t="s">
        <v>16381</v>
      </c>
      <c r="U917" t="s">
        <v>74</v>
      </c>
      <c r="V917" t="s">
        <v>16382</v>
      </c>
      <c r="W917" t="s">
        <v>16383</v>
      </c>
      <c r="X917" t="s">
        <v>16384</v>
      </c>
      <c r="Y917" t="s">
        <v>16385</v>
      </c>
      <c r="Z917" t="s">
        <v>16386</v>
      </c>
      <c r="AA917" t="s">
        <v>74</v>
      </c>
      <c r="AB917" t="s">
        <v>16387</v>
      </c>
      <c r="AC917" t="s">
        <v>74</v>
      </c>
      <c r="AD917" t="s">
        <v>74</v>
      </c>
      <c r="AE917" t="s">
        <v>74</v>
      </c>
      <c r="AF917" t="s">
        <v>74</v>
      </c>
      <c r="AG917">
        <v>47</v>
      </c>
      <c r="AH917">
        <v>0</v>
      </c>
      <c r="AI917">
        <v>0</v>
      </c>
      <c r="AJ917">
        <v>2</v>
      </c>
      <c r="AK917">
        <v>2</v>
      </c>
      <c r="AL917" t="s">
        <v>1188</v>
      </c>
      <c r="AM917" t="s">
        <v>93</v>
      </c>
      <c r="AN917" t="s">
        <v>1189</v>
      </c>
      <c r="AO917" t="s">
        <v>16388</v>
      </c>
      <c r="AP917" t="s">
        <v>16389</v>
      </c>
      <c r="AQ917" t="s">
        <v>74</v>
      </c>
      <c r="AR917" t="s">
        <v>16390</v>
      </c>
      <c r="AS917" t="s">
        <v>16391</v>
      </c>
      <c r="AT917" t="s">
        <v>16166</v>
      </c>
      <c r="AU917">
        <v>2023</v>
      </c>
      <c r="AV917" t="s">
        <v>74</v>
      </c>
      <c r="AW917" t="s">
        <v>74</v>
      </c>
      <c r="AX917" t="s">
        <v>74</v>
      </c>
      <c r="AY917" t="s">
        <v>74</v>
      </c>
      <c r="AZ917" t="s">
        <v>74</v>
      </c>
      <c r="BA917" t="s">
        <v>74</v>
      </c>
      <c r="BB917" t="s">
        <v>74</v>
      </c>
      <c r="BC917" t="s">
        <v>74</v>
      </c>
      <c r="BD917" t="s">
        <v>74</v>
      </c>
      <c r="BE917" t="s">
        <v>16392</v>
      </c>
      <c r="BF917" t="str">
        <f>HYPERLINK("http://dx.doi.org/10.1080/14680777.2023.2231656","http://dx.doi.org/10.1080/14680777.2023.2231656")</f>
        <v>http://dx.doi.org/10.1080/14680777.2023.2231656</v>
      </c>
      <c r="BG917" t="s">
        <v>74</v>
      </c>
      <c r="BH917" t="s">
        <v>12687</v>
      </c>
      <c r="BI917">
        <v>15</v>
      </c>
      <c r="BJ917" t="s">
        <v>16393</v>
      </c>
      <c r="BK917" t="s">
        <v>272</v>
      </c>
      <c r="BL917" t="s">
        <v>16393</v>
      </c>
      <c r="BM917" t="s">
        <v>16394</v>
      </c>
      <c r="BN917" t="s">
        <v>74</v>
      </c>
      <c r="BO917" t="s">
        <v>74</v>
      </c>
      <c r="BP917" t="s">
        <v>74</v>
      </c>
      <c r="BQ917" t="s">
        <v>74</v>
      </c>
      <c r="BR917" t="s">
        <v>105</v>
      </c>
      <c r="BS917" t="s">
        <v>16395</v>
      </c>
      <c r="BT917" t="str">
        <f>HYPERLINK("https%3A%2F%2Fwww.webofscience.com%2Fwos%2Fwoscc%2Ffull-record%2FWOS:001022970500001","View Full Record in Web of Science")</f>
        <v>View Full Record in Web of Science</v>
      </c>
    </row>
    <row r="918" spans="1:72" x14ac:dyDescent="0.15">
      <c r="A918" t="s">
        <v>72</v>
      </c>
      <c r="B918" t="s">
        <v>16396</v>
      </c>
      <c r="C918" t="s">
        <v>74</v>
      </c>
      <c r="D918" t="s">
        <v>74</v>
      </c>
      <c r="E918" t="s">
        <v>74</v>
      </c>
      <c r="F918" t="s">
        <v>16397</v>
      </c>
      <c r="G918" t="s">
        <v>74</v>
      </c>
      <c r="H918" t="s">
        <v>74</v>
      </c>
      <c r="I918" t="s">
        <v>16398</v>
      </c>
      <c r="J918" t="s">
        <v>16399</v>
      </c>
      <c r="K918" t="s">
        <v>74</v>
      </c>
      <c r="L918" t="s">
        <v>74</v>
      </c>
      <c r="M918" t="s">
        <v>78</v>
      </c>
      <c r="N918" t="s">
        <v>5492</v>
      </c>
      <c r="O918" t="s">
        <v>74</v>
      </c>
      <c r="P918" t="s">
        <v>74</v>
      </c>
      <c r="Q918" t="s">
        <v>74</v>
      </c>
      <c r="R918" t="s">
        <v>74</v>
      </c>
      <c r="S918" t="s">
        <v>74</v>
      </c>
      <c r="T918" t="s">
        <v>16400</v>
      </c>
      <c r="U918" t="s">
        <v>16401</v>
      </c>
      <c r="V918" t="s">
        <v>16402</v>
      </c>
      <c r="W918" t="s">
        <v>16403</v>
      </c>
      <c r="X918" t="s">
        <v>16404</v>
      </c>
      <c r="Y918" t="s">
        <v>16405</v>
      </c>
      <c r="Z918" t="s">
        <v>16406</v>
      </c>
      <c r="AA918" t="s">
        <v>74</v>
      </c>
      <c r="AB918" t="s">
        <v>74</v>
      </c>
      <c r="AC918" t="s">
        <v>16407</v>
      </c>
      <c r="AD918" t="s">
        <v>16408</v>
      </c>
      <c r="AE918" t="s">
        <v>16409</v>
      </c>
      <c r="AF918" t="s">
        <v>74</v>
      </c>
      <c r="AG918">
        <v>53</v>
      </c>
      <c r="AH918">
        <v>0</v>
      </c>
      <c r="AI918">
        <v>0</v>
      </c>
      <c r="AJ918">
        <v>0</v>
      </c>
      <c r="AK918">
        <v>0</v>
      </c>
      <c r="AL918" t="s">
        <v>1188</v>
      </c>
      <c r="AM918" t="s">
        <v>93</v>
      </c>
      <c r="AN918" t="s">
        <v>1189</v>
      </c>
      <c r="AO918" t="s">
        <v>16410</v>
      </c>
      <c r="AP918" t="s">
        <v>16411</v>
      </c>
      <c r="AQ918" t="s">
        <v>74</v>
      </c>
      <c r="AR918" t="s">
        <v>16412</v>
      </c>
      <c r="AS918" t="s">
        <v>16413</v>
      </c>
      <c r="AT918" t="s">
        <v>16166</v>
      </c>
      <c r="AU918">
        <v>2023</v>
      </c>
      <c r="AV918" t="s">
        <v>74</v>
      </c>
      <c r="AW918" t="s">
        <v>74</v>
      </c>
      <c r="AX918" t="s">
        <v>74</v>
      </c>
      <c r="AY918" t="s">
        <v>74</v>
      </c>
      <c r="AZ918" t="s">
        <v>74</v>
      </c>
      <c r="BA918" t="s">
        <v>74</v>
      </c>
      <c r="BB918" t="s">
        <v>74</v>
      </c>
      <c r="BC918" t="s">
        <v>74</v>
      </c>
      <c r="BD918" t="s">
        <v>74</v>
      </c>
      <c r="BE918" t="s">
        <v>16414</v>
      </c>
      <c r="BF918" t="str">
        <f>HYPERLINK("http://dx.doi.org/10.1080/00273171.2023.2228757","http://dx.doi.org/10.1080/00273171.2023.2228757")</f>
        <v>http://dx.doi.org/10.1080/00273171.2023.2228757</v>
      </c>
      <c r="BG918" t="s">
        <v>74</v>
      </c>
      <c r="BH918" t="s">
        <v>12687</v>
      </c>
      <c r="BI918">
        <v>25</v>
      </c>
      <c r="BJ918" t="s">
        <v>16415</v>
      </c>
      <c r="BK918" t="s">
        <v>123</v>
      </c>
      <c r="BL918" t="s">
        <v>16416</v>
      </c>
      <c r="BM918" t="s">
        <v>16417</v>
      </c>
      <c r="BN918">
        <v>37665717</v>
      </c>
      <c r="BO918" t="s">
        <v>74</v>
      </c>
      <c r="BP918" t="s">
        <v>74</v>
      </c>
      <c r="BQ918" t="s">
        <v>74</v>
      </c>
      <c r="BR918" t="s">
        <v>105</v>
      </c>
      <c r="BS918" t="s">
        <v>16418</v>
      </c>
      <c r="BT918" t="str">
        <f>HYPERLINK("https%3A%2F%2Fwww.webofscience.com%2Fwos%2Fwoscc%2Ffull-record%2FWOS:001061837700001","View Full Record in Web of Science")</f>
        <v>View Full Record in Web of Science</v>
      </c>
    </row>
    <row r="919" spans="1:72" x14ac:dyDescent="0.15">
      <c r="A919" t="s">
        <v>72</v>
      </c>
      <c r="B919" t="s">
        <v>16419</v>
      </c>
      <c r="C919" t="s">
        <v>74</v>
      </c>
      <c r="D919" t="s">
        <v>74</v>
      </c>
      <c r="E919" t="s">
        <v>74</v>
      </c>
      <c r="F919" t="s">
        <v>16420</v>
      </c>
      <c r="G919" t="s">
        <v>74</v>
      </c>
      <c r="H919" t="s">
        <v>74</v>
      </c>
      <c r="I919" t="s">
        <v>16421</v>
      </c>
      <c r="J919" t="s">
        <v>6388</v>
      </c>
      <c r="K919" t="s">
        <v>74</v>
      </c>
      <c r="L919" t="s">
        <v>74</v>
      </c>
      <c r="M919" t="s">
        <v>78</v>
      </c>
      <c r="N919" t="s">
        <v>5492</v>
      </c>
      <c r="O919" t="s">
        <v>74</v>
      </c>
      <c r="P919" t="s">
        <v>74</v>
      </c>
      <c r="Q919" t="s">
        <v>74</v>
      </c>
      <c r="R919" t="s">
        <v>74</v>
      </c>
      <c r="S919" t="s">
        <v>74</v>
      </c>
      <c r="T919" t="s">
        <v>16422</v>
      </c>
      <c r="U919" t="s">
        <v>16423</v>
      </c>
      <c r="V919" t="s">
        <v>16424</v>
      </c>
      <c r="W919" t="s">
        <v>74</v>
      </c>
      <c r="X919" t="s">
        <v>74</v>
      </c>
      <c r="Y919" t="s">
        <v>74</v>
      </c>
      <c r="Z919" t="s">
        <v>16425</v>
      </c>
      <c r="AA919" t="s">
        <v>74</v>
      </c>
      <c r="AB919" t="s">
        <v>74</v>
      </c>
      <c r="AC919" t="s">
        <v>74</v>
      </c>
      <c r="AD919" t="s">
        <v>74</v>
      </c>
      <c r="AE919" t="s">
        <v>74</v>
      </c>
      <c r="AF919" t="s">
        <v>74</v>
      </c>
      <c r="AG919">
        <v>59</v>
      </c>
      <c r="AH919">
        <v>0</v>
      </c>
      <c r="AI919">
        <v>0</v>
      </c>
      <c r="AJ919">
        <v>19</v>
      </c>
      <c r="AK919">
        <v>19</v>
      </c>
      <c r="AL919" t="s">
        <v>1188</v>
      </c>
      <c r="AM919" t="s">
        <v>93</v>
      </c>
      <c r="AN919" t="s">
        <v>1189</v>
      </c>
      <c r="AO919" t="s">
        <v>6399</v>
      </c>
      <c r="AP919" t="s">
        <v>6400</v>
      </c>
      <c r="AQ919" t="s">
        <v>74</v>
      </c>
      <c r="AR919" t="s">
        <v>6401</v>
      </c>
      <c r="AS919" t="s">
        <v>6402</v>
      </c>
      <c r="AT919" t="s">
        <v>16166</v>
      </c>
      <c r="AU919">
        <v>2023</v>
      </c>
      <c r="AV919" t="s">
        <v>74</v>
      </c>
      <c r="AW919" t="s">
        <v>74</v>
      </c>
      <c r="AX919" t="s">
        <v>74</v>
      </c>
      <c r="AY919" t="s">
        <v>74</v>
      </c>
      <c r="AZ919" t="s">
        <v>74</v>
      </c>
      <c r="BA919" t="s">
        <v>74</v>
      </c>
      <c r="BB919" t="s">
        <v>74</v>
      </c>
      <c r="BC919" t="s">
        <v>74</v>
      </c>
      <c r="BD919" t="s">
        <v>74</v>
      </c>
      <c r="BE919" t="s">
        <v>16426</v>
      </c>
      <c r="BF919" t="str">
        <f>HYPERLINK("http://dx.doi.org/10.1080/02508281.2023.2216525","http://dx.doi.org/10.1080/02508281.2023.2216525")</f>
        <v>http://dx.doi.org/10.1080/02508281.2023.2216525</v>
      </c>
      <c r="BG919" t="s">
        <v>74</v>
      </c>
      <c r="BH919" t="s">
        <v>12687</v>
      </c>
      <c r="BI919">
        <v>9</v>
      </c>
      <c r="BJ919" t="s">
        <v>5731</v>
      </c>
      <c r="BK919" t="s">
        <v>211</v>
      </c>
      <c r="BL919" t="s">
        <v>397</v>
      </c>
      <c r="BM919" t="s">
        <v>16427</v>
      </c>
      <c r="BN919" t="s">
        <v>74</v>
      </c>
      <c r="BO919" t="s">
        <v>74</v>
      </c>
      <c r="BP919" t="s">
        <v>74</v>
      </c>
      <c r="BQ919" t="s">
        <v>74</v>
      </c>
      <c r="BR919" t="s">
        <v>105</v>
      </c>
      <c r="BS919" t="s">
        <v>16428</v>
      </c>
      <c r="BT919" t="str">
        <f>HYPERLINK("https%3A%2F%2Fwww.webofscience.com%2Fwos%2Fwoscc%2Ffull-record%2FWOS:001025422000001","View Full Record in Web of Science")</f>
        <v>View Full Record in Web of Science</v>
      </c>
    </row>
    <row r="920" spans="1:72" x14ac:dyDescent="0.15">
      <c r="A920" t="s">
        <v>72</v>
      </c>
      <c r="B920" t="s">
        <v>16429</v>
      </c>
      <c r="C920" t="s">
        <v>74</v>
      </c>
      <c r="D920" t="s">
        <v>74</v>
      </c>
      <c r="E920" t="s">
        <v>74</v>
      </c>
      <c r="F920" t="s">
        <v>16430</v>
      </c>
      <c r="G920" t="s">
        <v>74</v>
      </c>
      <c r="H920" t="s">
        <v>74</v>
      </c>
      <c r="I920" t="s">
        <v>16431</v>
      </c>
      <c r="J920" t="s">
        <v>16432</v>
      </c>
      <c r="K920" t="s">
        <v>74</v>
      </c>
      <c r="L920" t="s">
        <v>74</v>
      </c>
      <c r="M920" t="s">
        <v>78</v>
      </c>
      <c r="N920" t="s">
        <v>5492</v>
      </c>
      <c r="O920" t="s">
        <v>74</v>
      </c>
      <c r="P920" t="s">
        <v>74</v>
      </c>
      <c r="Q920" t="s">
        <v>74</v>
      </c>
      <c r="R920" t="s">
        <v>74</v>
      </c>
      <c r="S920" t="s">
        <v>74</v>
      </c>
      <c r="T920" t="s">
        <v>16433</v>
      </c>
      <c r="U920" t="s">
        <v>16434</v>
      </c>
      <c r="V920" t="s">
        <v>16435</v>
      </c>
      <c r="W920" t="s">
        <v>16436</v>
      </c>
      <c r="X920" t="s">
        <v>16437</v>
      </c>
      <c r="Y920" t="s">
        <v>16438</v>
      </c>
      <c r="Z920" t="s">
        <v>16439</v>
      </c>
      <c r="AA920" t="s">
        <v>74</v>
      </c>
      <c r="AB920" t="s">
        <v>74</v>
      </c>
      <c r="AC920" t="s">
        <v>16440</v>
      </c>
      <c r="AD920" t="s">
        <v>16440</v>
      </c>
      <c r="AE920" t="s">
        <v>16441</v>
      </c>
      <c r="AF920" t="s">
        <v>74</v>
      </c>
      <c r="AG920">
        <v>29</v>
      </c>
      <c r="AH920">
        <v>0</v>
      </c>
      <c r="AI920">
        <v>0</v>
      </c>
      <c r="AJ920">
        <v>3</v>
      </c>
      <c r="AK920">
        <v>3</v>
      </c>
      <c r="AL920" t="s">
        <v>184</v>
      </c>
      <c r="AM920" t="s">
        <v>185</v>
      </c>
      <c r="AN920" t="s">
        <v>186</v>
      </c>
      <c r="AO920" t="s">
        <v>16442</v>
      </c>
      <c r="AP920" t="s">
        <v>16443</v>
      </c>
      <c r="AQ920" t="s">
        <v>74</v>
      </c>
      <c r="AR920" t="s">
        <v>16444</v>
      </c>
      <c r="AS920" t="s">
        <v>16445</v>
      </c>
      <c r="AT920" t="s">
        <v>16166</v>
      </c>
      <c r="AU920">
        <v>2023</v>
      </c>
      <c r="AV920" t="s">
        <v>74</v>
      </c>
      <c r="AW920" t="s">
        <v>74</v>
      </c>
      <c r="AX920" t="s">
        <v>74</v>
      </c>
      <c r="AY920" t="s">
        <v>74</v>
      </c>
      <c r="AZ920" t="s">
        <v>74</v>
      </c>
      <c r="BA920" t="s">
        <v>74</v>
      </c>
      <c r="BB920" t="s">
        <v>74</v>
      </c>
      <c r="BC920" t="s">
        <v>74</v>
      </c>
      <c r="BD920" t="s">
        <v>74</v>
      </c>
      <c r="BE920" t="s">
        <v>16446</v>
      </c>
      <c r="BF920" t="str">
        <f>HYPERLINK("http://dx.doi.org/10.1080/01496395.2023.2232533","http://dx.doi.org/10.1080/01496395.2023.2232533")</f>
        <v>http://dx.doi.org/10.1080/01496395.2023.2232533</v>
      </c>
      <c r="BG920" t="s">
        <v>74</v>
      </c>
      <c r="BH920" t="s">
        <v>12687</v>
      </c>
      <c r="BI920">
        <v>10</v>
      </c>
      <c r="BJ920" t="s">
        <v>16447</v>
      </c>
      <c r="BK920" t="s">
        <v>102</v>
      </c>
      <c r="BL920" t="s">
        <v>16448</v>
      </c>
      <c r="BM920" t="s">
        <v>16449</v>
      </c>
      <c r="BN920" t="s">
        <v>74</v>
      </c>
      <c r="BO920" t="s">
        <v>74</v>
      </c>
      <c r="BP920" t="s">
        <v>74</v>
      </c>
      <c r="BQ920" t="s">
        <v>74</v>
      </c>
      <c r="BR920" t="s">
        <v>105</v>
      </c>
      <c r="BS920" t="s">
        <v>16450</v>
      </c>
      <c r="BT920" t="str">
        <f>HYPERLINK("https%3A%2F%2Fwww.webofscience.com%2Fwos%2Fwoscc%2Ffull-record%2FWOS:001021431400001","View Full Record in Web of Science")</f>
        <v>View Full Record in Web of Science</v>
      </c>
    </row>
    <row r="921" spans="1:72" x14ac:dyDescent="0.15">
      <c r="A921" t="s">
        <v>72</v>
      </c>
      <c r="B921" t="s">
        <v>16451</v>
      </c>
      <c r="C921" t="s">
        <v>74</v>
      </c>
      <c r="D921" t="s">
        <v>74</v>
      </c>
      <c r="E921" t="s">
        <v>74</v>
      </c>
      <c r="F921" t="s">
        <v>16452</v>
      </c>
      <c r="G921" t="s">
        <v>74</v>
      </c>
      <c r="H921" t="s">
        <v>74</v>
      </c>
      <c r="I921" t="s">
        <v>16453</v>
      </c>
      <c r="J921" t="s">
        <v>7351</v>
      </c>
      <c r="K921" t="s">
        <v>74</v>
      </c>
      <c r="L921" t="s">
        <v>74</v>
      </c>
      <c r="M921" t="s">
        <v>78</v>
      </c>
      <c r="N921" t="s">
        <v>5492</v>
      </c>
      <c r="O921" t="s">
        <v>74</v>
      </c>
      <c r="P921" t="s">
        <v>74</v>
      </c>
      <c r="Q921" t="s">
        <v>74</v>
      </c>
      <c r="R921" t="s">
        <v>74</v>
      </c>
      <c r="S921" t="s">
        <v>74</v>
      </c>
      <c r="T921" t="s">
        <v>16454</v>
      </c>
      <c r="U921" t="s">
        <v>16455</v>
      </c>
      <c r="V921" t="s">
        <v>16456</v>
      </c>
      <c r="W921" t="s">
        <v>16457</v>
      </c>
      <c r="X921" t="s">
        <v>74</v>
      </c>
      <c r="Y921" t="s">
        <v>16458</v>
      </c>
      <c r="Z921" t="s">
        <v>74</v>
      </c>
      <c r="AA921" t="s">
        <v>74</v>
      </c>
      <c r="AB921" t="s">
        <v>74</v>
      </c>
      <c r="AC921" t="s">
        <v>16459</v>
      </c>
      <c r="AD921" t="s">
        <v>16460</v>
      </c>
      <c r="AE921" t="s">
        <v>16461</v>
      </c>
      <c r="AF921" t="s">
        <v>74</v>
      </c>
      <c r="AG921">
        <v>31</v>
      </c>
      <c r="AH921">
        <v>0</v>
      </c>
      <c r="AI921">
        <v>0</v>
      </c>
      <c r="AJ921">
        <v>11</v>
      </c>
      <c r="AK921">
        <v>11</v>
      </c>
      <c r="AL921" t="s">
        <v>92</v>
      </c>
      <c r="AM921" t="s">
        <v>93</v>
      </c>
      <c r="AN921" t="s">
        <v>94</v>
      </c>
      <c r="AO921" t="s">
        <v>7359</v>
      </c>
      <c r="AP921" t="s">
        <v>7360</v>
      </c>
      <c r="AQ921" t="s">
        <v>74</v>
      </c>
      <c r="AR921" t="s">
        <v>7361</v>
      </c>
      <c r="AS921" t="s">
        <v>7362</v>
      </c>
      <c r="AT921" t="s">
        <v>16166</v>
      </c>
      <c r="AU921">
        <v>2023</v>
      </c>
      <c r="AV921" t="s">
        <v>74</v>
      </c>
      <c r="AW921" t="s">
        <v>74</v>
      </c>
      <c r="AX921" t="s">
        <v>74</v>
      </c>
      <c r="AY921" t="s">
        <v>74</v>
      </c>
      <c r="AZ921" t="s">
        <v>74</v>
      </c>
      <c r="BA921" t="s">
        <v>74</v>
      </c>
      <c r="BB921" t="s">
        <v>74</v>
      </c>
      <c r="BC921" t="s">
        <v>74</v>
      </c>
      <c r="BD921" t="s">
        <v>74</v>
      </c>
      <c r="BE921" t="s">
        <v>16462</v>
      </c>
      <c r="BF921" t="str">
        <f>HYPERLINK("http://dx.doi.org/10.1080/00365513.2023.2233903","http://dx.doi.org/10.1080/00365513.2023.2233903")</f>
        <v>http://dx.doi.org/10.1080/00365513.2023.2233903</v>
      </c>
      <c r="BG921" t="s">
        <v>74</v>
      </c>
      <c r="BH921" t="s">
        <v>12687</v>
      </c>
      <c r="BI921">
        <v>5</v>
      </c>
      <c r="BJ921" t="s">
        <v>7364</v>
      </c>
      <c r="BK921" t="s">
        <v>102</v>
      </c>
      <c r="BL921" t="s">
        <v>7365</v>
      </c>
      <c r="BM921" t="s">
        <v>16463</v>
      </c>
      <c r="BN921">
        <v>37491076</v>
      </c>
      <c r="BO921" t="s">
        <v>887</v>
      </c>
      <c r="BP921" t="s">
        <v>74</v>
      </c>
      <c r="BQ921" t="s">
        <v>74</v>
      </c>
      <c r="BR921" t="s">
        <v>105</v>
      </c>
      <c r="BS921" t="s">
        <v>16464</v>
      </c>
      <c r="BT921" t="str">
        <f>HYPERLINK("https%3A%2F%2Fwww.webofscience.com%2Fwos%2Fwoscc%2Ffull-record%2FWOS:001032850500001","View Full Record in Web of Science")</f>
        <v>View Full Record in Web of Science</v>
      </c>
    </row>
    <row r="922" spans="1:72" x14ac:dyDescent="0.15">
      <c r="A922" t="s">
        <v>72</v>
      </c>
      <c r="B922" t="s">
        <v>16465</v>
      </c>
      <c r="C922" t="s">
        <v>74</v>
      </c>
      <c r="D922" t="s">
        <v>74</v>
      </c>
      <c r="E922" t="s">
        <v>74</v>
      </c>
      <c r="F922" t="s">
        <v>16466</v>
      </c>
      <c r="G922" t="s">
        <v>74</v>
      </c>
      <c r="H922" t="s">
        <v>74</v>
      </c>
      <c r="I922" t="s">
        <v>16467</v>
      </c>
      <c r="J922" t="s">
        <v>8493</v>
      </c>
      <c r="K922" t="s">
        <v>74</v>
      </c>
      <c r="L922" t="s">
        <v>74</v>
      </c>
      <c r="M922" t="s">
        <v>78</v>
      </c>
      <c r="N922" t="s">
        <v>79</v>
      </c>
      <c r="O922" t="s">
        <v>74</v>
      </c>
      <c r="P922" t="s">
        <v>74</v>
      </c>
      <c r="Q922" t="s">
        <v>74</v>
      </c>
      <c r="R922" t="s">
        <v>74</v>
      </c>
      <c r="S922" t="s">
        <v>74</v>
      </c>
      <c r="T922" t="s">
        <v>16468</v>
      </c>
      <c r="U922" t="s">
        <v>16469</v>
      </c>
      <c r="V922" t="s">
        <v>16470</v>
      </c>
      <c r="W922" t="s">
        <v>16471</v>
      </c>
      <c r="X922" t="s">
        <v>16472</v>
      </c>
      <c r="Y922" t="s">
        <v>16473</v>
      </c>
      <c r="Z922" t="s">
        <v>16474</v>
      </c>
      <c r="AA922" t="s">
        <v>16475</v>
      </c>
      <c r="AB922" t="s">
        <v>16476</v>
      </c>
      <c r="AC922" t="s">
        <v>16477</v>
      </c>
      <c r="AD922" t="s">
        <v>16478</v>
      </c>
      <c r="AE922" t="s">
        <v>16479</v>
      </c>
      <c r="AF922" t="s">
        <v>74</v>
      </c>
      <c r="AG922">
        <v>48</v>
      </c>
      <c r="AH922">
        <v>0</v>
      </c>
      <c r="AI922">
        <v>0</v>
      </c>
      <c r="AJ922">
        <v>6</v>
      </c>
      <c r="AK922">
        <v>6</v>
      </c>
      <c r="AL922" t="s">
        <v>92</v>
      </c>
      <c r="AM922" t="s">
        <v>93</v>
      </c>
      <c r="AN922" t="s">
        <v>94</v>
      </c>
      <c r="AO922" t="s">
        <v>8500</v>
      </c>
      <c r="AP922" t="s">
        <v>8501</v>
      </c>
      <c r="AQ922" t="s">
        <v>74</v>
      </c>
      <c r="AR922" t="s">
        <v>8502</v>
      </c>
      <c r="AS922" t="s">
        <v>8503</v>
      </c>
      <c r="AT922" t="s">
        <v>10040</v>
      </c>
      <c r="AU922">
        <v>2023</v>
      </c>
      <c r="AV922">
        <v>54</v>
      </c>
      <c r="AW922">
        <v>11</v>
      </c>
      <c r="AX922" t="s">
        <v>74</v>
      </c>
      <c r="AY922" t="s">
        <v>74</v>
      </c>
      <c r="AZ922" t="s">
        <v>74</v>
      </c>
      <c r="BA922" t="s">
        <v>74</v>
      </c>
      <c r="BB922">
        <v>2281</v>
      </c>
      <c r="BC922">
        <v>2300</v>
      </c>
      <c r="BD922" t="s">
        <v>74</v>
      </c>
      <c r="BE922" t="s">
        <v>16480</v>
      </c>
      <c r="BF922" t="str">
        <f>HYPERLINK("http://dx.doi.org/10.1080/00207721.2023.2228809","http://dx.doi.org/10.1080/00207721.2023.2228809")</f>
        <v>http://dx.doi.org/10.1080/00207721.2023.2228809</v>
      </c>
      <c r="BG922" t="s">
        <v>74</v>
      </c>
      <c r="BH922" t="s">
        <v>12687</v>
      </c>
      <c r="BI922">
        <v>20</v>
      </c>
      <c r="BJ922" t="s">
        <v>8506</v>
      </c>
      <c r="BK922" t="s">
        <v>102</v>
      </c>
      <c r="BL922" t="s">
        <v>8507</v>
      </c>
      <c r="BM922" t="s">
        <v>16481</v>
      </c>
      <c r="BN922" t="s">
        <v>74</v>
      </c>
      <c r="BO922" t="s">
        <v>74</v>
      </c>
      <c r="BP922" t="s">
        <v>74</v>
      </c>
      <c r="BQ922" t="s">
        <v>74</v>
      </c>
      <c r="BR922" t="s">
        <v>105</v>
      </c>
      <c r="BS922" t="s">
        <v>16482</v>
      </c>
      <c r="BT922" t="str">
        <f>HYPERLINK("https%3A%2F%2Fwww.webofscience.com%2Fwos%2Fwoscc%2Ffull-record%2FWOS:001022151000001","View Full Record in Web of Science")</f>
        <v>View Full Record in Web of Science</v>
      </c>
    </row>
    <row r="923" spans="1:72" x14ac:dyDescent="0.15">
      <c r="A923" t="s">
        <v>72</v>
      </c>
      <c r="B923" t="s">
        <v>16483</v>
      </c>
      <c r="C923" t="s">
        <v>74</v>
      </c>
      <c r="D923" t="s">
        <v>74</v>
      </c>
      <c r="E923" t="s">
        <v>74</v>
      </c>
      <c r="F923" t="s">
        <v>16484</v>
      </c>
      <c r="G923" t="s">
        <v>74</v>
      </c>
      <c r="H923" t="s">
        <v>74</v>
      </c>
      <c r="I923" t="s">
        <v>16485</v>
      </c>
      <c r="J923" t="s">
        <v>16486</v>
      </c>
      <c r="K923" t="s">
        <v>74</v>
      </c>
      <c r="L923" t="s">
        <v>74</v>
      </c>
      <c r="M923" t="s">
        <v>78</v>
      </c>
      <c r="N923" t="s">
        <v>79</v>
      </c>
      <c r="O923" t="s">
        <v>74</v>
      </c>
      <c r="P923" t="s">
        <v>74</v>
      </c>
      <c r="Q923" t="s">
        <v>74</v>
      </c>
      <c r="R923" t="s">
        <v>74</v>
      </c>
      <c r="S923" t="s">
        <v>74</v>
      </c>
      <c r="T923" t="s">
        <v>74</v>
      </c>
      <c r="U923" t="s">
        <v>74</v>
      </c>
      <c r="V923" t="s">
        <v>16487</v>
      </c>
      <c r="W923" t="s">
        <v>16488</v>
      </c>
      <c r="X923" t="s">
        <v>8718</v>
      </c>
      <c r="Y923" t="s">
        <v>16489</v>
      </c>
      <c r="Z923" t="s">
        <v>16490</v>
      </c>
      <c r="AA923" t="s">
        <v>74</v>
      </c>
      <c r="AB923" t="s">
        <v>74</v>
      </c>
      <c r="AC923" t="s">
        <v>74</v>
      </c>
      <c r="AD923" t="s">
        <v>74</v>
      </c>
      <c r="AE923" t="s">
        <v>74</v>
      </c>
      <c r="AF923" t="s">
        <v>74</v>
      </c>
      <c r="AG923">
        <v>62</v>
      </c>
      <c r="AH923">
        <v>0</v>
      </c>
      <c r="AI923">
        <v>0</v>
      </c>
      <c r="AJ923">
        <v>0</v>
      </c>
      <c r="AK923">
        <v>0</v>
      </c>
      <c r="AL923" t="s">
        <v>1188</v>
      </c>
      <c r="AM923" t="s">
        <v>93</v>
      </c>
      <c r="AN923" t="s">
        <v>1189</v>
      </c>
      <c r="AO923" t="s">
        <v>16491</v>
      </c>
      <c r="AP923" t="s">
        <v>16492</v>
      </c>
      <c r="AQ923" t="s">
        <v>74</v>
      </c>
      <c r="AR923" t="s">
        <v>16493</v>
      </c>
      <c r="AS923" t="s">
        <v>16494</v>
      </c>
      <c r="AT923" t="s">
        <v>7845</v>
      </c>
      <c r="AU923">
        <v>2023</v>
      </c>
      <c r="AV923">
        <v>34</v>
      </c>
      <c r="AW923">
        <v>4</v>
      </c>
      <c r="AX923" t="s">
        <v>74</v>
      </c>
      <c r="AY923" t="s">
        <v>74</v>
      </c>
      <c r="AZ923" t="s">
        <v>74</v>
      </c>
      <c r="BA923" t="s">
        <v>74</v>
      </c>
      <c r="BB923">
        <v>423</v>
      </c>
      <c r="BC923">
        <v>440</v>
      </c>
      <c r="BD923" t="s">
        <v>74</v>
      </c>
      <c r="BE923" t="s">
        <v>16495</v>
      </c>
      <c r="BF923" t="str">
        <f>HYPERLINK("http://dx.doi.org/10.1080/10509585.2023.2225443","http://dx.doi.org/10.1080/10509585.2023.2225443")</f>
        <v>http://dx.doi.org/10.1080/10509585.2023.2225443</v>
      </c>
      <c r="BG923" t="s">
        <v>74</v>
      </c>
      <c r="BH923" t="s">
        <v>74</v>
      </c>
      <c r="BI923">
        <v>18</v>
      </c>
      <c r="BJ923" t="s">
        <v>575</v>
      </c>
      <c r="BK923" t="s">
        <v>211</v>
      </c>
      <c r="BL923" t="s">
        <v>576</v>
      </c>
      <c r="BM923" t="s">
        <v>16496</v>
      </c>
      <c r="BN923" t="s">
        <v>74</v>
      </c>
      <c r="BO923" t="s">
        <v>887</v>
      </c>
      <c r="BP923" t="s">
        <v>74</v>
      </c>
      <c r="BQ923" t="s">
        <v>74</v>
      </c>
      <c r="BR923" t="s">
        <v>105</v>
      </c>
      <c r="BS923" t="s">
        <v>16497</v>
      </c>
      <c r="BT923" t="str">
        <f>HYPERLINK("https%3A%2F%2Fwww.webofscience.com%2Fwos%2Fwoscc%2Ffull-record%2FWOS:001054504200002","View Full Record in Web of Science")</f>
        <v>View Full Record in Web of Science</v>
      </c>
    </row>
    <row r="924" spans="1:72" x14ac:dyDescent="0.15">
      <c r="A924" t="s">
        <v>72</v>
      </c>
      <c r="B924" t="s">
        <v>16498</v>
      </c>
      <c r="C924" t="s">
        <v>74</v>
      </c>
      <c r="D924" t="s">
        <v>74</v>
      </c>
      <c r="E924" t="s">
        <v>74</v>
      </c>
      <c r="F924" t="s">
        <v>16499</v>
      </c>
      <c r="G924" t="s">
        <v>74</v>
      </c>
      <c r="H924" t="s">
        <v>74</v>
      </c>
      <c r="I924" t="s">
        <v>16500</v>
      </c>
      <c r="J924" t="s">
        <v>16501</v>
      </c>
      <c r="K924" t="s">
        <v>74</v>
      </c>
      <c r="L924" t="s">
        <v>74</v>
      </c>
      <c r="M924" t="s">
        <v>78</v>
      </c>
      <c r="N924" t="s">
        <v>2650</v>
      </c>
      <c r="O924" t="s">
        <v>74</v>
      </c>
      <c r="P924" t="s">
        <v>74</v>
      </c>
      <c r="Q924" t="s">
        <v>74</v>
      </c>
      <c r="R924" t="s">
        <v>74</v>
      </c>
      <c r="S924" t="s">
        <v>74</v>
      </c>
      <c r="T924" t="s">
        <v>74</v>
      </c>
      <c r="U924" t="s">
        <v>74</v>
      </c>
      <c r="V924" t="s">
        <v>74</v>
      </c>
      <c r="W924" t="s">
        <v>74</v>
      </c>
      <c r="X924" t="s">
        <v>74</v>
      </c>
      <c r="Y924" t="s">
        <v>74</v>
      </c>
      <c r="Z924" t="s">
        <v>74</v>
      </c>
      <c r="AA924" t="s">
        <v>74</v>
      </c>
      <c r="AB924" t="s">
        <v>16502</v>
      </c>
      <c r="AC924" t="s">
        <v>74</v>
      </c>
      <c r="AD924" t="s">
        <v>74</v>
      </c>
      <c r="AE924" t="s">
        <v>74</v>
      </c>
      <c r="AF924" t="s">
        <v>74</v>
      </c>
      <c r="AG924">
        <v>1</v>
      </c>
      <c r="AH924">
        <v>0</v>
      </c>
      <c r="AI924">
        <v>0</v>
      </c>
      <c r="AJ924">
        <v>0</v>
      </c>
      <c r="AK924">
        <v>0</v>
      </c>
      <c r="AL924" t="s">
        <v>1188</v>
      </c>
      <c r="AM924" t="s">
        <v>93</v>
      </c>
      <c r="AN924" t="s">
        <v>1189</v>
      </c>
      <c r="AO924" t="s">
        <v>16503</v>
      </c>
      <c r="AP924" t="s">
        <v>16504</v>
      </c>
      <c r="AQ924" t="s">
        <v>74</v>
      </c>
      <c r="AR924" t="s">
        <v>16505</v>
      </c>
      <c r="AS924" t="s">
        <v>16506</v>
      </c>
      <c r="AT924" t="s">
        <v>7845</v>
      </c>
      <c r="AU924">
        <v>2023</v>
      </c>
      <c r="AV924">
        <v>33</v>
      </c>
      <c r="AW924">
        <v>4</v>
      </c>
      <c r="AX924" t="s">
        <v>74</v>
      </c>
      <c r="AY924" t="s">
        <v>74</v>
      </c>
      <c r="AZ924" t="s">
        <v>74</v>
      </c>
      <c r="BA924" t="s">
        <v>74</v>
      </c>
      <c r="BB924">
        <v>448</v>
      </c>
      <c r="BC924">
        <v>449</v>
      </c>
      <c r="BD924" t="s">
        <v>74</v>
      </c>
      <c r="BE924" t="s">
        <v>16507</v>
      </c>
      <c r="BF924" t="str">
        <f>HYPERLINK("http://dx.doi.org/10.1080/10481885.2023.2236529","http://dx.doi.org/10.1080/10481885.2023.2236529")</f>
        <v>http://dx.doi.org/10.1080/10481885.2023.2236529</v>
      </c>
      <c r="BG924" t="s">
        <v>74</v>
      </c>
      <c r="BH924" t="s">
        <v>74</v>
      </c>
      <c r="BI924">
        <v>2</v>
      </c>
      <c r="BJ924" t="s">
        <v>16508</v>
      </c>
      <c r="BK924" t="s">
        <v>272</v>
      </c>
      <c r="BL924" t="s">
        <v>1691</v>
      </c>
      <c r="BM924" t="s">
        <v>16509</v>
      </c>
      <c r="BN924" t="s">
        <v>74</v>
      </c>
      <c r="BO924" t="s">
        <v>74</v>
      </c>
      <c r="BP924" t="s">
        <v>74</v>
      </c>
      <c r="BQ924" t="s">
        <v>74</v>
      </c>
      <c r="BR924" t="s">
        <v>105</v>
      </c>
      <c r="BS924" t="s">
        <v>16510</v>
      </c>
      <c r="BT924" t="str">
        <f>HYPERLINK("https%3A%2F%2Fwww.webofscience.com%2Fwos%2Fwoscc%2Ffull-record%2FWOS:001063967100007","View Full Record in Web of Science")</f>
        <v>View Full Record in Web of Science</v>
      </c>
    </row>
    <row r="925" spans="1:72" x14ac:dyDescent="0.15">
      <c r="A925" t="s">
        <v>72</v>
      </c>
      <c r="B925" t="s">
        <v>16511</v>
      </c>
      <c r="C925" t="s">
        <v>74</v>
      </c>
      <c r="D925" t="s">
        <v>74</v>
      </c>
      <c r="E925" t="s">
        <v>74</v>
      </c>
      <c r="F925" t="s">
        <v>16512</v>
      </c>
      <c r="G925" t="s">
        <v>74</v>
      </c>
      <c r="H925" t="s">
        <v>74</v>
      </c>
      <c r="I925" t="s">
        <v>16513</v>
      </c>
      <c r="J925" t="s">
        <v>5810</v>
      </c>
      <c r="K925" t="s">
        <v>74</v>
      </c>
      <c r="L925" t="s">
        <v>74</v>
      </c>
      <c r="M925" t="s">
        <v>78</v>
      </c>
      <c r="N925" t="s">
        <v>5492</v>
      </c>
      <c r="O925" t="s">
        <v>74</v>
      </c>
      <c r="P925" t="s">
        <v>74</v>
      </c>
      <c r="Q925" t="s">
        <v>74</v>
      </c>
      <c r="R925" t="s">
        <v>74</v>
      </c>
      <c r="S925" t="s">
        <v>74</v>
      </c>
      <c r="T925" t="s">
        <v>16514</v>
      </c>
      <c r="U925" t="s">
        <v>16515</v>
      </c>
      <c r="V925" t="s">
        <v>16516</v>
      </c>
      <c r="W925" t="s">
        <v>16517</v>
      </c>
      <c r="X925" t="s">
        <v>16518</v>
      </c>
      <c r="Y925" t="s">
        <v>16519</v>
      </c>
      <c r="Z925" t="s">
        <v>16520</v>
      </c>
      <c r="AA925" t="s">
        <v>74</v>
      </c>
      <c r="AB925" t="s">
        <v>74</v>
      </c>
      <c r="AC925" t="s">
        <v>16521</v>
      </c>
      <c r="AD925" t="s">
        <v>16522</v>
      </c>
      <c r="AE925" t="s">
        <v>16523</v>
      </c>
      <c r="AF925" t="s">
        <v>74</v>
      </c>
      <c r="AG925">
        <v>49</v>
      </c>
      <c r="AH925">
        <v>0</v>
      </c>
      <c r="AI925">
        <v>0</v>
      </c>
      <c r="AJ925">
        <v>12</v>
      </c>
      <c r="AK925">
        <v>12</v>
      </c>
      <c r="AL925" t="s">
        <v>92</v>
      </c>
      <c r="AM925" t="s">
        <v>93</v>
      </c>
      <c r="AN925" t="s">
        <v>94</v>
      </c>
      <c r="AO925" t="s">
        <v>5821</v>
      </c>
      <c r="AP925" t="s">
        <v>5822</v>
      </c>
      <c r="AQ925" t="s">
        <v>74</v>
      </c>
      <c r="AR925" t="s">
        <v>5823</v>
      </c>
      <c r="AS925" t="s">
        <v>5824</v>
      </c>
      <c r="AT925" t="s">
        <v>16524</v>
      </c>
      <c r="AU925">
        <v>2023</v>
      </c>
      <c r="AV925" t="s">
        <v>74</v>
      </c>
      <c r="AW925" t="s">
        <v>74</v>
      </c>
      <c r="AX925" t="s">
        <v>74</v>
      </c>
      <c r="AY925" t="s">
        <v>74</v>
      </c>
      <c r="AZ925" t="s">
        <v>74</v>
      </c>
      <c r="BA925" t="s">
        <v>74</v>
      </c>
      <c r="BB925" t="s">
        <v>74</v>
      </c>
      <c r="BC925" t="s">
        <v>74</v>
      </c>
      <c r="BD925" t="s">
        <v>74</v>
      </c>
      <c r="BE925" t="s">
        <v>16525</v>
      </c>
      <c r="BF925" t="str">
        <f>HYPERLINK("http://dx.doi.org/10.1080/0305215X.2023.2227841","http://dx.doi.org/10.1080/0305215X.2023.2227841")</f>
        <v>http://dx.doi.org/10.1080/0305215X.2023.2227841</v>
      </c>
      <c r="BG925" t="s">
        <v>74</v>
      </c>
      <c r="BH925" t="s">
        <v>12687</v>
      </c>
      <c r="BI925">
        <v>24</v>
      </c>
      <c r="BJ925" t="s">
        <v>5826</v>
      </c>
      <c r="BK925" t="s">
        <v>102</v>
      </c>
      <c r="BL925" t="s">
        <v>332</v>
      </c>
      <c r="BM925" t="s">
        <v>16526</v>
      </c>
      <c r="BN925" t="s">
        <v>74</v>
      </c>
      <c r="BO925" t="s">
        <v>74</v>
      </c>
      <c r="BP925" t="s">
        <v>74</v>
      </c>
      <c r="BQ925" t="s">
        <v>74</v>
      </c>
      <c r="BR925" t="s">
        <v>105</v>
      </c>
      <c r="BS925" t="s">
        <v>16527</v>
      </c>
      <c r="BT925" t="str">
        <f>HYPERLINK("https%3A%2F%2Fwww.webofscience.com%2Fwos%2Fwoscc%2Ffull-record%2FWOS:001020036900001","View Full Record in Web of Science")</f>
        <v>View Full Record in Web of Science</v>
      </c>
    </row>
    <row r="926" spans="1:72" x14ac:dyDescent="0.15">
      <c r="A926" t="s">
        <v>72</v>
      </c>
      <c r="B926" t="s">
        <v>16528</v>
      </c>
      <c r="C926" t="s">
        <v>74</v>
      </c>
      <c r="D926" t="s">
        <v>74</v>
      </c>
      <c r="E926" t="s">
        <v>74</v>
      </c>
      <c r="F926" t="s">
        <v>16529</v>
      </c>
      <c r="G926" t="s">
        <v>74</v>
      </c>
      <c r="H926" t="s">
        <v>74</v>
      </c>
      <c r="I926" t="s">
        <v>16530</v>
      </c>
      <c r="J926" t="s">
        <v>16531</v>
      </c>
      <c r="K926" t="s">
        <v>74</v>
      </c>
      <c r="L926" t="s">
        <v>74</v>
      </c>
      <c r="M926" t="s">
        <v>78</v>
      </c>
      <c r="N926" t="s">
        <v>52</v>
      </c>
      <c r="O926" t="s">
        <v>74</v>
      </c>
      <c r="P926" t="s">
        <v>74</v>
      </c>
      <c r="Q926" t="s">
        <v>74</v>
      </c>
      <c r="R926" t="s">
        <v>74</v>
      </c>
      <c r="S926" t="s">
        <v>74</v>
      </c>
      <c r="T926" t="s">
        <v>74</v>
      </c>
      <c r="U926" t="s">
        <v>74</v>
      </c>
      <c r="V926" t="s">
        <v>74</v>
      </c>
      <c r="W926" t="s">
        <v>16532</v>
      </c>
      <c r="X926" t="s">
        <v>16533</v>
      </c>
      <c r="Y926" t="s">
        <v>16534</v>
      </c>
      <c r="Z926" t="s">
        <v>16535</v>
      </c>
      <c r="AA926" t="s">
        <v>74</v>
      </c>
      <c r="AB926" t="s">
        <v>74</v>
      </c>
      <c r="AC926" t="s">
        <v>74</v>
      </c>
      <c r="AD926" t="s">
        <v>74</v>
      </c>
      <c r="AE926" t="s">
        <v>74</v>
      </c>
      <c r="AF926" t="s">
        <v>74</v>
      </c>
      <c r="AG926">
        <v>0</v>
      </c>
      <c r="AH926">
        <v>0</v>
      </c>
      <c r="AI926">
        <v>0</v>
      </c>
      <c r="AJ926">
        <v>1</v>
      </c>
      <c r="AK926">
        <v>1</v>
      </c>
      <c r="AL926" t="s">
        <v>287</v>
      </c>
      <c r="AM926" t="s">
        <v>288</v>
      </c>
      <c r="AN926" t="s">
        <v>289</v>
      </c>
      <c r="AO926" t="s">
        <v>16536</v>
      </c>
      <c r="AP926" t="s">
        <v>16537</v>
      </c>
      <c r="AQ926" t="s">
        <v>74</v>
      </c>
      <c r="AR926" t="s">
        <v>16531</v>
      </c>
      <c r="AS926" t="s">
        <v>16538</v>
      </c>
      <c r="AT926" t="s">
        <v>7845</v>
      </c>
      <c r="AU926">
        <v>2023</v>
      </c>
      <c r="AV926">
        <v>47</v>
      </c>
      <c r="AW926">
        <v>4</v>
      </c>
      <c r="AX926" t="s">
        <v>74</v>
      </c>
      <c r="AY926" t="s">
        <v>74</v>
      </c>
      <c r="AZ926" t="s">
        <v>74</v>
      </c>
      <c r="BA926" t="s">
        <v>74</v>
      </c>
      <c r="BB926">
        <v>232</v>
      </c>
      <c r="BC926">
        <v>236</v>
      </c>
      <c r="BD926" t="s">
        <v>74</v>
      </c>
      <c r="BE926" t="s">
        <v>16539</v>
      </c>
      <c r="BF926" t="str">
        <f>HYPERLINK("http://dx.doi.org/10.1080/01658107.2023.2216613","http://dx.doi.org/10.1080/01658107.2023.2216613")</f>
        <v>http://dx.doi.org/10.1080/01658107.2023.2216613</v>
      </c>
      <c r="BG926" t="s">
        <v>74</v>
      </c>
      <c r="BH926" t="s">
        <v>74</v>
      </c>
      <c r="BI926">
        <v>5</v>
      </c>
      <c r="BJ926" t="s">
        <v>16540</v>
      </c>
      <c r="BK926" t="s">
        <v>211</v>
      </c>
      <c r="BL926" t="s">
        <v>16541</v>
      </c>
      <c r="BM926" t="s">
        <v>16542</v>
      </c>
      <c r="BN926" t="s">
        <v>74</v>
      </c>
      <c r="BO926" t="s">
        <v>74</v>
      </c>
      <c r="BP926" t="s">
        <v>74</v>
      </c>
      <c r="BQ926" t="s">
        <v>74</v>
      </c>
      <c r="BR926" t="s">
        <v>105</v>
      </c>
      <c r="BS926" t="s">
        <v>16543</v>
      </c>
      <c r="BT926" t="str">
        <f>HYPERLINK("https%3A%2F%2Fwww.webofscience.com%2Fwos%2Fwoscc%2Ffull-record%2FWOS:001025348300008","View Full Record in Web of Science")</f>
        <v>View Full Record in Web of Science</v>
      </c>
    </row>
    <row r="927" spans="1:72" x14ac:dyDescent="0.15">
      <c r="A927" t="s">
        <v>72</v>
      </c>
      <c r="B927" t="s">
        <v>16544</v>
      </c>
      <c r="C927" t="s">
        <v>74</v>
      </c>
      <c r="D927" t="s">
        <v>74</v>
      </c>
      <c r="E927" t="s">
        <v>74</v>
      </c>
      <c r="F927" t="s">
        <v>16545</v>
      </c>
      <c r="G927" t="s">
        <v>74</v>
      </c>
      <c r="H927" t="s">
        <v>74</v>
      </c>
      <c r="I927" t="s">
        <v>16546</v>
      </c>
      <c r="J927" t="s">
        <v>16547</v>
      </c>
      <c r="K927" t="s">
        <v>74</v>
      </c>
      <c r="L927" t="s">
        <v>74</v>
      </c>
      <c r="M927" t="s">
        <v>78</v>
      </c>
      <c r="N927" t="s">
        <v>5492</v>
      </c>
      <c r="O927" t="s">
        <v>74</v>
      </c>
      <c r="P927" t="s">
        <v>74</v>
      </c>
      <c r="Q927" t="s">
        <v>74</v>
      </c>
      <c r="R927" t="s">
        <v>74</v>
      </c>
      <c r="S927" t="s">
        <v>74</v>
      </c>
      <c r="T927" t="s">
        <v>16548</v>
      </c>
      <c r="U927" t="s">
        <v>74</v>
      </c>
      <c r="V927" t="s">
        <v>16549</v>
      </c>
      <c r="W927" t="s">
        <v>16550</v>
      </c>
      <c r="X927" t="s">
        <v>16551</v>
      </c>
      <c r="Y927" t="s">
        <v>16552</v>
      </c>
      <c r="Z927" t="s">
        <v>16553</v>
      </c>
      <c r="AA927" t="s">
        <v>74</v>
      </c>
      <c r="AB927" t="s">
        <v>74</v>
      </c>
      <c r="AC927" t="s">
        <v>74</v>
      </c>
      <c r="AD927" t="s">
        <v>74</v>
      </c>
      <c r="AE927" t="s">
        <v>74</v>
      </c>
      <c r="AF927" t="s">
        <v>74</v>
      </c>
      <c r="AG927">
        <v>17</v>
      </c>
      <c r="AH927">
        <v>0</v>
      </c>
      <c r="AI927">
        <v>0</v>
      </c>
      <c r="AJ927">
        <v>0</v>
      </c>
      <c r="AK927">
        <v>0</v>
      </c>
      <c r="AL927" t="s">
        <v>1188</v>
      </c>
      <c r="AM927" t="s">
        <v>93</v>
      </c>
      <c r="AN927" t="s">
        <v>1189</v>
      </c>
      <c r="AO927" t="s">
        <v>16554</v>
      </c>
      <c r="AP927" t="s">
        <v>16555</v>
      </c>
      <c r="AQ927" t="s">
        <v>74</v>
      </c>
      <c r="AR927" t="s">
        <v>16556</v>
      </c>
      <c r="AS927" t="s">
        <v>16557</v>
      </c>
      <c r="AT927" t="s">
        <v>16524</v>
      </c>
      <c r="AU927">
        <v>2023</v>
      </c>
      <c r="AV927" t="s">
        <v>74</v>
      </c>
      <c r="AW927" t="s">
        <v>74</v>
      </c>
      <c r="AX927" t="s">
        <v>74</v>
      </c>
      <c r="AY927" t="s">
        <v>74</v>
      </c>
      <c r="AZ927" t="s">
        <v>74</v>
      </c>
      <c r="BA927" t="s">
        <v>74</v>
      </c>
      <c r="BB927" t="s">
        <v>74</v>
      </c>
      <c r="BC927" t="s">
        <v>74</v>
      </c>
      <c r="BD927" t="s">
        <v>74</v>
      </c>
      <c r="BE927" t="s">
        <v>16558</v>
      </c>
      <c r="BF927" t="str">
        <f>HYPERLINK("http://dx.doi.org/10.1080/01916599.2023.2230572","http://dx.doi.org/10.1080/01916599.2023.2230572")</f>
        <v>http://dx.doi.org/10.1080/01916599.2023.2230572</v>
      </c>
      <c r="BG927" t="s">
        <v>74</v>
      </c>
      <c r="BH927" t="s">
        <v>12687</v>
      </c>
      <c r="BI927">
        <v>13</v>
      </c>
      <c r="BJ927" t="s">
        <v>6811</v>
      </c>
      <c r="BK927" t="s">
        <v>6264</v>
      </c>
      <c r="BL927" t="s">
        <v>6811</v>
      </c>
      <c r="BM927" t="s">
        <v>16559</v>
      </c>
      <c r="BN927" t="s">
        <v>74</v>
      </c>
      <c r="BO927" t="s">
        <v>74</v>
      </c>
      <c r="BP927" t="s">
        <v>74</v>
      </c>
      <c r="BQ927" t="s">
        <v>74</v>
      </c>
      <c r="BR927" t="s">
        <v>105</v>
      </c>
      <c r="BS927" t="s">
        <v>16560</v>
      </c>
      <c r="BT927" t="str">
        <f>HYPERLINK("https%3A%2F%2Fwww.webofscience.com%2Fwos%2Fwoscc%2Ffull-record%2FWOS:001020018700001","View Full Record in Web of Science")</f>
        <v>View Full Record in Web of Science</v>
      </c>
    </row>
    <row r="928" spans="1:72" x14ac:dyDescent="0.15">
      <c r="A928" t="s">
        <v>72</v>
      </c>
      <c r="B928" t="s">
        <v>16561</v>
      </c>
      <c r="C928" t="s">
        <v>74</v>
      </c>
      <c r="D928" t="s">
        <v>74</v>
      </c>
      <c r="E928" t="s">
        <v>74</v>
      </c>
      <c r="F928" t="s">
        <v>16562</v>
      </c>
      <c r="G928" t="s">
        <v>74</v>
      </c>
      <c r="H928" t="s">
        <v>74</v>
      </c>
      <c r="I928" t="s">
        <v>16563</v>
      </c>
      <c r="J928" t="s">
        <v>16564</v>
      </c>
      <c r="K928" t="s">
        <v>74</v>
      </c>
      <c r="L928" t="s">
        <v>74</v>
      </c>
      <c r="M928" t="s">
        <v>78</v>
      </c>
      <c r="N928" t="s">
        <v>2650</v>
      </c>
      <c r="O928" t="s">
        <v>74</v>
      </c>
      <c r="P928" t="s">
        <v>74</v>
      </c>
      <c r="Q928" t="s">
        <v>74</v>
      </c>
      <c r="R928" t="s">
        <v>74</v>
      </c>
      <c r="S928" t="s">
        <v>74</v>
      </c>
      <c r="T928" t="s">
        <v>74</v>
      </c>
      <c r="U928" t="s">
        <v>74</v>
      </c>
      <c r="V928" t="s">
        <v>74</v>
      </c>
      <c r="W928" t="s">
        <v>16565</v>
      </c>
      <c r="X928" t="s">
        <v>74</v>
      </c>
      <c r="Y928" t="s">
        <v>16566</v>
      </c>
      <c r="Z928" t="s">
        <v>74</v>
      </c>
      <c r="AA928" t="s">
        <v>74</v>
      </c>
      <c r="AB928" t="s">
        <v>74</v>
      </c>
      <c r="AC928" t="s">
        <v>74</v>
      </c>
      <c r="AD928" t="s">
        <v>74</v>
      </c>
      <c r="AE928" t="s">
        <v>74</v>
      </c>
      <c r="AF928" t="s">
        <v>74</v>
      </c>
      <c r="AG928">
        <v>0</v>
      </c>
      <c r="AH928">
        <v>0</v>
      </c>
      <c r="AI928">
        <v>0</v>
      </c>
      <c r="AJ928">
        <v>0</v>
      </c>
      <c r="AK928">
        <v>0</v>
      </c>
      <c r="AL928" t="s">
        <v>184</v>
      </c>
      <c r="AM928" t="s">
        <v>185</v>
      </c>
      <c r="AN928" t="s">
        <v>186</v>
      </c>
      <c r="AO928" t="s">
        <v>16567</v>
      </c>
      <c r="AP928" t="s">
        <v>16568</v>
      </c>
      <c r="AQ928" t="s">
        <v>74</v>
      </c>
      <c r="AR928" t="s">
        <v>16569</v>
      </c>
      <c r="AS928" t="s">
        <v>16570</v>
      </c>
      <c r="AT928" t="s">
        <v>7845</v>
      </c>
      <c r="AU928">
        <v>2023</v>
      </c>
      <c r="AV928">
        <v>7</v>
      </c>
      <c r="AW928">
        <v>4</v>
      </c>
      <c r="AX928" t="s">
        <v>74</v>
      </c>
      <c r="AY928" t="s">
        <v>74</v>
      </c>
      <c r="AZ928" t="s">
        <v>74</v>
      </c>
      <c r="BA928" t="s">
        <v>74</v>
      </c>
      <c r="BB928">
        <v>171</v>
      </c>
      <c r="BC928">
        <v>172</v>
      </c>
      <c r="BD928">
        <v>2228641</v>
      </c>
      <c r="BE928" t="s">
        <v>16571</v>
      </c>
      <c r="BF928" t="str">
        <f>HYPERLINK("http://dx.doi.org/10.1080/24745332.2023.2228641","http://dx.doi.org/10.1080/24745332.2023.2228641")</f>
        <v>http://dx.doi.org/10.1080/24745332.2023.2228641</v>
      </c>
      <c r="BG928" t="s">
        <v>74</v>
      </c>
      <c r="BH928" t="s">
        <v>74</v>
      </c>
      <c r="BI928">
        <v>2</v>
      </c>
      <c r="BJ928" t="s">
        <v>16572</v>
      </c>
      <c r="BK928" t="s">
        <v>211</v>
      </c>
      <c r="BL928" t="s">
        <v>16572</v>
      </c>
      <c r="BM928" t="s">
        <v>16573</v>
      </c>
      <c r="BN928" t="s">
        <v>74</v>
      </c>
      <c r="BO928" t="s">
        <v>5391</v>
      </c>
      <c r="BP928" t="s">
        <v>74</v>
      </c>
      <c r="BQ928" t="s">
        <v>74</v>
      </c>
      <c r="BR928" t="s">
        <v>105</v>
      </c>
      <c r="BS928" t="s">
        <v>16574</v>
      </c>
      <c r="BT928" t="str">
        <f>HYPERLINK("https%3A%2F%2Fwww.webofscience.com%2Fwos%2Fwoscc%2Ffull-record%2FWOS:001071050500001","View Full Record in Web of Science")</f>
        <v>View Full Record in Web of Science</v>
      </c>
    </row>
    <row r="929" spans="1:72" x14ac:dyDescent="0.15">
      <c r="A929" t="s">
        <v>72</v>
      </c>
      <c r="B929" t="s">
        <v>16575</v>
      </c>
      <c r="C929" t="s">
        <v>74</v>
      </c>
      <c r="D929" t="s">
        <v>74</v>
      </c>
      <c r="E929" t="s">
        <v>74</v>
      </c>
      <c r="F929" t="s">
        <v>16576</v>
      </c>
      <c r="G929" t="s">
        <v>74</v>
      </c>
      <c r="H929" t="s">
        <v>74</v>
      </c>
      <c r="I929" t="s">
        <v>16577</v>
      </c>
      <c r="J929" t="s">
        <v>16578</v>
      </c>
      <c r="K929" t="s">
        <v>74</v>
      </c>
      <c r="L929" t="s">
        <v>74</v>
      </c>
      <c r="M929" t="s">
        <v>78</v>
      </c>
      <c r="N929" t="s">
        <v>3443</v>
      </c>
      <c r="O929" t="s">
        <v>74</v>
      </c>
      <c r="P929" t="s">
        <v>74</v>
      </c>
      <c r="Q929" t="s">
        <v>74</v>
      </c>
      <c r="R929" t="s">
        <v>74</v>
      </c>
      <c r="S929" t="s">
        <v>74</v>
      </c>
      <c r="T929" t="s">
        <v>74</v>
      </c>
      <c r="U929" t="s">
        <v>74</v>
      </c>
      <c r="V929" t="s">
        <v>74</v>
      </c>
      <c r="W929" t="s">
        <v>16579</v>
      </c>
      <c r="X929" t="s">
        <v>16580</v>
      </c>
      <c r="Y929" t="s">
        <v>16581</v>
      </c>
      <c r="Z929" t="s">
        <v>16582</v>
      </c>
      <c r="AA929" t="s">
        <v>74</v>
      </c>
      <c r="AB929" t="s">
        <v>74</v>
      </c>
      <c r="AC929" t="s">
        <v>74</v>
      </c>
      <c r="AD929" t="s">
        <v>74</v>
      </c>
      <c r="AE929" t="s">
        <v>74</v>
      </c>
      <c r="AF929" t="s">
        <v>74</v>
      </c>
      <c r="AG929">
        <v>1</v>
      </c>
      <c r="AH929">
        <v>0</v>
      </c>
      <c r="AI929">
        <v>0</v>
      </c>
      <c r="AJ929">
        <v>0</v>
      </c>
      <c r="AK929">
        <v>0</v>
      </c>
      <c r="AL929" t="s">
        <v>1188</v>
      </c>
      <c r="AM929" t="s">
        <v>93</v>
      </c>
      <c r="AN929" t="s">
        <v>1189</v>
      </c>
      <c r="AO929" t="s">
        <v>16583</v>
      </c>
      <c r="AP929" t="s">
        <v>16584</v>
      </c>
      <c r="AQ929" t="s">
        <v>74</v>
      </c>
      <c r="AR929" t="s">
        <v>16585</v>
      </c>
      <c r="AS929" t="s">
        <v>16586</v>
      </c>
      <c r="AT929" t="s">
        <v>7845</v>
      </c>
      <c r="AU929">
        <v>2023</v>
      </c>
      <c r="AV929">
        <v>28</v>
      </c>
      <c r="AW929">
        <v>5</v>
      </c>
      <c r="AX929" t="s">
        <v>74</v>
      </c>
      <c r="AY929" t="s">
        <v>74</v>
      </c>
      <c r="AZ929" t="s">
        <v>74</v>
      </c>
      <c r="BA929" t="s">
        <v>74</v>
      </c>
      <c r="BB929">
        <v>519</v>
      </c>
      <c r="BC929">
        <v>526</v>
      </c>
      <c r="BD929" t="s">
        <v>74</v>
      </c>
      <c r="BE929" t="s">
        <v>16587</v>
      </c>
      <c r="BF929" t="str">
        <f>HYPERLINK("http://dx.doi.org/10.1080/10848770.2023.2180876","http://dx.doi.org/10.1080/10848770.2023.2180876")</f>
        <v>http://dx.doi.org/10.1080/10848770.2023.2180876</v>
      </c>
      <c r="BG929" t="s">
        <v>74</v>
      </c>
      <c r="BH929" t="s">
        <v>74</v>
      </c>
      <c r="BI929">
        <v>8</v>
      </c>
      <c r="BJ929" t="s">
        <v>575</v>
      </c>
      <c r="BK929" t="s">
        <v>6264</v>
      </c>
      <c r="BL929" t="s">
        <v>576</v>
      </c>
      <c r="BM929" t="s">
        <v>16588</v>
      </c>
      <c r="BN929" t="s">
        <v>74</v>
      </c>
      <c r="BO929" t="s">
        <v>74</v>
      </c>
      <c r="BP929" t="s">
        <v>74</v>
      </c>
      <c r="BQ929" t="s">
        <v>74</v>
      </c>
      <c r="BR929" t="s">
        <v>105</v>
      </c>
      <c r="BS929" t="s">
        <v>16589</v>
      </c>
      <c r="BT929" t="str">
        <f>HYPERLINK("https%3A%2F%2Fwww.webofscience.com%2Fwos%2Fwoscc%2Ffull-record%2FWOS:001031841700004","View Full Record in Web of Science")</f>
        <v>View Full Record in Web of Science</v>
      </c>
    </row>
    <row r="930" spans="1:72" x14ac:dyDescent="0.15">
      <c r="A930" t="s">
        <v>72</v>
      </c>
      <c r="B930" t="s">
        <v>16590</v>
      </c>
      <c r="C930" t="s">
        <v>74</v>
      </c>
      <c r="D930" t="s">
        <v>74</v>
      </c>
      <c r="E930" t="s">
        <v>74</v>
      </c>
      <c r="F930" t="s">
        <v>16591</v>
      </c>
      <c r="G930" t="s">
        <v>74</v>
      </c>
      <c r="H930" t="s">
        <v>74</v>
      </c>
      <c r="I930" t="s">
        <v>16592</v>
      </c>
      <c r="J930" t="s">
        <v>16593</v>
      </c>
      <c r="K930" t="s">
        <v>74</v>
      </c>
      <c r="L930" t="s">
        <v>74</v>
      </c>
      <c r="M930" t="s">
        <v>78</v>
      </c>
      <c r="N930" t="s">
        <v>5492</v>
      </c>
      <c r="O930" t="s">
        <v>74</v>
      </c>
      <c r="P930" t="s">
        <v>74</v>
      </c>
      <c r="Q930" t="s">
        <v>74</v>
      </c>
      <c r="R930" t="s">
        <v>74</v>
      </c>
      <c r="S930" t="s">
        <v>74</v>
      </c>
      <c r="T930" t="s">
        <v>16594</v>
      </c>
      <c r="U930" t="s">
        <v>16595</v>
      </c>
      <c r="V930" t="s">
        <v>16596</v>
      </c>
      <c r="W930" t="s">
        <v>16597</v>
      </c>
      <c r="X930" t="s">
        <v>16598</v>
      </c>
      <c r="Y930" t="s">
        <v>16599</v>
      </c>
      <c r="Z930" t="s">
        <v>16600</v>
      </c>
      <c r="AA930" t="s">
        <v>74</v>
      </c>
      <c r="AB930" t="s">
        <v>74</v>
      </c>
      <c r="AC930" t="s">
        <v>74</v>
      </c>
      <c r="AD930" t="s">
        <v>74</v>
      </c>
      <c r="AE930" t="s">
        <v>74</v>
      </c>
      <c r="AF930" t="s">
        <v>74</v>
      </c>
      <c r="AG930">
        <v>84</v>
      </c>
      <c r="AH930">
        <v>0</v>
      </c>
      <c r="AI930">
        <v>0</v>
      </c>
      <c r="AJ930">
        <v>3</v>
      </c>
      <c r="AK930">
        <v>3</v>
      </c>
      <c r="AL930" t="s">
        <v>1188</v>
      </c>
      <c r="AM930" t="s">
        <v>93</v>
      </c>
      <c r="AN930" t="s">
        <v>1189</v>
      </c>
      <c r="AO930" t="s">
        <v>16601</v>
      </c>
      <c r="AP930" t="s">
        <v>16602</v>
      </c>
      <c r="AQ930" t="s">
        <v>74</v>
      </c>
      <c r="AR930" t="s">
        <v>16603</v>
      </c>
      <c r="AS930" t="s">
        <v>16604</v>
      </c>
      <c r="AT930" t="s">
        <v>16524</v>
      </c>
      <c r="AU930">
        <v>2023</v>
      </c>
      <c r="AV930" t="s">
        <v>74</v>
      </c>
      <c r="AW930" t="s">
        <v>74</v>
      </c>
      <c r="AX930" t="s">
        <v>74</v>
      </c>
      <c r="AY930" t="s">
        <v>74</v>
      </c>
      <c r="AZ930" t="s">
        <v>74</v>
      </c>
      <c r="BA930" t="s">
        <v>74</v>
      </c>
      <c r="BB930" t="s">
        <v>74</v>
      </c>
      <c r="BC930" t="s">
        <v>74</v>
      </c>
      <c r="BD930" t="s">
        <v>74</v>
      </c>
      <c r="BE930" t="s">
        <v>16605</v>
      </c>
      <c r="BF930" t="str">
        <f>HYPERLINK("http://dx.doi.org/10.1080/13569775.2023.2230718","http://dx.doi.org/10.1080/13569775.2023.2230718")</f>
        <v>http://dx.doi.org/10.1080/13569775.2023.2230718</v>
      </c>
      <c r="BG930" t="s">
        <v>74</v>
      </c>
      <c r="BH930" t="s">
        <v>12687</v>
      </c>
      <c r="BI930">
        <v>21</v>
      </c>
      <c r="BJ930" t="s">
        <v>6893</v>
      </c>
      <c r="BK930" t="s">
        <v>272</v>
      </c>
      <c r="BL930" t="s">
        <v>6894</v>
      </c>
      <c r="BM930" t="s">
        <v>16606</v>
      </c>
      <c r="BN930" t="s">
        <v>74</v>
      </c>
      <c r="BO930" t="s">
        <v>74</v>
      </c>
      <c r="BP930" t="s">
        <v>74</v>
      </c>
      <c r="BQ930" t="s">
        <v>74</v>
      </c>
      <c r="BR930" t="s">
        <v>105</v>
      </c>
      <c r="BS930" t="s">
        <v>16607</v>
      </c>
      <c r="BT930" t="str">
        <f>HYPERLINK("https%3A%2F%2Fwww.webofscience.com%2Fwos%2Fwoscc%2Ffull-record%2FWOS:001023004600001","View Full Record in Web of Science")</f>
        <v>View Full Record in Web of Science</v>
      </c>
    </row>
    <row r="931" spans="1:72" x14ac:dyDescent="0.15">
      <c r="A931" t="s">
        <v>72</v>
      </c>
      <c r="B931" t="s">
        <v>16608</v>
      </c>
      <c r="C931" t="s">
        <v>74</v>
      </c>
      <c r="D931" t="s">
        <v>74</v>
      </c>
      <c r="E931" t="s">
        <v>74</v>
      </c>
      <c r="F931" t="s">
        <v>16609</v>
      </c>
      <c r="G931" t="s">
        <v>74</v>
      </c>
      <c r="H931" t="s">
        <v>74</v>
      </c>
      <c r="I931" t="s">
        <v>16610</v>
      </c>
      <c r="J931" t="s">
        <v>15069</v>
      </c>
      <c r="K931" t="s">
        <v>74</v>
      </c>
      <c r="L931" t="s">
        <v>74</v>
      </c>
      <c r="M931" t="s">
        <v>78</v>
      </c>
      <c r="N931" t="s">
        <v>5492</v>
      </c>
      <c r="O931" t="s">
        <v>74</v>
      </c>
      <c r="P931" t="s">
        <v>74</v>
      </c>
      <c r="Q931" t="s">
        <v>74</v>
      </c>
      <c r="R931" t="s">
        <v>74</v>
      </c>
      <c r="S931" t="s">
        <v>74</v>
      </c>
      <c r="T931" t="s">
        <v>16611</v>
      </c>
      <c r="U931" t="s">
        <v>16612</v>
      </c>
      <c r="V931" t="s">
        <v>16613</v>
      </c>
      <c r="W931" t="s">
        <v>16614</v>
      </c>
      <c r="X931" t="s">
        <v>16615</v>
      </c>
      <c r="Y931" t="s">
        <v>16616</v>
      </c>
      <c r="Z931" t="s">
        <v>16617</v>
      </c>
      <c r="AA931" t="s">
        <v>74</v>
      </c>
      <c r="AB931" t="s">
        <v>16618</v>
      </c>
      <c r="AC931" t="s">
        <v>74</v>
      </c>
      <c r="AD931" t="s">
        <v>74</v>
      </c>
      <c r="AE931" t="s">
        <v>74</v>
      </c>
      <c r="AF931" t="s">
        <v>74</v>
      </c>
      <c r="AG931">
        <v>63</v>
      </c>
      <c r="AH931">
        <v>0</v>
      </c>
      <c r="AI931">
        <v>0</v>
      </c>
      <c r="AJ931">
        <v>8</v>
      </c>
      <c r="AK931">
        <v>8</v>
      </c>
      <c r="AL931" t="s">
        <v>1188</v>
      </c>
      <c r="AM931" t="s">
        <v>93</v>
      </c>
      <c r="AN931" t="s">
        <v>1189</v>
      </c>
      <c r="AO931" t="s">
        <v>15078</v>
      </c>
      <c r="AP931" t="s">
        <v>15079</v>
      </c>
      <c r="AQ931" t="s">
        <v>74</v>
      </c>
      <c r="AR931" t="s">
        <v>15080</v>
      </c>
      <c r="AS931" t="s">
        <v>15081</v>
      </c>
      <c r="AT931" t="s">
        <v>16524</v>
      </c>
      <c r="AU931">
        <v>2023</v>
      </c>
      <c r="AV931" t="s">
        <v>74</v>
      </c>
      <c r="AW931" t="s">
        <v>74</v>
      </c>
      <c r="AX931" t="s">
        <v>74</v>
      </c>
      <c r="AY931" t="s">
        <v>74</v>
      </c>
      <c r="AZ931" t="s">
        <v>74</v>
      </c>
      <c r="BA931" t="s">
        <v>74</v>
      </c>
      <c r="BB931" t="s">
        <v>74</v>
      </c>
      <c r="BC931" t="s">
        <v>74</v>
      </c>
      <c r="BD931" t="s">
        <v>74</v>
      </c>
      <c r="BE931" t="s">
        <v>16619</v>
      </c>
      <c r="BF931" t="str">
        <f>HYPERLINK("http://dx.doi.org/10.1080/17439884.2023.2230893","http://dx.doi.org/10.1080/17439884.2023.2230893")</f>
        <v>http://dx.doi.org/10.1080/17439884.2023.2230893</v>
      </c>
      <c r="BG931" t="s">
        <v>74</v>
      </c>
      <c r="BH931" t="s">
        <v>12687</v>
      </c>
      <c r="BI931">
        <v>14</v>
      </c>
      <c r="BJ931" t="s">
        <v>271</v>
      </c>
      <c r="BK931" t="s">
        <v>272</v>
      </c>
      <c r="BL931" t="s">
        <v>271</v>
      </c>
      <c r="BM931" t="s">
        <v>16620</v>
      </c>
      <c r="BN931" t="s">
        <v>74</v>
      </c>
      <c r="BO931" t="s">
        <v>887</v>
      </c>
      <c r="BP931" t="s">
        <v>74</v>
      </c>
      <c r="BQ931" t="s">
        <v>74</v>
      </c>
      <c r="BR931" t="s">
        <v>105</v>
      </c>
      <c r="BS931" t="s">
        <v>16621</v>
      </c>
      <c r="BT931" t="str">
        <f>HYPERLINK("https%3A%2F%2Fwww.webofscience.com%2Fwos%2Fwoscc%2Ffull-record%2FWOS:001017887000001","View Full Record in Web of Science")</f>
        <v>View Full Record in Web of Science</v>
      </c>
    </row>
    <row r="932" spans="1:72" x14ac:dyDescent="0.15">
      <c r="A932" t="s">
        <v>72</v>
      </c>
      <c r="B932" t="s">
        <v>16622</v>
      </c>
      <c r="C932" t="s">
        <v>74</v>
      </c>
      <c r="D932" t="s">
        <v>74</v>
      </c>
      <c r="E932" t="s">
        <v>74</v>
      </c>
      <c r="F932" t="s">
        <v>16623</v>
      </c>
      <c r="G932" t="s">
        <v>74</v>
      </c>
      <c r="H932" t="s">
        <v>74</v>
      </c>
      <c r="I932" t="s">
        <v>16624</v>
      </c>
      <c r="J932" t="s">
        <v>16625</v>
      </c>
      <c r="K932" t="s">
        <v>74</v>
      </c>
      <c r="L932" t="s">
        <v>74</v>
      </c>
      <c r="M932" t="s">
        <v>78</v>
      </c>
      <c r="N932" t="s">
        <v>171</v>
      </c>
      <c r="O932" t="s">
        <v>74</v>
      </c>
      <c r="P932" t="s">
        <v>74</v>
      </c>
      <c r="Q932" t="s">
        <v>74</v>
      </c>
      <c r="R932" t="s">
        <v>74</v>
      </c>
      <c r="S932" t="s">
        <v>74</v>
      </c>
      <c r="T932" t="s">
        <v>16626</v>
      </c>
      <c r="U932" t="s">
        <v>74</v>
      </c>
      <c r="V932" t="s">
        <v>16627</v>
      </c>
      <c r="W932" t="s">
        <v>16628</v>
      </c>
      <c r="X932" t="s">
        <v>11513</v>
      </c>
      <c r="Y932" t="s">
        <v>16629</v>
      </c>
      <c r="Z932" t="s">
        <v>74</v>
      </c>
      <c r="AA932" t="s">
        <v>74</v>
      </c>
      <c r="AB932" t="s">
        <v>74</v>
      </c>
      <c r="AC932" t="s">
        <v>74</v>
      </c>
      <c r="AD932" t="s">
        <v>74</v>
      </c>
      <c r="AE932" t="s">
        <v>74</v>
      </c>
      <c r="AF932" t="s">
        <v>74</v>
      </c>
      <c r="AG932">
        <v>16</v>
      </c>
      <c r="AH932">
        <v>1</v>
      </c>
      <c r="AI932">
        <v>1</v>
      </c>
      <c r="AJ932">
        <v>0</v>
      </c>
      <c r="AK932">
        <v>0</v>
      </c>
      <c r="AL932" t="s">
        <v>1188</v>
      </c>
      <c r="AM932" t="s">
        <v>93</v>
      </c>
      <c r="AN932" t="s">
        <v>1189</v>
      </c>
      <c r="AO932" t="s">
        <v>16630</v>
      </c>
      <c r="AP932" t="s">
        <v>16631</v>
      </c>
      <c r="AQ932" t="s">
        <v>74</v>
      </c>
      <c r="AR932" t="s">
        <v>16625</v>
      </c>
      <c r="AS932" t="s">
        <v>16632</v>
      </c>
      <c r="AT932" t="s">
        <v>7845</v>
      </c>
      <c r="AU932">
        <v>2023</v>
      </c>
      <c r="AV932">
        <v>65</v>
      </c>
      <c r="AW932">
        <v>4</v>
      </c>
      <c r="AX932" t="s">
        <v>74</v>
      </c>
      <c r="AY932" t="s">
        <v>74</v>
      </c>
      <c r="AZ932" t="s">
        <v>74</v>
      </c>
      <c r="BA932" t="s">
        <v>74</v>
      </c>
      <c r="BB932">
        <v>169</v>
      </c>
      <c r="BC932">
        <v>178</v>
      </c>
      <c r="BD932" t="s">
        <v>74</v>
      </c>
      <c r="BE932" t="s">
        <v>16633</v>
      </c>
      <c r="BF932" t="str">
        <f>HYPERLINK("http://dx.doi.org/10.1080/00396338.2023.2239067","http://dx.doi.org/10.1080/00396338.2023.2239067")</f>
        <v>http://dx.doi.org/10.1080/00396338.2023.2239067</v>
      </c>
      <c r="BG932" t="s">
        <v>74</v>
      </c>
      <c r="BH932" t="s">
        <v>74</v>
      </c>
      <c r="BI932">
        <v>10</v>
      </c>
      <c r="BJ932" t="s">
        <v>8001</v>
      </c>
      <c r="BK932" t="s">
        <v>272</v>
      </c>
      <c r="BL932" t="s">
        <v>8002</v>
      </c>
      <c r="BM932" t="s">
        <v>16634</v>
      </c>
      <c r="BN932" t="s">
        <v>74</v>
      </c>
      <c r="BO932" t="s">
        <v>74</v>
      </c>
      <c r="BP932" t="s">
        <v>74</v>
      </c>
      <c r="BQ932" t="s">
        <v>74</v>
      </c>
      <c r="BR932" t="s">
        <v>105</v>
      </c>
      <c r="BS932" t="s">
        <v>16635</v>
      </c>
      <c r="BT932" t="str">
        <f>HYPERLINK("https%3A%2F%2Fwww.webofscience.com%2Fwos%2Fwoscc%2Ffull-record%2FWOS:001054487500011","View Full Record in Web of Science")</f>
        <v>View Full Record in Web of Science</v>
      </c>
    </row>
    <row r="933" spans="1:72" x14ac:dyDescent="0.15">
      <c r="A933" t="s">
        <v>72</v>
      </c>
      <c r="B933" t="s">
        <v>16636</v>
      </c>
      <c r="C933" t="s">
        <v>74</v>
      </c>
      <c r="D933" t="s">
        <v>74</v>
      </c>
      <c r="E933" t="s">
        <v>74</v>
      </c>
      <c r="F933" t="s">
        <v>16637</v>
      </c>
      <c r="G933" t="s">
        <v>74</v>
      </c>
      <c r="H933" t="s">
        <v>74</v>
      </c>
      <c r="I933" t="s">
        <v>16638</v>
      </c>
      <c r="J933" t="s">
        <v>10327</v>
      </c>
      <c r="K933" t="s">
        <v>74</v>
      </c>
      <c r="L933" t="s">
        <v>74</v>
      </c>
      <c r="M933" t="s">
        <v>78</v>
      </c>
      <c r="N933" t="s">
        <v>3443</v>
      </c>
      <c r="O933" t="s">
        <v>74</v>
      </c>
      <c r="P933" t="s">
        <v>74</v>
      </c>
      <c r="Q933" t="s">
        <v>74</v>
      </c>
      <c r="R933" t="s">
        <v>74</v>
      </c>
      <c r="S933" t="s">
        <v>74</v>
      </c>
      <c r="T933" t="s">
        <v>74</v>
      </c>
      <c r="U933" t="s">
        <v>74</v>
      </c>
      <c r="V933" t="s">
        <v>74</v>
      </c>
      <c r="W933" t="s">
        <v>16639</v>
      </c>
      <c r="X933" t="s">
        <v>16640</v>
      </c>
      <c r="Y933" t="s">
        <v>16641</v>
      </c>
      <c r="Z933" t="s">
        <v>16642</v>
      </c>
      <c r="AA933" t="s">
        <v>74</v>
      </c>
      <c r="AB933" t="s">
        <v>16643</v>
      </c>
      <c r="AC933" t="s">
        <v>74</v>
      </c>
      <c r="AD933" t="s">
        <v>74</v>
      </c>
      <c r="AE933" t="s">
        <v>74</v>
      </c>
      <c r="AF933" t="s">
        <v>74</v>
      </c>
      <c r="AG933">
        <v>1</v>
      </c>
      <c r="AH933">
        <v>0</v>
      </c>
      <c r="AI933">
        <v>0</v>
      </c>
      <c r="AJ933">
        <v>2</v>
      </c>
      <c r="AK933">
        <v>2</v>
      </c>
      <c r="AL933" t="s">
        <v>1188</v>
      </c>
      <c r="AM933" t="s">
        <v>93</v>
      </c>
      <c r="AN933" t="s">
        <v>1189</v>
      </c>
      <c r="AO933" t="s">
        <v>10333</v>
      </c>
      <c r="AP933" t="s">
        <v>10334</v>
      </c>
      <c r="AQ933" t="s">
        <v>74</v>
      </c>
      <c r="AR933" t="s">
        <v>10335</v>
      </c>
      <c r="AS933" t="s">
        <v>10336</v>
      </c>
      <c r="AT933" t="s">
        <v>7845</v>
      </c>
      <c r="AU933">
        <v>2023</v>
      </c>
      <c r="AV933">
        <v>64</v>
      </c>
      <c r="AW933">
        <v>5</v>
      </c>
      <c r="AX933" t="s">
        <v>74</v>
      </c>
      <c r="AY933" t="s">
        <v>74</v>
      </c>
      <c r="AZ933" t="s">
        <v>74</v>
      </c>
      <c r="BA933" t="s">
        <v>74</v>
      </c>
      <c r="BB933">
        <v>675</v>
      </c>
      <c r="BC933">
        <v>677</v>
      </c>
      <c r="BD933" t="s">
        <v>74</v>
      </c>
      <c r="BE933" t="s">
        <v>16644</v>
      </c>
      <c r="BF933" t="str">
        <f>HYPERLINK("http://dx.doi.org/10.1080/15387216.2021.2002171","http://dx.doi.org/10.1080/15387216.2021.2002171")</f>
        <v>http://dx.doi.org/10.1080/15387216.2021.2002171</v>
      </c>
      <c r="BG933" t="s">
        <v>74</v>
      </c>
      <c r="BH933" t="s">
        <v>74</v>
      </c>
      <c r="BI933">
        <v>3</v>
      </c>
      <c r="BJ933" t="s">
        <v>10338</v>
      </c>
      <c r="BK933" t="s">
        <v>272</v>
      </c>
      <c r="BL933" t="s">
        <v>10338</v>
      </c>
      <c r="BM933" t="s">
        <v>16645</v>
      </c>
      <c r="BN933" t="s">
        <v>74</v>
      </c>
      <c r="BO933" t="s">
        <v>74</v>
      </c>
      <c r="BP933" t="s">
        <v>74</v>
      </c>
      <c r="BQ933" t="s">
        <v>74</v>
      </c>
      <c r="BR933" t="s">
        <v>105</v>
      </c>
      <c r="BS933" t="s">
        <v>16646</v>
      </c>
      <c r="BT933" t="str">
        <f>HYPERLINK("https%3A%2F%2Fwww.webofscience.com%2Fwos%2Fwoscc%2Ffull-record%2FWOS:001021576300011","View Full Record in Web of Science")</f>
        <v>View Full Record in Web of Science</v>
      </c>
    </row>
    <row r="934" spans="1:72" x14ac:dyDescent="0.15">
      <c r="A934" t="s">
        <v>72</v>
      </c>
      <c r="B934" t="s">
        <v>16647</v>
      </c>
      <c r="C934" t="s">
        <v>74</v>
      </c>
      <c r="D934" t="s">
        <v>74</v>
      </c>
      <c r="E934" t="s">
        <v>74</v>
      </c>
      <c r="F934" t="s">
        <v>16648</v>
      </c>
      <c r="G934" t="s">
        <v>74</v>
      </c>
      <c r="H934" t="s">
        <v>74</v>
      </c>
      <c r="I934" t="s">
        <v>16649</v>
      </c>
      <c r="J934" t="s">
        <v>16650</v>
      </c>
      <c r="K934" t="s">
        <v>74</v>
      </c>
      <c r="L934" t="s">
        <v>74</v>
      </c>
      <c r="M934" t="s">
        <v>78</v>
      </c>
      <c r="N934" t="s">
        <v>2650</v>
      </c>
      <c r="O934" t="s">
        <v>74</v>
      </c>
      <c r="P934" t="s">
        <v>74</v>
      </c>
      <c r="Q934" t="s">
        <v>74</v>
      </c>
      <c r="R934" t="s">
        <v>74</v>
      </c>
      <c r="S934" t="s">
        <v>74</v>
      </c>
      <c r="T934" t="s">
        <v>74</v>
      </c>
      <c r="U934" t="s">
        <v>74</v>
      </c>
      <c r="V934" t="s">
        <v>74</v>
      </c>
      <c r="W934" t="s">
        <v>16651</v>
      </c>
      <c r="X934" t="s">
        <v>16652</v>
      </c>
      <c r="Y934" t="s">
        <v>16653</v>
      </c>
      <c r="Z934" t="s">
        <v>16654</v>
      </c>
      <c r="AA934" t="s">
        <v>74</v>
      </c>
      <c r="AB934" t="s">
        <v>16655</v>
      </c>
      <c r="AC934" t="s">
        <v>16656</v>
      </c>
      <c r="AD934" t="s">
        <v>16657</v>
      </c>
      <c r="AE934" t="s">
        <v>16658</v>
      </c>
      <c r="AF934" t="s">
        <v>74</v>
      </c>
      <c r="AG934">
        <v>0</v>
      </c>
      <c r="AH934">
        <v>0</v>
      </c>
      <c r="AI934">
        <v>0</v>
      </c>
      <c r="AJ934">
        <v>2</v>
      </c>
      <c r="AK934">
        <v>2</v>
      </c>
      <c r="AL934" t="s">
        <v>1188</v>
      </c>
      <c r="AM934" t="s">
        <v>93</v>
      </c>
      <c r="AN934" t="s">
        <v>1189</v>
      </c>
      <c r="AO934" t="s">
        <v>16659</v>
      </c>
      <c r="AP934" t="s">
        <v>16660</v>
      </c>
      <c r="AQ934" t="s">
        <v>74</v>
      </c>
      <c r="AR934" t="s">
        <v>16661</v>
      </c>
      <c r="AS934" t="s">
        <v>16662</v>
      </c>
      <c r="AT934" t="s">
        <v>7845</v>
      </c>
      <c r="AU934">
        <v>2023</v>
      </c>
      <c r="AV934">
        <v>16</v>
      </c>
      <c r="AW934">
        <v>4</v>
      </c>
      <c r="AX934" t="s">
        <v>74</v>
      </c>
      <c r="AY934" t="s">
        <v>74</v>
      </c>
      <c r="AZ934" t="s">
        <v>74</v>
      </c>
      <c r="BA934" t="s">
        <v>74</v>
      </c>
      <c r="BB934">
        <v>576</v>
      </c>
      <c r="BC934">
        <v>578</v>
      </c>
      <c r="BD934" t="s">
        <v>74</v>
      </c>
      <c r="BE934" t="s">
        <v>16663</v>
      </c>
      <c r="BF934" t="str">
        <f>HYPERLINK("http://dx.doi.org/10.1080/17530350.2023.2240349","http://dx.doi.org/10.1080/17530350.2023.2240349")</f>
        <v>http://dx.doi.org/10.1080/17530350.2023.2240349</v>
      </c>
      <c r="BG934" t="s">
        <v>74</v>
      </c>
      <c r="BH934" t="s">
        <v>12687</v>
      </c>
      <c r="BI934">
        <v>3</v>
      </c>
      <c r="BJ934" t="s">
        <v>16664</v>
      </c>
      <c r="BK934" t="s">
        <v>7170</v>
      </c>
      <c r="BL934" t="s">
        <v>16665</v>
      </c>
      <c r="BM934" t="s">
        <v>16666</v>
      </c>
      <c r="BN934" t="s">
        <v>74</v>
      </c>
      <c r="BO934" t="s">
        <v>74</v>
      </c>
      <c r="BP934" t="s">
        <v>74</v>
      </c>
      <c r="BQ934" t="s">
        <v>74</v>
      </c>
      <c r="BR934" t="s">
        <v>105</v>
      </c>
      <c r="BS934" t="s">
        <v>16667</v>
      </c>
      <c r="BT934" t="str">
        <f>HYPERLINK("https%3A%2F%2Fwww.webofscience.com%2Fwos%2Fwoscc%2Ffull-record%2FWOS:001046146600001","View Full Record in Web of Science")</f>
        <v>View Full Record in Web of Science</v>
      </c>
    </row>
    <row r="935" spans="1:72" x14ac:dyDescent="0.15">
      <c r="A935" t="s">
        <v>72</v>
      </c>
      <c r="B935" t="s">
        <v>16668</v>
      </c>
      <c r="C935" t="s">
        <v>74</v>
      </c>
      <c r="D935" t="s">
        <v>74</v>
      </c>
      <c r="E935" t="s">
        <v>74</v>
      </c>
      <c r="F935" t="s">
        <v>16669</v>
      </c>
      <c r="G935" t="s">
        <v>74</v>
      </c>
      <c r="H935" t="s">
        <v>74</v>
      </c>
      <c r="I935" t="s">
        <v>16670</v>
      </c>
      <c r="J935" t="s">
        <v>16671</v>
      </c>
      <c r="K935" t="s">
        <v>74</v>
      </c>
      <c r="L935" t="s">
        <v>74</v>
      </c>
      <c r="M935" t="s">
        <v>78</v>
      </c>
      <c r="N935" t="s">
        <v>5492</v>
      </c>
      <c r="O935" t="s">
        <v>74</v>
      </c>
      <c r="P935" t="s">
        <v>74</v>
      </c>
      <c r="Q935" t="s">
        <v>74</v>
      </c>
      <c r="R935" t="s">
        <v>74</v>
      </c>
      <c r="S935" t="s">
        <v>74</v>
      </c>
      <c r="T935" t="s">
        <v>16672</v>
      </c>
      <c r="U935" t="s">
        <v>74</v>
      </c>
      <c r="V935" t="s">
        <v>16673</v>
      </c>
      <c r="W935" t="s">
        <v>16674</v>
      </c>
      <c r="X935" t="s">
        <v>16675</v>
      </c>
      <c r="Y935" t="s">
        <v>16676</v>
      </c>
      <c r="Z935" t="s">
        <v>16677</v>
      </c>
      <c r="AA935" t="s">
        <v>74</v>
      </c>
      <c r="AB935" t="s">
        <v>74</v>
      </c>
      <c r="AC935" t="s">
        <v>74</v>
      </c>
      <c r="AD935" t="s">
        <v>74</v>
      </c>
      <c r="AE935" t="s">
        <v>74</v>
      </c>
      <c r="AF935" t="s">
        <v>74</v>
      </c>
      <c r="AG935">
        <v>27</v>
      </c>
      <c r="AH935">
        <v>0</v>
      </c>
      <c r="AI935">
        <v>0</v>
      </c>
      <c r="AJ935">
        <v>0</v>
      </c>
      <c r="AK935">
        <v>0</v>
      </c>
      <c r="AL935" t="s">
        <v>92</v>
      </c>
      <c r="AM935" t="s">
        <v>93</v>
      </c>
      <c r="AN935" t="s">
        <v>94</v>
      </c>
      <c r="AO935" t="s">
        <v>16678</v>
      </c>
      <c r="AP935" t="s">
        <v>16679</v>
      </c>
      <c r="AQ935" t="s">
        <v>74</v>
      </c>
      <c r="AR935" t="s">
        <v>16680</v>
      </c>
      <c r="AS935" t="s">
        <v>16681</v>
      </c>
      <c r="AT935" t="s">
        <v>16524</v>
      </c>
      <c r="AU935">
        <v>2023</v>
      </c>
      <c r="AV935" t="s">
        <v>74</v>
      </c>
      <c r="AW935" t="s">
        <v>74</v>
      </c>
      <c r="AX935" t="s">
        <v>74</v>
      </c>
      <c r="AY935" t="s">
        <v>74</v>
      </c>
      <c r="AZ935" t="s">
        <v>74</v>
      </c>
      <c r="BA935" t="s">
        <v>74</v>
      </c>
      <c r="BB935" t="s">
        <v>74</v>
      </c>
      <c r="BC935" t="s">
        <v>74</v>
      </c>
      <c r="BD935" t="s">
        <v>74</v>
      </c>
      <c r="BE935" t="s">
        <v>16682</v>
      </c>
      <c r="BF935" t="str">
        <f>HYPERLINK("http://dx.doi.org/10.1080/13682199.2023.2204669","http://dx.doi.org/10.1080/13682199.2023.2204669")</f>
        <v>http://dx.doi.org/10.1080/13682199.2023.2204669</v>
      </c>
      <c r="BG935" t="s">
        <v>74</v>
      </c>
      <c r="BH935" t="s">
        <v>12687</v>
      </c>
      <c r="BI935">
        <v>13</v>
      </c>
      <c r="BJ935" t="s">
        <v>16683</v>
      </c>
      <c r="BK935" t="s">
        <v>102</v>
      </c>
      <c r="BL935" t="s">
        <v>16683</v>
      </c>
      <c r="BM935" t="s">
        <v>16684</v>
      </c>
      <c r="BN935" t="s">
        <v>74</v>
      </c>
      <c r="BO935" t="s">
        <v>74</v>
      </c>
      <c r="BP935" t="s">
        <v>74</v>
      </c>
      <c r="BQ935" t="s">
        <v>74</v>
      </c>
      <c r="BR935" t="s">
        <v>105</v>
      </c>
      <c r="BS935" t="s">
        <v>16685</v>
      </c>
      <c r="BT935" t="str">
        <f>HYPERLINK("https%3A%2F%2Fwww.webofscience.com%2Fwos%2Fwoscc%2Ffull-record%2FWOS:001021428700001","View Full Record in Web of Science")</f>
        <v>View Full Record in Web of Science</v>
      </c>
    </row>
    <row r="936" spans="1:72" x14ac:dyDescent="0.15">
      <c r="A936" t="s">
        <v>72</v>
      </c>
      <c r="B936" t="s">
        <v>16686</v>
      </c>
      <c r="C936" t="s">
        <v>74</v>
      </c>
      <c r="D936" t="s">
        <v>74</v>
      </c>
      <c r="E936" t="s">
        <v>74</v>
      </c>
      <c r="F936" t="s">
        <v>16687</v>
      </c>
      <c r="G936" t="s">
        <v>74</v>
      </c>
      <c r="H936" t="s">
        <v>74</v>
      </c>
      <c r="I936" t="s">
        <v>16688</v>
      </c>
      <c r="J936" t="s">
        <v>16689</v>
      </c>
      <c r="K936" t="s">
        <v>74</v>
      </c>
      <c r="L936" t="s">
        <v>74</v>
      </c>
      <c r="M936" t="s">
        <v>78</v>
      </c>
      <c r="N936" t="s">
        <v>5492</v>
      </c>
      <c r="O936" t="s">
        <v>74</v>
      </c>
      <c r="P936" t="s">
        <v>74</v>
      </c>
      <c r="Q936" t="s">
        <v>74</v>
      </c>
      <c r="R936" t="s">
        <v>74</v>
      </c>
      <c r="S936" t="s">
        <v>74</v>
      </c>
      <c r="T936" t="s">
        <v>16690</v>
      </c>
      <c r="U936" t="s">
        <v>16691</v>
      </c>
      <c r="V936" t="s">
        <v>16692</v>
      </c>
      <c r="W936" t="s">
        <v>16693</v>
      </c>
      <c r="X936" t="s">
        <v>16694</v>
      </c>
      <c r="Y936" t="s">
        <v>16695</v>
      </c>
      <c r="Z936" t="s">
        <v>16696</v>
      </c>
      <c r="AA936" t="s">
        <v>74</v>
      </c>
      <c r="AB936" t="s">
        <v>74</v>
      </c>
      <c r="AC936" t="s">
        <v>16697</v>
      </c>
      <c r="AD936" t="s">
        <v>1368</v>
      </c>
      <c r="AE936" t="s">
        <v>16698</v>
      </c>
      <c r="AF936" t="s">
        <v>74</v>
      </c>
      <c r="AG936">
        <v>37</v>
      </c>
      <c r="AH936">
        <v>0</v>
      </c>
      <c r="AI936">
        <v>0</v>
      </c>
      <c r="AJ936">
        <v>7</v>
      </c>
      <c r="AK936">
        <v>7</v>
      </c>
      <c r="AL936" t="s">
        <v>92</v>
      </c>
      <c r="AM936" t="s">
        <v>93</v>
      </c>
      <c r="AN936" t="s">
        <v>94</v>
      </c>
      <c r="AO936" t="s">
        <v>16699</v>
      </c>
      <c r="AP936" t="s">
        <v>16700</v>
      </c>
      <c r="AQ936" t="s">
        <v>74</v>
      </c>
      <c r="AR936" t="s">
        <v>16701</v>
      </c>
      <c r="AS936" t="s">
        <v>16702</v>
      </c>
      <c r="AT936" t="s">
        <v>16524</v>
      </c>
      <c r="AU936">
        <v>2023</v>
      </c>
      <c r="AV936" t="s">
        <v>74</v>
      </c>
      <c r="AW936" t="s">
        <v>74</v>
      </c>
      <c r="AX936" t="s">
        <v>74</v>
      </c>
      <c r="AY936" t="s">
        <v>74</v>
      </c>
      <c r="AZ936" t="s">
        <v>74</v>
      </c>
      <c r="BA936" t="s">
        <v>74</v>
      </c>
      <c r="BB936" t="s">
        <v>74</v>
      </c>
      <c r="BC936" t="s">
        <v>74</v>
      </c>
      <c r="BD936" t="s">
        <v>74</v>
      </c>
      <c r="BE936" t="s">
        <v>16703</v>
      </c>
      <c r="BF936" t="str">
        <f>HYPERLINK("http://dx.doi.org/10.1080/10242422.2023.2231122","http://dx.doi.org/10.1080/10242422.2023.2231122")</f>
        <v>http://dx.doi.org/10.1080/10242422.2023.2231122</v>
      </c>
      <c r="BG936" t="s">
        <v>74</v>
      </c>
      <c r="BH936" t="s">
        <v>12687</v>
      </c>
      <c r="BI936">
        <v>12</v>
      </c>
      <c r="BJ936" t="s">
        <v>9713</v>
      </c>
      <c r="BK936" t="s">
        <v>102</v>
      </c>
      <c r="BL936" t="s">
        <v>9713</v>
      </c>
      <c r="BM936" t="s">
        <v>16704</v>
      </c>
      <c r="BN936" t="s">
        <v>74</v>
      </c>
      <c r="BO936" t="s">
        <v>74</v>
      </c>
      <c r="BP936" t="s">
        <v>74</v>
      </c>
      <c r="BQ936" t="s">
        <v>74</v>
      </c>
      <c r="BR936" t="s">
        <v>105</v>
      </c>
      <c r="BS936" t="s">
        <v>16705</v>
      </c>
      <c r="BT936" t="str">
        <f>HYPERLINK("https%3A%2F%2Fwww.webofscience.com%2Fwos%2Fwoscc%2Ffull-record%2FWOS:001019811900001","View Full Record in Web of Science")</f>
        <v>View Full Record in Web of Science</v>
      </c>
    </row>
    <row r="937" spans="1:72" x14ac:dyDescent="0.15">
      <c r="A937" t="s">
        <v>72</v>
      </c>
      <c r="B937" t="s">
        <v>16706</v>
      </c>
      <c r="C937" t="s">
        <v>74</v>
      </c>
      <c r="D937" t="s">
        <v>74</v>
      </c>
      <c r="E937" t="s">
        <v>74</v>
      </c>
      <c r="F937" t="s">
        <v>16707</v>
      </c>
      <c r="G937" t="s">
        <v>74</v>
      </c>
      <c r="H937" t="s">
        <v>74</v>
      </c>
      <c r="I937" t="s">
        <v>16708</v>
      </c>
      <c r="J937" t="s">
        <v>16709</v>
      </c>
      <c r="K937" t="s">
        <v>74</v>
      </c>
      <c r="L937" t="s">
        <v>74</v>
      </c>
      <c r="M937" t="s">
        <v>78</v>
      </c>
      <c r="N937" t="s">
        <v>79</v>
      </c>
      <c r="O937" t="s">
        <v>74</v>
      </c>
      <c r="P937" t="s">
        <v>74</v>
      </c>
      <c r="Q937" t="s">
        <v>74</v>
      </c>
      <c r="R937" t="s">
        <v>74</v>
      </c>
      <c r="S937" t="s">
        <v>74</v>
      </c>
      <c r="T937" t="s">
        <v>16710</v>
      </c>
      <c r="U937" t="s">
        <v>16711</v>
      </c>
      <c r="V937" t="s">
        <v>16712</v>
      </c>
      <c r="W937" t="s">
        <v>16713</v>
      </c>
      <c r="X937" t="s">
        <v>2669</v>
      </c>
      <c r="Y937" t="s">
        <v>16714</v>
      </c>
      <c r="Z937" t="s">
        <v>16715</v>
      </c>
      <c r="AA937" t="s">
        <v>16716</v>
      </c>
      <c r="AB937" t="s">
        <v>16717</v>
      </c>
      <c r="AC937" t="s">
        <v>74</v>
      </c>
      <c r="AD937" t="s">
        <v>74</v>
      </c>
      <c r="AE937" t="s">
        <v>74</v>
      </c>
      <c r="AF937" t="s">
        <v>74</v>
      </c>
      <c r="AG937">
        <v>100</v>
      </c>
      <c r="AH937">
        <v>0</v>
      </c>
      <c r="AI937">
        <v>0</v>
      </c>
      <c r="AJ937">
        <v>0</v>
      </c>
      <c r="AK937">
        <v>0</v>
      </c>
      <c r="AL937" t="s">
        <v>1188</v>
      </c>
      <c r="AM937" t="s">
        <v>93</v>
      </c>
      <c r="AN937" t="s">
        <v>1189</v>
      </c>
      <c r="AO937" t="s">
        <v>16718</v>
      </c>
      <c r="AP937" t="s">
        <v>16719</v>
      </c>
      <c r="AQ937" t="s">
        <v>74</v>
      </c>
      <c r="AR937" t="s">
        <v>16720</v>
      </c>
      <c r="AS937" t="s">
        <v>16721</v>
      </c>
      <c r="AT937" t="s">
        <v>7845</v>
      </c>
      <c r="AU937">
        <v>2023</v>
      </c>
      <c r="AV937">
        <v>33</v>
      </c>
      <c r="AW937">
        <v>4</v>
      </c>
      <c r="AX937" t="s">
        <v>74</v>
      </c>
      <c r="AY937" t="s">
        <v>74</v>
      </c>
      <c r="AZ937" t="s">
        <v>74</v>
      </c>
      <c r="BA937" t="s">
        <v>74</v>
      </c>
      <c r="BB937">
        <v>337</v>
      </c>
      <c r="BC937">
        <v>347</v>
      </c>
      <c r="BD937" t="s">
        <v>74</v>
      </c>
      <c r="BE937" t="s">
        <v>16722</v>
      </c>
      <c r="BF937" t="str">
        <f>HYPERLINK("http://dx.doi.org/10.1080/14330237.2023.2233229","http://dx.doi.org/10.1080/14330237.2023.2233229")</f>
        <v>http://dx.doi.org/10.1080/14330237.2023.2233229</v>
      </c>
      <c r="BG937" t="s">
        <v>74</v>
      </c>
      <c r="BH937" t="s">
        <v>74</v>
      </c>
      <c r="BI937">
        <v>11</v>
      </c>
      <c r="BJ937" t="s">
        <v>1690</v>
      </c>
      <c r="BK937" t="s">
        <v>272</v>
      </c>
      <c r="BL937" t="s">
        <v>1691</v>
      </c>
      <c r="BM937" t="s">
        <v>16723</v>
      </c>
      <c r="BN937" t="s">
        <v>74</v>
      </c>
      <c r="BO937" t="s">
        <v>74</v>
      </c>
      <c r="BP937" t="s">
        <v>74</v>
      </c>
      <c r="BQ937" t="s">
        <v>74</v>
      </c>
      <c r="BR937" t="s">
        <v>105</v>
      </c>
      <c r="BS937" t="s">
        <v>16724</v>
      </c>
      <c r="BT937" t="str">
        <f>HYPERLINK("https%3A%2F%2Fwww.webofscience.com%2Fwos%2Fwoscc%2Ffull-record%2FWOS:001064367800005","View Full Record in Web of Science")</f>
        <v>View Full Record in Web of Science</v>
      </c>
    </row>
    <row r="938" spans="1:72" x14ac:dyDescent="0.15">
      <c r="A938" t="s">
        <v>72</v>
      </c>
      <c r="B938" t="s">
        <v>16725</v>
      </c>
      <c r="C938" t="s">
        <v>74</v>
      </c>
      <c r="D938" t="s">
        <v>74</v>
      </c>
      <c r="E938" t="s">
        <v>74</v>
      </c>
      <c r="F938" t="s">
        <v>16726</v>
      </c>
      <c r="G938" t="s">
        <v>74</v>
      </c>
      <c r="H938" t="s">
        <v>74</v>
      </c>
      <c r="I938" t="s">
        <v>16727</v>
      </c>
      <c r="J938" t="s">
        <v>14068</v>
      </c>
      <c r="K938" t="s">
        <v>74</v>
      </c>
      <c r="L938" t="s">
        <v>74</v>
      </c>
      <c r="M938" t="s">
        <v>78</v>
      </c>
      <c r="N938" t="s">
        <v>5492</v>
      </c>
      <c r="O938" t="s">
        <v>74</v>
      </c>
      <c r="P938" t="s">
        <v>74</v>
      </c>
      <c r="Q938" t="s">
        <v>74</v>
      </c>
      <c r="R938" t="s">
        <v>74</v>
      </c>
      <c r="S938" t="s">
        <v>74</v>
      </c>
      <c r="T938" t="s">
        <v>16728</v>
      </c>
      <c r="U938" t="s">
        <v>16729</v>
      </c>
      <c r="V938" t="s">
        <v>16730</v>
      </c>
      <c r="W938" t="s">
        <v>16731</v>
      </c>
      <c r="X938" t="s">
        <v>16732</v>
      </c>
      <c r="Y938" t="s">
        <v>16733</v>
      </c>
      <c r="Z938" t="s">
        <v>16734</v>
      </c>
      <c r="AA938" t="s">
        <v>74</v>
      </c>
      <c r="AB938" t="s">
        <v>74</v>
      </c>
      <c r="AC938" t="s">
        <v>16735</v>
      </c>
      <c r="AD938" t="s">
        <v>16736</v>
      </c>
      <c r="AE938" t="s">
        <v>16737</v>
      </c>
      <c r="AF938" t="s">
        <v>74</v>
      </c>
      <c r="AG938">
        <v>26</v>
      </c>
      <c r="AH938">
        <v>0</v>
      </c>
      <c r="AI938">
        <v>0</v>
      </c>
      <c r="AJ938">
        <v>4</v>
      </c>
      <c r="AK938">
        <v>4</v>
      </c>
      <c r="AL938" t="s">
        <v>1188</v>
      </c>
      <c r="AM938" t="s">
        <v>93</v>
      </c>
      <c r="AN938" t="s">
        <v>1189</v>
      </c>
      <c r="AO938" t="s">
        <v>14074</v>
      </c>
      <c r="AP938" t="s">
        <v>14075</v>
      </c>
      <c r="AQ938" t="s">
        <v>74</v>
      </c>
      <c r="AR938" t="s">
        <v>14076</v>
      </c>
      <c r="AS938" t="s">
        <v>14077</v>
      </c>
      <c r="AT938" t="s">
        <v>16524</v>
      </c>
      <c r="AU938">
        <v>2023</v>
      </c>
      <c r="AV938" t="s">
        <v>74</v>
      </c>
      <c r="AW938" t="s">
        <v>74</v>
      </c>
      <c r="AX938" t="s">
        <v>74</v>
      </c>
      <c r="AY938" t="s">
        <v>74</v>
      </c>
      <c r="AZ938" t="s">
        <v>74</v>
      </c>
      <c r="BA938" t="s">
        <v>74</v>
      </c>
      <c r="BB938" t="s">
        <v>74</v>
      </c>
      <c r="BC938" t="s">
        <v>74</v>
      </c>
      <c r="BD938">
        <v>2186972</v>
      </c>
      <c r="BE938" t="s">
        <v>16738</v>
      </c>
      <c r="BF938" t="str">
        <f>HYPERLINK("http://dx.doi.org/10.1080/03004279.2023.2186972","http://dx.doi.org/10.1080/03004279.2023.2186972")</f>
        <v>http://dx.doi.org/10.1080/03004279.2023.2186972</v>
      </c>
      <c r="BG938" t="s">
        <v>74</v>
      </c>
      <c r="BH938" t="s">
        <v>12687</v>
      </c>
      <c r="BI938">
        <v>12</v>
      </c>
      <c r="BJ938" t="s">
        <v>271</v>
      </c>
      <c r="BK938" t="s">
        <v>211</v>
      </c>
      <c r="BL938" t="s">
        <v>271</v>
      </c>
      <c r="BM938" t="s">
        <v>16739</v>
      </c>
      <c r="BN938" t="s">
        <v>74</v>
      </c>
      <c r="BO938" t="s">
        <v>887</v>
      </c>
      <c r="BP938" t="s">
        <v>74</v>
      </c>
      <c r="BQ938" t="s">
        <v>74</v>
      </c>
      <c r="BR938" t="s">
        <v>105</v>
      </c>
      <c r="BS938" t="s">
        <v>16740</v>
      </c>
      <c r="BT938" t="str">
        <f>HYPERLINK("https%3A%2F%2Fwww.webofscience.com%2Fwos%2Fwoscc%2Ffull-record%2FWOS:000981855800001","View Full Record in Web of Science")</f>
        <v>View Full Record in Web of Science</v>
      </c>
    </row>
    <row r="939" spans="1:72" x14ac:dyDescent="0.15">
      <c r="A939" t="s">
        <v>72</v>
      </c>
      <c r="B939" t="s">
        <v>16741</v>
      </c>
      <c r="C939" t="s">
        <v>74</v>
      </c>
      <c r="D939" t="s">
        <v>74</v>
      </c>
      <c r="E939" t="s">
        <v>74</v>
      </c>
      <c r="F939" t="s">
        <v>16742</v>
      </c>
      <c r="G939" t="s">
        <v>74</v>
      </c>
      <c r="H939" t="s">
        <v>74</v>
      </c>
      <c r="I939" t="s">
        <v>16743</v>
      </c>
      <c r="J939" t="s">
        <v>5551</v>
      </c>
      <c r="K939" t="s">
        <v>74</v>
      </c>
      <c r="L939" t="s">
        <v>74</v>
      </c>
      <c r="M939" t="s">
        <v>78</v>
      </c>
      <c r="N939" t="s">
        <v>79</v>
      </c>
      <c r="O939" t="s">
        <v>74</v>
      </c>
      <c r="P939" t="s">
        <v>74</v>
      </c>
      <c r="Q939" t="s">
        <v>74</v>
      </c>
      <c r="R939" t="s">
        <v>74</v>
      </c>
      <c r="S939" t="s">
        <v>74</v>
      </c>
      <c r="T939" t="s">
        <v>16744</v>
      </c>
      <c r="U939" t="s">
        <v>74</v>
      </c>
      <c r="V939" t="s">
        <v>16745</v>
      </c>
      <c r="W939" t="s">
        <v>16746</v>
      </c>
      <c r="X939" t="s">
        <v>16747</v>
      </c>
      <c r="Y939" t="s">
        <v>16748</v>
      </c>
      <c r="Z939" t="s">
        <v>16749</v>
      </c>
      <c r="AA939" t="s">
        <v>74</v>
      </c>
      <c r="AB939" t="s">
        <v>16750</v>
      </c>
      <c r="AC939" t="s">
        <v>74</v>
      </c>
      <c r="AD939" t="s">
        <v>74</v>
      </c>
      <c r="AE939" t="s">
        <v>74</v>
      </c>
      <c r="AF939" t="s">
        <v>74</v>
      </c>
      <c r="AG939">
        <v>66</v>
      </c>
      <c r="AH939">
        <v>1</v>
      </c>
      <c r="AI939">
        <v>1</v>
      </c>
      <c r="AJ939">
        <v>2</v>
      </c>
      <c r="AK939">
        <v>2</v>
      </c>
      <c r="AL939" t="s">
        <v>1188</v>
      </c>
      <c r="AM939" t="s">
        <v>93</v>
      </c>
      <c r="AN939" t="s">
        <v>1189</v>
      </c>
      <c r="AO939" t="s">
        <v>5560</v>
      </c>
      <c r="AP939" t="s">
        <v>5561</v>
      </c>
      <c r="AQ939" t="s">
        <v>74</v>
      </c>
      <c r="AR939" t="s">
        <v>5562</v>
      </c>
      <c r="AS939" t="s">
        <v>5563</v>
      </c>
      <c r="AT939" t="s">
        <v>7845</v>
      </c>
      <c r="AU939">
        <v>2023</v>
      </c>
      <c r="AV939">
        <v>42</v>
      </c>
      <c r="AW939">
        <v>5</v>
      </c>
      <c r="AX939" t="s">
        <v>74</v>
      </c>
      <c r="AY939" t="s">
        <v>74</v>
      </c>
      <c r="AZ939" t="s">
        <v>5344</v>
      </c>
      <c r="BA939" t="s">
        <v>74</v>
      </c>
      <c r="BB939">
        <v>1057</v>
      </c>
      <c r="BC939">
        <v>1070</v>
      </c>
      <c r="BD939" t="s">
        <v>74</v>
      </c>
      <c r="BE939" t="s">
        <v>16751</v>
      </c>
      <c r="BF939" t="str">
        <f>HYPERLINK("http://dx.doi.org/10.1080/07294360.2023.2194054","http://dx.doi.org/10.1080/07294360.2023.2194054")</f>
        <v>http://dx.doi.org/10.1080/07294360.2023.2194054</v>
      </c>
      <c r="BG939" t="s">
        <v>74</v>
      </c>
      <c r="BH939" t="s">
        <v>74</v>
      </c>
      <c r="BI939">
        <v>14</v>
      </c>
      <c r="BJ939" t="s">
        <v>271</v>
      </c>
      <c r="BK939" t="s">
        <v>272</v>
      </c>
      <c r="BL939" t="s">
        <v>271</v>
      </c>
      <c r="BM939" t="s">
        <v>16752</v>
      </c>
      <c r="BN939" t="s">
        <v>74</v>
      </c>
      <c r="BO939" t="s">
        <v>74</v>
      </c>
      <c r="BP939" t="s">
        <v>74</v>
      </c>
      <c r="BQ939" t="s">
        <v>74</v>
      </c>
      <c r="BR939" t="s">
        <v>105</v>
      </c>
      <c r="BS939" t="s">
        <v>16753</v>
      </c>
      <c r="BT939" t="str">
        <f>HYPERLINK("https%3A%2F%2Fwww.webofscience.com%2Fwos%2Fwoscc%2Ffull-record%2FWOS:001012230200003","View Full Record in Web of Science")</f>
        <v>View Full Record in Web of Science</v>
      </c>
    </row>
    <row r="940" spans="1:72" x14ac:dyDescent="0.15">
      <c r="A940" t="s">
        <v>72</v>
      </c>
      <c r="B940" t="s">
        <v>16754</v>
      </c>
      <c r="C940" t="s">
        <v>74</v>
      </c>
      <c r="D940" t="s">
        <v>74</v>
      </c>
      <c r="E940" t="s">
        <v>74</v>
      </c>
      <c r="F940" t="s">
        <v>16755</v>
      </c>
      <c r="G940" t="s">
        <v>74</v>
      </c>
      <c r="H940" t="s">
        <v>74</v>
      </c>
      <c r="I940" t="s">
        <v>16756</v>
      </c>
      <c r="J940" t="s">
        <v>16757</v>
      </c>
      <c r="K940" t="s">
        <v>74</v>
      </c>
      <c r="L940" t="s">
        <v>74</v>
      </c>
      <c r="M940" t="s">
        <v>78</v>
      </c>
      <c r="N940" t="s">
        <v>6754</v>
      </c>
      <c r="O940" t="s">
        <v>74</v>
      </c>
      <c r="P940" t="s">
        <v>74</v>
      </c>
      <c r="Q940" t="s">
        <v>74</v>
      </c>
      <c r="R940" t="s">
        <v>74</v>
      </c>
      <c r="S940" t="s">
        <v>74</v>
      </c>
      <c r="T940" t="s">
        <v>16758</v>
      </c>
      <c r="U940" t="s">
        <v>16759</v>
      </c>
      <c r="V940" t="s">
        <v>16760</v>
      </c>
      <c r="W940" t="s">
        <v>16761</v>
      </c>
      <c r="X940" t="s">
        <v>16762</v>
      </c>
      <c r="Y940" t="s">
        <v>16763</v>
      </c>
      <c r="Z940" t="s">
        <v>16764</v>
      </c>
      <c r="AA940" t="s">
        <v>74</v>
      </c>
      <c r="AB940" t="s">
        <v>16765</v>
      </c>
      <c r="AC940" t="s">
        <v>74</v>
      </c>
      <c r="AD940" t="s">
        <v>74</v>
      </c>
      <c r="AE940" t="s">
        <v>74</v>
      </c>
      <c r="AF940" t="s">
        <v>74</v>
      </c>
      <c r="AG940">
        <v>96</v>
      </c>
      <c r="AH940">
        <v>0</v>
      </c>
      <c r="AI940">
        <v>0</v>
      </c>
      <c r="AJ940">
        <v>0</v>
      </c>
      <c r="AK940">
        <v>0</v>
      </c>
      <c r="AL940" t="s">
        <v>1188</v>
      </c>
      <c r="AM940" t="s">
        <v>93</v>
      </c>
      <c r="AN940" t="s">
        <v>1189</v>
      </c>
      <c r="AO940" t="s">
        <v>16766</v>
      </c>
      <c r="AP940" t="s">
        <v>16767</v>
      </c>
      <c r="AQ940" t="s">
        <v>74</v>
      </c>
      <c r="AR940" t="s">
        <v>16768</v>
      </c>
      <c r="AS940" t="s">
        <v>16769</v>
      </c>
      <c r="AT940" t="s">
        <v>16524</v>
      </c>
      <c r="AU940">
        <v>2023</v>
      </c>
      <c r="AV940" t="s">
        <v>74</v>
      </c>
      <c r="AW940" t="s">
        <v>74</v>
      </c>
      <c r="AX940" t="s">
        <v>74</v>
      </c>
      <c r="AY940" t="s">
        <v>74</v>
      </c>
      <c r="AZ940" t="s">
        <v>74</v>
      </c>
      <c r="BA940" t="s">
        <v>74</v>
      </c>
      <c r="BB940" t="s">
        <v>74</v>
      </c>
      <c r="BC940" t="s">
        <v>74</v>
      </c>
      <c r="BD940" t="s">
        <v>74</v>
      </c>
      <c r="BE940" t="s">
        <v>16770</v>
      </c>
      <c r="BF940" t="str">
        <f>HYPERLINK("http://dx.doi.org/10.1080/13218719.2023.2214927","http://dx.doi.org/10.1080/13218719.2023.2214927")</f>
        <v>http://dx.doi.org/10.1080/13218719.2023.2214927</v>
      </c>
      <c r="BG940" t="s">
        <v>74</v>
      </c>
      <c r="BH940" t="s">
        <v>12687</v>
      </c>
      <c r="BI940">
        <v>28</v>
      </c>
      <c r="BJ940" t="s">
        <v>16771</v>
      </c>
      <c r="BK940" t="s">
        <v>272</v>
      </c>
      <c r="BL940" t="s">
        <v>16772</v>
      </c>
      <c r="BM940" t="s">
        <v>16773</v>
      </c>
      <c r="BN940" t="s">
        <v>74</v>
      </c>
      <c r="BO940" t="s">
        <v>887</v>
      </c>
      <c r="BP940" t="s">
        <v>74</v>
      </c>
      <c r="BQ940" t="s">
        <v>74</v>
      </c>
      <c r="BR940" t="s">
        <v>105</v>
      </c>
      <c r="BS940" t="s">
        <v>16774</v>
      </c>
      <c r="BT940" t="str">
        <f>HYPERLINK("https%3A%2F%2Fwww.webofscience.com%2Fwos%2Fwoscc%2Ffull-record%2FWOS:001022997200001","View Full Record in Web of Science")</f>
        <v>View Full Record in Web of Science</v>
      </c>
    </row>
    <row r="941" spans="1:72" x14ac:dyDescent="0.15">
      <c r="A941" t="s">
        <v>72</v>
      </c>
      <c r="B941" t="s">
        <v>16775</v>
      </c>
      <c r="C941" t="s">
        <v>74</v>
      </c>
      <c r="D941" t="s">
        <v>74</v>
      </c>
      <c r="E941" t="s">
        <v>74</v>
      </c>
      <c r="F941" t="s">
        <v>16775</v>
      </c>
      <c r="G941" t="s">
        <v>74</v>
      </c>
      <c r="H941" t="s">
        <v>74</v>
      </c>
      <c r="I941" t="s">
        <v>16776</v>
      </c>
      <c r="J941" t="s">
        <v>16777</v>
      </c>
      <c r="K941" t="s">
        <v>74</v>
      </c>
      <c r="L941" t="s">
        <v>74</v>
      </c>
      <c r="M941" t="s">
        <v>78</v>
      </c>
      <c r="N941" t="s">
        <v>79</v>
      </c>
      <c r="O941" t="s">
        <v>74</v>
      </c>
      <c r="P941" t="s">
        <v>74</v>
      </c>
      <c r="Q941" t="s">
        <v>74</v>
      </c>
      <c r="R941" t="s">
        <v>74</v>
      </c>
      <c r="S941" t="s">
        <v>74</v>
      </c>
      <c r="T941" t="s">
        <v>16778</v>
      </c>
      <c r="U941" t="s">
        <v>74</v>
      </c>
      <c r="V941" t="s">
        <v>16779</v>
      </c>
      <c r="W941" t="s">
        <v>16780</v>
      </c>
      <c r="X941" t="s">
        <v>15884</v>
      </c>
      <c r="Y941" t="s">
        <v>16781</v>
      </c>
      <c r="Z941" t="s">
        <v>16782</v>
      </c>
      <c r="AA941" t="s">
        <v>74</v>
      </c>
      <c r="AB941" t="s">
        <v>74</v>
      </c>
      <c r="AC941" t="s">
        <v>74</v>
      </c>
      <c r="AD941" t="s">
        <v>74</v>
      </c>
      <c r="AE941" t="s">
        <v>74</v>
      </c>
      <c r="AF941" t="s">
        <v>74</v>
      </c>
      <c r="AG941">
        <v>44</v>
      </c>
      <c r="AH941">
        <v>0</v>
      </c>
      <c r="AI941">
        <v>0</v>
      </c>
      <c r="AJ941">
        <v>0</v>
      </c>
      <c r="AK941">
        <v>0</v>
      </c>
      <c r="AL941" t="s">
        <v>1188</v>
      </c>
      <c r="AM941" t="s">
        <v>93</v>
      </c>
      <c r="AN941" t="s">
        <v>1189</v>
      </c>
      <c r="AO941" t="s">
        <v>16783</v>
      </c>
      <c r="AP941" t="s">
        <v>16784</v>
      </c>
      <c r="AQ941" t="s">
        <v>74</v>
      </c>
      <c r="AR941" t="s">
        <v>16785</v>
      </c>
      <c r="AS941" t="s">
        <v>16786</v>
      </c>
      <c r="AT941" t="s">
        <v>11328</v>
      </c>
      <c r="AU941">
        <v>2023</v>
      </c>
      <c r="AV941">
        <v>25</v>
      </c>
      <c r="AW941">
        <v>4</v>
      </c>
      <c r="AX941" t="s">
        <v>74</v>
      </c>
      <c r="AY941" t="s">
        <v>74</v>
      </c>
      <c r="AZ941" t="s">
        <v>5344</v>
      </c>
      <c r="BA941" t="s">
        <v>74</v>
      </c>
      <c r="BB941">
        <v>391</v>
      </c>
      <c r="BC941">
        <v>405</v>
      </c>
      <c r="BD941" t="s">
        <v>74</v>
      </c>
      <c r="BE941" t="s">
        <v>16787</v>
      </c>
      <c r="BF941" t="str">
        <f>HYPERLINK("http://dx.doi.org/10.1080/14608944.2023.2222659","http://dx.doi.org/10.1080/14608944.2023.2222659")</f>
        <v>http://dx.doi.org/10.1080/14608944.2023.2222659</v>
      </c>
      <c r="BG941" t="s">
        <v>74</v>
      </c>
      <c r="BH941" t="s">
        <v>12687</v>
      </c>
      <c r="BI941">
        <v>15</v>
      </c>
      <c r="BJ941" t="s">
        <v>6893</v>
      </c>
      <c r="BK941" t="s">
        <v>211</v>
      </c>
      <c r="BL941" t="s">
        <v>6894</v>
      </c>
      <c r="BM941" t="s">
        <v>16788</v>
      </c>
      <c r="BN941" t="s">
        <v>74</v>
      </c>
      <c r="BO941" t="s">
        <v>74</v>
      </c>
      <c r="BP941" t="s">
        <v>74</v>
      </c>
      <c r="BQ941" t="s">
        <v>74</v>
      </c>
      <c r="BR941" t="s">
        <v>105</v>
      </c>
      <c r="BS941" t="s">
        <v>16789</v>
      </c>
      <c r="BT941" t="str">
        <f>HYPERLINK("https%3A%2F%2Fwww.webofscience.com%2Fwos%2Fwoscc%2Ffull-record%2FWOS:001017889300001","View Full Record in Web of Science")</f>
        <v>View Full Record in Web of Science</v>
      </c>
    </row>
    <row r="942" spans="1:72" x14ac:dyDescent="0.15">
      <c r="A942" t="s">
        <v>72</v>
      </c>
      <c r="B942" t="s">
        <v>16790</v>
      </c>
      <c r="C942" t="s">
        <v>74</v>
      </c>
      <c r="D942" t="s">
        <v>74</v>
      </c>
      <c r="E942" t="s">
        <v>74</v>
      </c>
      <c r="F942" t="s">
        <v>16791</v>
      </c>
      <c r="G942" t="s">
        <v>74</v>
      </c>
      <c r="H942" t="s">
        <v>74</v>
      </c>
      <c r="I942" t="s">
        <v>16792</v>
      </c>
      <c r="J942" t="s">
        <v>16793</v>
      </c>
      <c r="K942" t="s">
        <v>74</v>
      </c>
      <c r="L942" t="s">
        <v>74</v>
      </c>
      <c r="M942" t="s">
        <v>78</v>
      </c>
      <c r="N942" t="s">
        <v>5492</v>
      </c>
      <c r="O942" t="s">
        <v>74</v>
      </c>
      <c r="P942" t="s">
        <v>74</v>
      </c>
      <c r="Q942" t="s">
        <v>74</v>
      </c>
      <c r="R942" t="s">
        <v>74</v>
      </c>
      <c r="S942" t="s">
        <v>74</v>
      </c>
      <c r="T942" t="s">
        <v>16794</v>
      </c>
      <c r="U942" t="s">
        <v>74</v>
      </c>
      <c r="V942" t="s">
        <v>16795</v>
      </c>
      <c r="W942" t="s">
        <v>16796</v>
      </c>
      <c r="X942" t="s">
        <v>16797</v>
      </c>
      <c r="Y942" t="s">
        <v>16798</v>
      </c>
      <c r="Z942" t="s">
        <v>16799</v>
      </c>
      <c r="AA942" t="s">
        <v>74</v>
      </c>
      <c r="AB942" t="s">
        <v>74</v>
      </c>
      <c r="AC942" t="s">
        <v>74</v>
      </c>
      <c r="AD942" t="s">
        <v>74</v>
      </c>
      <c r="AE942" t="s">
        <v>74</v>
      </c>
      <c r="AF942" t="s">
        <v>74</v>
      </c>
      <c r="AG942">
        <v>80</v>
      </c>
      <c r="AH942">
        <v>0</v>
      </c>
      <c r="AI942">
        <v>0</v>
      </c>
      <c r="AJ942">
        <v>0</v>
      </c>
      <c r="AK942">
        <v>0</v>
      </c>
      <c r="AL942" t="s">
        <v>1188</v>
      </c>
      <c r="AM942" t="s">
        <v>93</v>
      </c>
      <c r="AN942" t="s">
        <v>1189</v>
      </c>
      <c r="AO942" t="s">
        <v>16800</v>
      </c>
      <c r="AP942" t="s">
        <v>16801</v>
      </c>
      <c r="AQ942" t="s">
        <v>74</v>
      </c>
      <c r="AR942" t="s">
        <v>16802</v>
      </c>
      <c r="AS942" t="s">
        <v>16803</v>
      </c>
      <c r="AT942" t="s">
        <v>16524</v>
      </c>
      <c r="AU942">
        <v>2023</v>
      </c>
      <c r="AV942" t="s">
        <v>74</v>
      </c>
      <c r="AW942" t="s">
        <v>74</v>
      </c>
      <c r="AX942" t="s">
        <v>74</v>
      </c>
      <c r="AY942" t="s">
        <v>74</v>
      </c>
      <c r="AZ942" t="s">
        <v>74</v>
      </c>
      <c r="BA942" t="s">
        <v>74</v>
      </c>
      <c r="BB942" t="s">
        <v>74</v>
      </c>
      <c r="BC942" t="s">
        <v>74</v>
      </c>
      <c r="BD942" t="s">
        <v>74</v>
      </c>
      <c r="BE942" t="s">
        <v>16804</v>
      </c>
      <c r="BF942" t="str">
        <f>HYPERLINK("http://dx.doi.org/10.1080/14735970.2023.2226802","http://dx.doi.org/10.1080/14735970.2023.2226802")</f>
        <v>http://dx.doi.org/10.1080/14735970.2023.2226802</v>
      </c>
      <c r="BG942" t="s">
        <v>74</v>
      </c>
      <c r="BH942" t="s">
        <v>12687</v>
      </c>
      <c r="BI942">
        <v>26</v>
      </c>
      <c r="BJ942" t="s">
        <v>8742</v>
      </c>
      <c r="BK942" t="s">
        <v>272</v>
      </c>
      <c r="BL942" t="s">
        <v>6894</v>
      </c>
      <c r="BM942" t="s">
        <v>16805</v>
      </c>
      <c r="BN942" t="s">
        <v>74</v>
      </c>
      <c r="BO942" t="s">
        <v>887</v>
      </c>
      <c r="BP942" t="s">
        <v>74</v>
      </c>
      <c r="BQ942" t="s">
        <v>74</v>
      </c>
      <c r="BR942" t="s">
        <v>105</v>
      </c>
      <c r="BS942" t="s">
        <v>16806</v>
      </c>
      <c r="BT942" t="str">
        <f>HYPERLINK("https%3A%2F%2Fwww.webofscience.com%2Fwos%2Fwoscc%2Ffull-record%2FWOS:001022834600001","View Full Record in Web of Science")</f>
        <v>View Full Record in Web of Science</v>
      </c>
    </row>
    <row r="943" spans="1:72" x14ac:dyDescent="0.15">
      <c r="A943" t="s">
        <v>72</v>
      </c>
      <c r="B943" t="s">
        <v>16807</v>
      </c>
      <c r="C943" t="s">
        <v>74</v>
      </c>
      <c r="D943" t="s">
        <v>74</v>
      </c>
      <c r="E943" t="s">
        <v>74</v>
      </c>
      <c r="F943" t="s">
        <v>16808</v>
      </c>
      <c r="G943" t="s">
        <v>74</v>
      </c>
      <c r="H943" t="s">
        <v>74</v>
      </c>
      <c r="I943" t="s">
        <v>16809</v>
      </c>
      <c r="J943" t="s">
        <v>5551</v>
      </c>
      <c r="K943" t="s">
        <v>74</v>
      </c>
      <c r="L943" t="s">
        <v>74</v>
      </c>
      <c r="M943" t="s">
        <v>78</v>
      </c>
      <c r="N943" t="s">
        <v>79</v>
      </c>
      <c r="O943" t="s">
        <v>74</v>
      </c>
      <c r="P943" t="s">
        <v>74</v>
      </c>
      <c r="Q943" t="s">
        <v>74</v>
      </c>
      <c r="R943" t="s">
        <v>74</v>
      </c>
      <c r="S943" t="s">
        <v>74</v>
      </c>
      <c r="T943" t="s">
        <v>16810</v>
      </c>
      <c r="U943" t="s">
        <v>16811</v>
      </c>
      <c r="V943" t="s">
        <v>16812</v>
      </c>
      <c r="W943" t="s">
        <v>16813</v>
      </c>
      <c r="X943" t="s">
        <v>16814</v>
      </c>
      <c r="Y943" t="s">
        <v>16815</v>
      </c>
      <c r="Z943" t="s">
        <v>16816</v>
      </c>
      <c r="AA943" t="s">
        <v>16817</v>
      </c>
      <c r="AB943" t="s">
        <v>16818</v>
      </c>
      <c r="AC943" t="s">
        <v>74</v>
      </c>
      <c r="AD943" t="s">
        <v>74</v>
      </c>
      <c r="AE943" t="s">
        <v>74</v>
      </c>
      <c r="AF943" t="s">
        <v>74</v>
      </c>
      <c r="AG943">
        <v>47</v>
      </c>
      <c r="AH943">
        <v>1</v>
      </c>
      <c r="AI943">
        <v>1</v>
      </c>
      <c r="AJ943">
        <v>5</v>
      </c>
      <c r="AK943">
        <v>5</v>
      </c>
      <c r="AL943" t="s">
        <v>1188</v>
      </c>
      <c r="AM943" t="s">
        <v>93</v>
      </c>
      <c r="AN943" t="s">
        <v>1189</v>
      </c>
      <c r="AO943" t="s">
        <v>5560</v>
      </c>
      <c r="AP943" t="s">
        <v>5561</v>
      </c>
      <c r="AQ943" t="s">
        <v>74</v>
      </c>
      <c r="AR943" t="s">
        <v>5562</v>
      </c>
      <c r="AS943" t="s">
        <v>5563</v>
      </c>
      <c r="AT943" t="s">
        <v>7845</v>
      </c>
      <c r="AU943">
        <v>2023</v>
      </c>
      <c r="AV943">
        <v>42</v>
      </c>
      <c r="AW943">
        <v>5</v>
      </c>
      <c r="AX943" t="s">
        <v>74</v>
      </c>
      <c r="AY943" t="s">
        <v>74</v>
      </c>
      <c r="AZ943" t="s">
        <v>5344</v>
      </c>
      <c r="BA943" t="s">
        <v>74</v>
      </c>
      <c r="BB943">
        <v>1071</v>
      </c>
      <c r="BC943">
        <v>1085</v>
      </c>
      <c r="BD943" t="s">
        <v>74</v>
      </c>
      <c r="BE943" t="s">
        <v>16819</v>
      </c>
      <c r="BF943" t="str">
        <f>HYPERLINK("http://dx.doi.org/10.1080/07294360.2023.2193723","http://dx.doi.org/10.1080/07294360.2023.2193723")</f>
        <v>http://dx.doi.org/10.1080/07294360.2023.2193723</v>
      </c>
      <c r="BG943" t="s">
        <v>74</v>
      </c>
      <c r="BH943" t="s">
        <v>74</v>
      </c>
      <c r="BI943">
        <v>15</v>
      </c>
      <c r="BJ943" t="s">
        <v>271</v>
      </c>
      <c r="BK943" t="s">
        <v>272</v>
      </c>
      <c r="BL943" t="s">
        <v>271</v>
      </c>
      <c r="BM943" t="s">
        <v>16752</v>
      </c>
      <c r="BN943" t="s">
        <v>74</v>
      </c>
      <c r="BO943" t="s">
        <v>74</v>
      </c>
      <c r="BP943" t="s">
        <v>74</v>
      </c>
      <c r="BQ943" t="s">
        <v>74</v>
      </c>
      <c r="BR943" t="s">
        <v>105</v>
      </c>
      <c r="BS943" t="s">
        <v>16820</v>
      </c>
      <c r="BT943" t="str">
        <f>HYPERLINK("https%3A%2F%2Fwww.webofscience.com%2Fwos%2Fwoscc%2Ffull-record%2FWOS:001012230200004","View Full Record in Web of Science")</f>
        <v>View Full Record in Web of Science</v>
      </c>
    </row>
    <row r="944" spans="1:72" x14ac:dyDescent="0.15">
      <c r="A944" t="s">
        <v>72</v>
      </c>
      <c r="B944" t="s">
        <v>16821</v>
      </c>
      <c r="C944" t="s">
        <v>74</v>
      </c>
      <c r="D944" t="s">
        <v>74</v>
      </c>
      <c r="E944" t="s">
        <v>74</v>
      </c>
      <c r="F944" t="s">
        <v>16822</v>
      </c>
      <c r="G944" t="s">
        <v>74</v>
      </c>
      <c r="H944" t="s">
        <v>74</v>
      </c>
      <c r="I944" t="s">
        <v>16823</v>
      </c>
      <c r="J944" t="s">
        <v>16824</v>
      </c>
      <c r="K944" t="s">
        <v>74</v>
      </c>
      <c r="L944" t="s">
        <v>74</v>
      </c>
      <c r="M944" t="s">
        <v>78</v>
      </c>
      <c r="N944" t="s">
        <v>5492</v>
      </c>
      <c r="O944" t="s">
        <v>74</v>
      </c>
      <c r="P944" t="s">
        <v>74</v>
      </c>
      <c r="Q944" t="s">
        <v>74</v>
      </c>
      <c r="R944" t="s">
        <v>74</v>
      </c>
      <c r="S944" t="s">
        <v>74</v>
      </c>
      <c r="T944" t="s">
        <v>16825</v>
      </c>
      <c r="U944" t="s">
        <v>16826</v>
      </c>
      <c r="V944" t="s">
        <v>16827</v>
      </c>
      <c r="W944" t="s">
        <v>16828</v>
      </c>
      <c r="X944" t="s">
        <v>7257</v>
      </c>
      <c r="Y944" t="s">
        <v>16829</v>
      </c>
      <c r="Z944" t="s">
        <v>16830</v>
      </c>
      <c r="AA944" t="s">
        <v>74</v>
      </c>
      <c r="AB944" t="s">
        <v>74</v>
      </c>
      <c r="AC944" t="s">
        <v>74</v>
      </c>
      <c r="AD944" t="s">
        <v>74</v>
      </c>
      <c r="AE944" t="s">
        <v>74</v>
      </c>
      <c r="AF944" t="s">
        <v>74</v>
      </c>
      <c r="AG944">
        <v>53</v>
      </c>
      <c r="AH944">
        <v>0</v>
      </c>
      <c r="AI944">
        <v>0</v>
      </c>
      <c r="AJ944">
        <v>1</v>
      </c>
      <c r="AK944">
        <v>1</v>
      </c>
      <c r="AL944" t="s">
        <v>1188</v>
      </c>
      <c r="AM944" t="s">
        <v>93</v>
      </c>
      <c r="AN944" t="s">
        <v>1189</v>
      </c>
      <c r="AO944" t="s">
        <v>16831</v>
      </c>
      <c r="AP944" t="s">
        <v>16832</v>
      </c>
      <c r="AQ944" t="s">
        <v>74</v>
      </c>
      <c r="AR944" t="s">
        <v>16833</v>
      </c>
      <c r="AS944" t="s">
        <v>16834</v>
      </c>
      <c r="AT944" t="s">
        <v>16524</v>
      </c>
      <c r="AU944">
        <v>2023</v>
      </c>
      <c r="AV944" t="s">
        <v>74</v>
      </c>
      <c r="AW944" t="s">
        <v>74</v>
      </c>
      <c r="AX944" t="s">
        <v>74</v>
      </c>
      <c r="AY944" t="s">
        <v>74</v>
      </c>
      <c r="AZ944" t="s">
        <v>74</v>
      </c>
      <c r="BA944" t="s">
        <v>74</v>
      </c>
      <c r="BB944" t="s">
        <v>74</v>
      </c>
      <c r="BC944" t="s">
        <v>74</v>
      </c>
      <c r="BD944" t="s">
        <v>74</v>
      </c>
      <c r="BE944" t="s">
        <v>16835</v>
      </c>
      <c r="BF944" t="str">
        <f>HYPERLINK("http://dx.doi.org/10.1080/13869795.2023.2229858","http://dx.doi.org/10.1080/13869795.2023.2229858")</f>
        <v>http://dx.doi.org/10.1080/13869795.2023.2229858</v>
      </c>
      <c r="BG944" t="s">
        <v>74</v>
      </c>
      <c r="BH944" t="s">
        <v>12687</v>
      </c>
      <c r="BI944">
        <v>20</v>
      </c>
      <c r="BJ944" t="s">
        <v>6811</v>
      </c>
      <c r="BK944" t="s">
        <v>6264</v>
      </c>
      <c r="BL944" t="s">
        <v>6811</v>
      </c>
      <c r="BM944" t="s">
        <v>16836</v>
      </c>
      <c r="BN944" t="s">
        <v>74</v>
      </c>
      <c r="BO944" t="s">
        <v>74</v>
      </c>
      <c r="BP944" t="s">
        <v>74</v>
      </c>
      <c r="BQ944" t="s">
        <v>74</v>
      </c>
      <c r="BR944" t="s">
        <v>105</v>
      </c>
      <c r="BS944" t="s">
        <v>16837</v>
      </c>
      <c r="BT944" t="str">
        <f>HYPERLINK("https%3A%2F%2Fwww.webofscience.com%2Fwos%2Fwoscc%2Ffull-record%2FWOS:001024182200001","View Full Record in Web of Science")</f>
        <v>View Full Record in Web of Science</v>
      </c>
    </row>
    <row r="945" spans="1:72" x14ac:dyDescent="0.15">
      <c r="A945" t="s">
        <v>72</v>
      </c>
      <c r="B945" t="s">
        <v>16838</v>
      </c>
      <c r="C945" t="s">
        <v>74</v>
      </c>
      <c r="D945" t="s">
        <v>74</v>
      </c>
      <c r="E945" t="s">
        <v>74</v>
      </c>
      <c r="F945" t="s">
        <v>16839</v>
      </c>
      <c r="G945" t="s">
        <v>74</v>
      </c>
      <c r="H945" t="s">
        <v>74</v>
      </c>
      <c r="I945" t="s">
        <v>16840</v>
      </c>
      <c r="J945" t="s">
        <v>16841</v>
      </c>
      <c r="K945" t="s">
        <v>74</v>
      </c>
      <c r="L945" t="s">
        <v>74</v>
      </c>
      <c r="M945" t="s">
        <v>78</v>
      </c>
      <c r="N945" t="s">
        <v>5492</v>
      </c>
      <c r="O945" t="s">
        <v>74</v>
      </c>
      <c r="P945" t="s">
        <v>74</v>
      </c>
      <c r="Q945" t="s">
        <v>74</v>
      </c>
      <c r="R945" t="s">
        <v>74</v>
      </c>
      <c r="S945" t="s">
        <v>74</v>
      </c>
      <c r="T945" t="s">
        <v>16842</v>
      </c>
      <c r="U945" t="s">
        <v>16843</v>
      </c>
      <c r="V945" t="s">
        <v>16844</v>
      </c>
      <c r="W945" t="s">
        <v>16845</v>
      </c>
      <c r="X945" t="s">
        <v>16846</v>
      </c>
      <c r="Y945" t="s">
        <v>16847</v>
      </c>
      <c r="Z945" t="s">
        <v>16848</v>
      </c>
      <c r="AA945" t="s">
        <v>16849</v>
      </c>
      <c r="AB945" t="s">
        <v>16850</v>
      </c>
      <c r="AC945" t="s">
        <v>74</v>
      </c>
      <c r="AD945" t="s">
        <v>74</v>
      </c>
      <c r="AE945" t="s">
        <v>74</v>
      </c>
      <c r="AF945" t="s">
        <v>74</v>
      </c>
      <c r="AG945">
        <v>31</v>
      </c>
      <c r="AH945">
        <v>0</v>
      </c>
      <c r="AI945">
        <v>0</v>
      </c>
      <c r="AJ945">
        <v>0</v>
      </c>
      <c r="AK945">
        <v>0</v>
      </c>
      <c r="AL945" t="s">
        <v>92</v>
      </c>
      <c r="AM945" t="s">
        <v>93</v>
      </c>
      <c r="AN945" t="s">
        <v>94</v>
      </c>
      <c r="AO945" t="s">
        <v>16851</v>
      </c>
      <c r="AP945" t="s">
        <v>16852</v>
      </c>
      <c r="AQ945" t="s">
        <v>74</v>
      </c>
      <c r="AR945" t="s">
        <v>16853</v>
      </c>
      <c r="AS945" t="s">
        <v>16854</v>
      </c>
      <c r="AT945" t="s">
        <v>16524</v>
      </c>
      <c r="AU945">
        <v>2023</v>
      </c>
      <c r="AV945" t="s">
        <v>74</v>
      </c>
      <c r="AW945" t="s">
        <v>74</v>
      </c>
      <c r="AX945" t="s">
        <v>74</v>
      </c>
      <c r="AY945" t="s">
        <v>74</v>
      </c>
      <c r="AZ945" t="s">
        <v>74</v>
      </c>
      <c r="BA945" t="s">
        <v>74</v>
      </c>
      <c r="BB945" t="s">
        <v>74</v>
      </c>
      <c r="BC945" t="s">
        <v>74</v>
      </c>
      <c r="BD945" t="s">
        <v>74</v>
      </c>
      <c r="BE945" t="s">
        <v>16855</v>
      </c>
      <c r="BF945" t="str">
        <f>HYPERLINK("http://dx.doi.org/10.1080/10426507.2023.2232920","http://dx.doi.org/10.1080/10426507.2023.2232920")</f>
        <v>http://dx.doi.org/10.1080/10426507.2023.2232920</v>
      </c>
      <c r="BG945" t="s">
        <v>74</v>
      </c>
      <c r="BH945" t="s">
        <v>12687</v>
      </c>
      <c r="BI945">
        <v>7</v>
      </c>
      <c r="BJ945" t="s">
        <v>16856</v>
      </c>
      <c r="BK945" t="s">
        <v>102</v>
      </c>
      <c r="BL945" t="s">
        <v>8693</v>
      </c>
      <c r="BM945" t="s">
        <v>16857</v>
      </c>
      <c r="BN945" t="s">
        <v>74</v>
      </c>
      <c r="BO945" t="s">
        <v>74</v>
      </c>
      <c r="BP945" t="s">
        <v>74</v>
      </c>
      <c r="BQ945" t="s">
        <v>74</v>
      </c>
      <c r="BR945" t="s">
        <v>105</v>
      </c>
      <c r="BS945" t="s">
        <v>16858</v>
      </c>
      <c r="BT945" t="str">
        <f>HYPERLINK("https%3A%2F%2Fwww.webofscience.com%2Fwos%2Fwoscc%2Ffull-record%2FWOS:001028724200001","View Full Record in Web of Science")</f>
        <v>View Full Record in Web of Science</v>
      </c>
    </row>
    <row r="946" spans="1:72" x14ac:dyDescent="0.15">
      <c r="A946" t="s">
        <v>72</v>
      </c>
      <c r="B946" t="s">
        <v>16859</v>
      </c>
      <c r="C946" t="s">
        <v>74</v>
      </c>
      <c r="D946" t="s">
        <v>74</v>
      </c>
      <c r="E946" t="s">
        <v>74</v>
      </c>
      <c r="F946" t="s">
        <v>16860</v>
      </c>
      <c r="G946" t="s">
        <v>74</v>
      </c>
      <c r="H946" t="s">
        <v>74</v>
      </c>
      <c r="I946" t="s">
        <v>16861</v>
      </c>
      <c r="J946" t="s">
        <v>10868</v>
      </c>
      <c r="K946" t="s">
        <v>74</v>
      </c>
      <c r="L946" t="s">
        <v>74</v>
      </c>
      <c r="M946" t="s">
        <v>78</v>
      </c>
      <c r="N946" t="s">
        <v>5492</v>
      </c>
      <c r="O946" t="s">
        <v>74</v>
      </c>
      <c r="P946" t="s">
        <v>74</v>
      </c>
      <c r="Q946" t="s">
        <v>74</v>
      </c>
      <c r="R946" t="s">
        <v>74</v>
      </c>
      <c r="S946" t="s">
        <v>74</v>
      </c>
      <c r="T946" t="s">
        <v>16862</v>
      </c>
      <c r="U946" t="s">
        <v>16863</v>
      </c>
      <c r="V946" t="s">
        <v>16864</v>
      </c>
      <c r="W946" t="s">
        <v>16865</v>
      </c>
      <c r="X946" t="s">
        <v>16866</v>
      </c>
      <c r="Y946" t="s">
        <v>16867</v>
      </c>
      <c r="Z946" t="s">
        <v>16868</v>
      </c>
      <c r="AA946" t="s">
        <v>74</v>
      </c>
      <c r="AB946" t="s">
        <v>16869</v>
      </c>
      <c r="AC946" t="s">
        <v>16870</v>
      </c>
      <c r="AD946" t="s">
        <v>1368</v>
      </c>
      <c r="AE946" t="s">
        <v>16871</v>
      </c>
      <c r="AF946" t="s">
        <v>74</v>
      </c>
      <c r="AG946">
        <v>23</v>
      </c>
      <c r="AH946">
        <v>0</v>
      </c>
      <c r="AI946">
        <v>0</v>
      </c>
      <c r="AJ946">
        <v>3</v>
      </c>
      <c r="AK946">
        <v>3</v>
      </c>
      <c r="AL946" t="s">
        <v>92</v>
      </c>
      <c r="AM946" t="s">
        <v>93</v>
      </c>
      <c r="AN946" t="s">
        <v>94</v>
      </c>
      <c r="AO946" t="s">
        <v>10878</v>
      </c>
      <c r="AP946" t="s">
        <v>10879</v>
      </c>
      <c r="AQ946" t="s">
        <v>74</v>
      </c>
      <c r="AR946" t="s">
        <v>10868</v>
      </c>
      <c r="AS946" t="s">
        <v>10880</v>
      </c>
      <c r="AT946" t="s">
        <v>16524</v>
      </c>
      <c r="AU946">
        <v>2023</v>
      </c>
      <c r="AV946" t="s">
        <v>74</v>
      </c>
      <c r="AW946" t="s">
        <v>74</v>
      </c>
      <c r="AX946" t="s">
        <v>74</v>
      </c>
      <c r="AY946" t="s">
        <v>74</v>
      </c>
      <c r="AZ946" t="s">
        <v>74</v>
      </c>
      <c r="BA946" t="s">
        <v>74</v>
      </c>
      <c r="BB946" t="s">
        <v>74</v>
      </c>
      <c r="BC946" t="s">
        <v>74</v>
      </c>
      <c r="BD946" t="s">
        <v>74</v>
      </c>
      <c r="BE946" t="s">
        <v>16872</v>
      </c>
      <c r="BF946" t="str">
        <f>HYPERLINK("http://dx.doi.org/10.1080/02331934.2023.2231213","http://dx.doi.org/10.1080/02331934.2023.2231213")</f>
        <v>http://dx.doi.org/10.1080/02331934.2023.2231213</v>
      </c>
      <c r="BG946" t="s">
        <v>74</v>
      </c>
      <c r="BH946" t="s">
        <v>12687</v>
      </c>
      <c r="BI946">
        <v>26</v>
      </c>
      <c r="BJ946" t="s">
        <v>10882</v>
      </c>
      <c r="BK946" t="s">
        <v>102</v>
      </c>
      <c r="BL946" t="s">
        <v>10883</v>
      </c>
      <c r="BM946" t="s">
        <v>16873</v>
      </c>
      <c r="BN946" t="s">
        <v>74</v>
      </c>
      <c r="BO946" t="s">
        <v>74</v>
      </c>
      <c r="BP946" t="s">
        <v>74</v>
      </c>
      <c r="BQ946" t="s">
        <v>74</v>
      </c>
      <c r="BR946" t="s">
        <v>105</v>
      </c>
      <c r="BS946" t="s">
        <v>16874</v>
      </c>
      <c r="BT946" t="str">
        <f>HYPERLINK("https%3A%2F%2Fwww.webofscience.com%2Fwos%2Fwoscc%2Ffull-record%2FWOS:001018765100001","View Full Record in Web of Science")</f>
        <v>View Full Record in Web of Science</v>
      </c>
    </row>
    <row r="947" spans="1:72" x14ac:dyDescent="0.15">
      <c r="A947" t="s">
        <v>72</v>
      </c>
      <c r="B947" t="s">
        <v>16875</v>
      </c>
      <c r="C947" t="s">
        <v>74</v>
      </c>
      <c r="D947" t="s">
        <v>74</v>
      </c>
      <c r="E947" t="s">
        <v>74</v>
      </c>
      <c r="F947" t="s">
        <v>16876</v>
      </c>
      <c r="G947" t="s">
        <v>74</v>
      </c>
      <c r="H947" t="s">
        <v>74</v>
      </c>
      <c r="I947" t="s">
        <v>16877</v>
      </c>
      <c r="J947" t="s">
        <v>16878</v>
      </c>
      <c r="K947" t="s">
        <v>74</v>
      </c>
      <c r="L947" t="s">
        <v>74</v>
      </c>
      <c r="M947" t="s">
        <v>78</v>
      </c>
      <c r="N947" t="s">
        <v>5492</v>
      </c>
      <c r="O947" t="s">
        <v>74</v>
      </c>
      <c r="P947" t="s">
        <v>74</v>
      </c>
      <c r="Q947" t="s">
        <v>74</v>
      </c>
      <c r="R947" t="s">
        <v>74</v>
      </c>
      <c r="S947" t="s">
        <v>74</v>
      </c>
      <c r="T947" t="s">
        <v>16879</v>
      </c>
      <c r="U947" t="s">
        <v>16880</v>
      </c>
      <c r="V947" t="s">
        <v>16881</v>
      </c>
      <c r="W947" t="s">
        <v>16882</v>
      </c>
      <c r="X947" t="s">
        <v>16883</v>
      </c>
      <c r="Y947" t="s">
        <v>16884</v>
      </c>
      <c r="Z947" t="s">
        <v>16885</v>
      </c>
      <c r="AA947" t="s">
        <v>74</v>
      </c>
      <c r="AB947" t="s">
        <v>16886</v>
      </c>
      <c r="AC947" t="s">
        <v>74</v>
      </c>
      <c r="AD947" t="s">
        <v>74</v>
      </c>
      <c r="AE947" t="s">
        <v>74</v>
      </c>
      <c r="AF947" t="s">
        <v>74</v>
      </c>
      <c r="AG947">
        <v>33</v>
      </c>
      <c r="AH947">
        <v>0</v>
      </c>
      <c r="AI947">
        <v>0</v>
      </c>
      <c r="AJ947">
        <v>0</v>
      </c>
      <c r="AK947">
        <v>0</v>
      </c>
      <c r="AL947" t="s">
        <v>1188</v>
      </c>
      <c r="AM947" t="s">
        <v>93</v>
      </c>
      <c r="AN947" t="s">
        <v>1189</v>
      </c>
      <c r="AO947" t="s">
        <v>16887</v>
      </c>
      <c r="AP947" t="s">
        <v>16888</v>
      </c>
      <c r="AQ947" t="s">
        <v>74</v>
      </c>
      <c r="AR947" t="s">
        <v>16889</v>
      </c>
      <c r="AS947" t="s">
        <v>16890</v>
      </c>
      <c r="AT947" t="s">
        <v>16524</v>
      </c>
      <c r="AU947">
        <v>2023</v>
      </c>
      <c r="AV947" t="s">
        <v>74</v>
      </c>
      <c r="AW947" t="s">
        <v>74</v>
      </c>
      <c r="AX947" t="s">
        <v>74</v>
      </c>
      <c r="AY947" t="s">
        <v>74</v>
      </c>
      <c r="AZ947" t="s">
        <v>74</v>
      </c>
      <c r="BA947" t="s">
        <v>74</v>
      </c>
      <c r="BB947" t="s">
        <v>74</v>
      </c>
      <c r="BC947" t="s">
        <v>74</v>
      </c>
      <c r="BD947" t="s">
        <v>74</v>
      </c>
      <c r="BE947" t="s">
        <v>16891</v>
      </c>
      <c r="BF947" t="str">
        <f>HYPERLINK("http://dx.doi.org/10.1080/07448481.2023.2232885","http://dx.doi.org/10.1080/07448481.2023.2232885")</f>
        <v>http://dx.doi.org/10.1080/07448481.2023.2232885</v>
      </c>
      <c r="BG947" t="s">
        <v>74</v>
      </c>
      <c r="BH947" t="s">
        <v>12687</v>
      </c>
      <c r="BI947">
        <v>10</v>
      </c>
      <c r="BJ947" t="s">
        <v>14918</v>
      </c>
      <c r="BK947" t="s">
        <v>272</v>
      </c>
      <c r="BL947" t="s">
        <v>14918</v>
      </c>
      <c r="BM947" t="s">
        <v>16892</v>
      </c>
      <c r="BN947">
        <v>37463522</v>
      </c>
      <c r="BO947" t="s">
        <v>74</v>
      </c>
      <c r="BP947" t="s">
        <v>74</v>
      </c>
      <c r="BQ947" t="s">
        <v>74</v>
      </c>
      <c r="BR947" t="s">
        <v>105</v>
      </c>
      <c r="BS947" t="s">
        <v>16893</v>
      </c>
      <c r="BT947" t="str">
        <f>HYPERLINK("https%3A%2F%2Fwww.webofscience.com%2Fwos%2Fwoscc%2Ffull-record%2FWOS:001029522600001","View Full Record in Web of Science")</f>
        <v>View Full Record in Web of Science</v>
      </c>
    </row>
    <row r="948" spans="1:72" x14ac:dyDescent="0.15">
      <c r="A948" t="s">
        <v>72</v>
      </c>
      <c r="B948" t="s">
        <v>16894</v>
      </c>
      <c r="C948" t="s">
        <v>74</v>
      </c>
      <c r="D948" t="s">
        <v>74</v>
      </c>
      <c r="E948" t="s">
        <v>74</v>
      </c>
      <c r="F948" t="s">
        <v>16895</v>
      </c>
      <c r="G948" t="s">
        <v>74</v>
      </c>
      <c r="H948" t="s">
        <v>74</v>
      </c>
      <c r="I948" t="s">
        <v>16896</v>
      </c>
      <c r="J948" t="s">
        <v>16897</v>
      </c>
      <c r="K948" t="s">
        <v>74</v>
      </c>
      <c r="L948" t="s">
        <v>74</v>
      </c>
      <c r="M948" t="s">
        <v>78</v>
      </c>
      <c r="N948" t="s">
        <v>3443</v>
      </c>
      <c r="O948" t="s">
        <v>74</v>
      </c>
      <c r="P948" t="s">
        <v>74</v>
      </c>
      <c r="Q948" t="s">
        <v>74</v>
      </c>
      <c r="R948" t="s">
        <v>74</v>
      </c>
      <c r="S948" t="s">
        <v>74</v>
      </c>
      <c r="T948" t="s">
        <v>74</v>
      </c>
      <c r="U948" t="s">
        <v>74</v>
      </c>
      <c r="V948" t="s">
        <v>74</v>
      </c>
      <c r="W948" t="s">
        <v>16898</v>
      </c>
      <c r="X948" t="s">
        <v>74</v>
      </c>
      <c r="Y948" t="s">
        <v>16899</v>
      </c>
      <c r="Z948" t="s">
        <v>16900</v>
      </c>
      <c r="AA948" t="s">
        <v>16901</v>
      </c>
      <c r="AB948" t="s">
        <v>16902</v>
      </c>
      <c r="AC948" t="s">
        <v>74</v>
      </c>
      <c r="AD948" t="s">
        <v>74</v>
      </c>
      <c r="AE948" t="s">
        <v>74</v>
      </c>
      <c r="AF948" t="s">
        <v>74</v>
      </c>
      <c r="AG948">
        <v>1</v>
      </c>
      <c r="AH948">
        <v>0</v>
      </c>
      <c r="AI948">
        <v>0</v>
      </c>
      <c r="AJ948">
        <v>0</v>
      </c>
      <c r="AK948">
        <v>0</v>
      </c>
      <c r="AL948" t="s">
        <v>1188</v>
      </c>
      <c r="AM948" t="s">
        <v>93</v>
      </c>
      <c r="AN948" t="s">
        <v>1189</v>
      </c>
      <c r="AO948" t="s">
        <v>16903</v>
      </c>
      <c r="AP948" t="s">
        <v>16904</v>
      </c>
      <c r="AQ948" t="s">
        <v>74</v>
      </c>
      <c r="AR948" t="s">
        <v>16905</v>
      </c>
      <c r="AS948" t="s">
        <v>16906</v>
      </c>
      <c r="AT948" t="s">
        <v>12289</v>
      </c>
      <c r="AU948">
        <v>2023</v>
      </c>
      <c r="AV948">
        <v>31</v>
      </c>
      <c r="AW948">
        <v>3</v>
      </c>
      <c r="AX948" t="s">
        <v>74</v>
      </c>
      <c r="AY948" t="s">
        <v>74</v>
      </c>
      <c r="AZ948" t="s">
        <v>74</v>
      </c>
      <c r="BA948" t="s">
        <v>74</v>
      </c>
      <c r="BB948">
        <v>506</v>
      </c>
      <c r="BC948">
        <v>507</v>
      </c>
      <c r="BD948" t="s">
        <v>74</v>
      </c>
      <c r="BE948" t="s">
        <v>16907</v>
      </c>
      <c r="BF948" t="str">
        <f>HYPERLINK("http://dx.doi.org/10.1080/09584935.2023.2240624","http://dx.doi.org/10.1080/09584935.2023.2240624")</f>
        <v>http://dx.doi.org/10.1080/09584935.2023.2240624</v>
      </c>
      <c r="BG948" t="s">
        <v>74</v>
      </c>
      <c r="BH948" t="s">
        <v>74</v>
      </c>
      <c r="BI948">
        <v>2</v>
      </c>
      <c r="BJ948" t="s">
        <v>16908</v>
      </c>
      <c r="BK948" t="s">
        <v>7170</v>
      </c>
      <c r="BL948" t="s">
        <v>16908</v>
      </c>
      <c r="BM948" t="s">
        <v>16909</v>
      </c>
      <c r="BN948" t="s">
        <v>74</v>
      </c>
      <c r="BO948" t="s">
        <v>74</v>
      </c>
      <c r="BP948" t="s">
        <v>74</v>
      </c>
      <c r="BQ948" t="s">
        <v>74</v>
      </c>
      <c r="BR948" t="s">
        <v>105</v>
      </c>
      <c r="BS948" t="s">
        <v>16910</v>
      </c>
      <c r="BT948" t="str">
        <f>HYPERLINK("https%3A%2F%2Fwww.webofscience.com%2Fwos%2Fwoscc%2Ffull-record%2FWOS:001055242800004","View Full Record in Web of Science")</f>
        <v>View Full Record in Web of Science</v>
      </c>
    </row>
    <row r="949" spans="1:72" x14ac:dyDescent="0.15">
      <c r="A949" t="s">
        <v>72</v>
      </c>
      <c r="B949" t="s">
        <v>16911</v>
      </c>
      <c r="C949" t="s">
        <v>74</v>
      </c>
      <c r="D949" t="s">
        <v>74</v>
      </c>
      <c r="E949" t="s">
        <v>74</v>
      </c>
      <c r="F949" t="s">
        <v>16912</v>
      </c>
      <c r="G949" t="s">
        <v>74</v>
      </c>
      <c r="H949" t="s">
        <v>74</v>
      </c>
      <c r="I949" t="s">
        <v>16913</v>
      </c>
      <c r="J949" t="s">
        <v>16914</v>
      </c>
      <c r="K949" t="s">
        <v>74</v>
      </c>
      <c r="L949" t="s">
        <v>74</v>
      </c>
      <c r="M949" t="s">
        <v>78</v>
      </c>
      <c r="N949" t="s">
        <v>3443</v>
      </c>
      <c r="O949" t="s">
        <v>74</v>
      </c>
      <c r="P949" t="s">
        <v>74</v>
      </c>
      <c r="Q949" t="s">
        <v>74</v>
      </c>
      <c r="R949" t="s">
        <v>74</v>
      </c>
      <c r="S949" t="s">
        <v>74</v>
      </c>
      <c r="T949" t="s">
        <v>74</v>
      </c>
      <c r="U949" t="s">
        <v>74</v>
      </c>
      <c r="V949" t="s">
        <v>74</v>
      </c>
      <c r="W949" t="s">
        <v>16915</v>
      </c>
      <c r="X949" t="s">
        <v>16916</v>
      </c>
      <c r="Y949" t="s">
        <v>16917</v>
      </c>
      <c r="Z949" t="s">
        <v>16918</v>
      </c>
      <c r="AA949" t="s">
        <v>74</v>
      </c>
      <c r="AB949" t="s">
        <v>74</v>
      </c>
      <c r="AC949" t="s">
        <v>74</v>
      </c>
      <c r="AD949" t="s">
        <v>74</v>
      </c>
      <c r="AE949" t="s">
        <v>74</v>
      </c>
      <c r="AF949" t="s">
        <v>74</v>
      </c>
      <c r="AG949">
        <v>1</v>
      </c>
      <c r="AH949">
        <v>0</v>
      </c>
      <c r="AI949">
        <v>0</v>
      </c>
      <c r="AJ949">
        <v>0</v>
      </c>
      <c r="AK949">
        <v>0</v>
      </c>
      <c r="AL949" t="s">
        <v>1188</v>
      </c>
      <c r="AM949" t="s">
        <v>93</v>
      </c>
      <c r="AN949" t="s">
        <v>1189</v>
      </c>
      <c r="AO949" t="s">
        <v>16919</v>
      </c>
      <c r="AP949" t="s">
        <v>16920</v>
      </c>
      <c r="AQ949" t="s">
        <v>74</v>
      </c>
      <c r="AR949" t="s">
        <v>16921</v>
      </c>
      <c r="AS949" t="s">
        <v>16922</v>
      </c>
      <c r="AT949" t="s">
        <v>12289</v>
      </c>
      <c r="AU949">
        <v>2023</v>
      </c>
      <c r="AV949">
        <v>40</v>
      </c>
      <c r="AW949">
        <v>3</v>
      </c>
      <c r="AX949" t="s">
        <v>74</v>
      </c>
      <c r="AY949" t="s">
        <v>74</v>
      </c>
      <c r="AZ949" t="s">
        <v>74</v>
      </c>
      <c r="BA949" t="s">
        <v>74</v>
      </c>
      <c r="BB949">
        <v>242</v>
      </c>
      <c r="BC949">
        <v>243</v>
      </c>
      <c r="BD949" t="s">
        <v>74</v>
      </c>
      <c r="BE949" t="s">
        <v>74</v>
      </c>
      <c r="BF949" t="s">
        <v>74</v>
      </c>
      <c r="BG949" t="s">
        <v>74</v>
      </c>
      <c r="BH949" t="s">
        <v>74</v>
      </c>
      <c r="BI949">
        <v>2</v>
      </c>
      <c r="BJ949" t="s">
        <v>13523</v>
      </c>
      <c r="BK949" t="s">
        <v>211</v>
      </c>
      <c r="BL949" t="s">
        <v>13523</v>
      </c>
      <c r="BM949" t="s">
        <v>16923</v>
      </c>
      <c r="BN949" t="s">
        <v>74</v>
      </c>
      <c r="BO949" t="s">
        <v>74</v>
      </c>
      <c r="BP949" t="s">
        <v>74</v>
      </c>
      <c r="BQ949" t="s">
        <v>74</v>
      </c>
      <c r="BR949" t="s">
        <v>105</v>
      </c>
      <c r="BS949" t="s">
        <v>16924</v>
      </c>
      <c r="BT949" t="str">
        <f>HYPERLINK("https%3A%2F%2Fwww.webofscience.com%2Fwos%2Fwoscc%2Ffull-record%2FWOS:001054540500016","View Full Record in Web of Science")</f>
        <v>View Full Record in Web of Science</v>
      </c>
    </row>
    <row r="950" spans="1:72" x14ac:dyDescent="0.15">
      <c r="A950" t="s">
        <v>72</v>
      </c>
      <c r="B950" t="s">
        <v>16925</v>
      </c>
      <c r="C950" t="s">
        <v>74</v>
      </c>
      <c r="D950" t="s">
        <v>74</v>
      </c>
      <c r="E950" t="s">
        <v>74</v>
      </c>
      <c r="F950" t="s">
        <v>16926</v>
      </c>
      <c r="G950" t="s">
        <v>74</v>
      </c>
      <c r="H950" t="s">
        <v>74</v>
      </c>
      <c r="I950" t="s">
        <v>16927</v>
      </c>
      <c r="J950" t="s">
        <v>16928</v>
      </c>
      <c r="K950" t="s">
        <v>74</v>
      </c>
      <c r="L950" t="s">
        <v>74</v>
      </c>
      <c r="M950" t="s">
        <v>78</v>
      </c>
      <c r="N950" t="s">
        <v>3443</v>
      </c>
      <c r="O950" t="s">
        <v>74</v>
      </c>
      <c r="P950" t="s">
        <v>74</v>
      </c>
      <c r="Q950" t="s">
        <v>74</v>
      </c>
      <c r="R950" t="s">
        <v>74</v>
      </c>
      <c r="S950" t="s">
        <v>74</v>
      </c>
      <c r="T950" t="s">
        <v>74</v>
      </c>
      <c r="U950" t="s">
        <v>74</v>
      </c>
      <c r="V950" t="s">
        <v>74</v>
      </c>
      <c r="W950" t="s">
        <v>16929</v>
      </c>
      <c r="X950" t="s">
        <v>74</v>
      </c>
      <c r="Y950" t="s">
        <v>16930</v>
      </c>
      <c r="Z950" t="s">
        <v>16931</v>
      </c>
      <c r="AA950" t="s">
        <v>74</v>
      </c>
      <c r="AB950" t="s">
        <v>74</v>
      </c>
      <c r="AC950" t="s">
        <v>74</v>
      </c>
      <c r="AD950" t="s">
        <v>74</v>
      </c>
      <c r="AE950" t="s">
        <v>74</v>
      </c>
      <c r="AF950" t="s">
        <v>74</v>
      </c>
      <c r="AG950">
        <v>1</v>
      </c>
      <c r="AH950">
        <v>0</v>
      </c>
      <c r="AI950">
        <v>0</v>
      </c>
      <c r="AJ950">
        <v>0</v>
      </c>
      <c r="AK950">
        <v>0</v>
      </c>
      <c r="AL950" t="s">
        <v>1188</v>
      </c>
      <c r="AM950" t="s">
        <v>93</v>
      </c>
      <c r="AN950" t="s">
        <v>1189</v>
      </c>
      <c r="AO950" t="s">
        <v>16932</v>
      </c>
      <c r="AP950" t="s">
        <v>16933</v>
      </c>
      <c r="AQ950" t="s">
        <v>74</v>
      </c>
      <c r="AR950" t="s">
        <v>16934</v>
      </c>
      <c r="AS950" t="s">
        <v>16935</v>
      </c>
      <c r="AT950" t="s">
        <v>12289</v>
      </c>
      <c r="AU950">
        <v>2023</v>
      </c>
      <c r="AV950">
        <v>14</v>
      </c>
      <c r="AW950">
        <v>3</v>
      </c>
      <c r="AX950" t="s">
        <v>74</v>
      </c>
      <c r="AY950" t="s">
        <v>74</v>
      </c>
      <c r="AZ950" t="s">
        <v>74</v>
      </c>
      <c r="BA950" t="s">
        <v>74</v>
      </c>
      <c r="BB950">
        <v>388</v>
      </c>
      <c r="BC950">
        <v>391</v>
      </c>
      <c r="BD950" t="s">
        <v>74</v>
      </c>
      <c r="BE950" t="s">
        <v>16936</v>
      </c>
      <c r="BF950" t="str">
        <f>HYPERLINK("http://dx.doi.org/10.1080/19472498.2023.2228084","http://dx.doi.org/10.1080/19472498.2023.2228084")</f>
        <v>http://dx.doi.org/10.1080/19472498.2023.2228084</v>
      </c>
      <c r="BG950" t="s">
        <v>74</v>
      </c>
      <c r="BH950" t="s">
        <v>12687</v>
      </c>
      <c r="BI950">
        <v>4</v>
      </c>
      <c r="BJ950" t="s">
        <v>14442</v>
      </c>
      <c r="BK950" t="s">
        <v>211</v>
      </c>
      <c r="BL950" t="s">
        <v>14442</v>
      </c>
      <c r="BM950" t="s">
        <v>16937</v>
      </c>
      <c r="BN950" t="s">
        <v>74</v>
      </c>
      <c r="BO950" t="s">
        <v>74</v>
      </c>
      <c r="BP950" t="s">
        <v>74</v>
      </c>
      <c r="BQ950" t="s">
        <v>74</v>
      </c>
      <c r="BR950" t="s">
        <v>105</v>
      </c>
      <c r="BS950" t="s">
        <v>16938</v>
      </c>
      <c r="BT950" t="str">
        <f>HYPERLINK("https%3A%2F%2Fwww.webofscience.com%2Fwos%2Fwoscc%2Ffull-record%2FWOS:001024480700001","View Full Record in Web of Science")</f>
        <v>View Full Record in Web of Science</v>
      </c>
    </row>
    <row r="951" spans="1:72" x14ac:dyDescent="0.15">
      <c r="A951" t="s">
        <v>72</v>
      </c>
      <c r="B951" t="s">
        <v>16939</v>
      </c>
      <c r="C951" t="s">
        <v>74</v>
      </c>
      <c r="D951" t="s">
        <v>74</v>
      </c>
      <c r="E951" t="s">
        <v>74</v>
      </c>
      <c r="F951" t="s">
        <v>16940</v>
      </c>
      <c r="G951" t="s">
        <v>74</v>
      </c>
      <c r="H951" t="s">
        <v>74</v>
      </c>
      <c r="I951" t="s">
        <v>16941</v>
      </c>
      <c r="J951" t="s">
        <v>16942</v>
      </c>
      <c r="K951" t="s">
        <v>74</v>
      </c>
      <c r="L951" t="s">
        <v>74</v>
      </c>
      <c r="M951" t="s">
        <v>78</v>
      </c>
      <c r="N951" t="s">
        <v>79</v>
      </c>
      <c r="O951" t="s">
        <v>74</v>
      </c>
      <c r="P951" t="s">
        <v>74</v>
      </c>
      <c r="Q951" t="s">
        <v>74</v>
      </c>
      <c r="R951" t="s">
        <v>74</v>
      </c>
      <c r="S951" t="s">
        <v>74</v>
      </c>
      <c r="T951" t="s">
        <v>16943</v>
      </c>
      <c r="U951" t="s">
        <v>74</v>
      </c>
      <c r="V951" t="s">
        <v>16944</v>
      </c>
      <c r="W951" t="s">
        <v>16945</v>
      </c>
      <c r="X951" t="s">
        <v>16946</v>
      </c>
      <c r="Y951" t="s">
        <v>16947</v>
      </c>
      <c r="Z951" t="s">
        <v>74</v>
      </c>
      <c r="AA951" t="s">
        <v>74</v>
      </c>
      <c r="AB951" t="s">
        <v>74</v>
      </c>
      <c r="AC951" t="s">
        <v>74</v>
      </c>
      <c r="AD951" t="s">
        <v>74</v>
      </c>
      <c r="AE951" t="s">
        <v>74</v>
      </c>
      <c r="AF951" t="s">
        <v>74</v>
      </c>
      <c r="AG951">
        <v>59</v>
      </c>
      <c r="AH951">
        <v>0</v>
      </c>
      <c r="AI951">
        <v>0</v>
      </c>
      <c r="AJ951">
        <v>0</v>
      </c>
      <c r="AK951">
        <v>0</v>
      </c>
      <c r="AL951" t="s">
        <v>1188</v>
      </c>
      <c r="AM951" t="s">
        <v>93</v>
      </c>
      <c r="AN951" t="s">
        <v>1189</v>
      </c>
      <c r="AO951" t="s">
        <v>16948</v>
      </c>
      <c r="AP951" t="s">
        <v>16949</v>
      </c>
      <c r="AQ951" t="s">
        <v>74</v>
      </c>
      <c r="AR951" t="s">
        <v>16950</v>
      </c>
      <c r="AS951" t="s">
        <v>16951</v>
      </c>
      <c r="AT951" t="s">
        <v>12289</v>
      </c>
      <c r="AU951">
        <v>2023</v>
      </c>
      <c r="AV951">
        <v>46</v>
      </c>
      <c r="AW951">
        <v>3</v>
      </c>
      <c r="AX951" t="s">
        <v>74</v>
      </c>
      <c r="AY951" t="s">
        <v>74</v>
      </c>
      <c r="AZ951" t="s">
        <v>5344</v>
      </c>
      <c r="BA951" t="s">
        <v>74</v>
      </c>
      <c r="BB951">
        <v>465</v>
      </c>
      <c r="BC951">
        <v>492</v>
      </c>
      <c r="BD951" t="s">
        <v>74</v>
      </c>
      <c r="BE951" t="s">
        <v>16952</v>
      </c>
      <c r="BF951" t="str">
        <f>HYPERLINK("http://dx.doi.org/10.1080/01603477.2023.2224029","http://dx.doi.org/10.1080/01603477.2023.2224029")</f>
        <v>http://dx.doi.org/10.1080/01603477.2023.2224029</v>
      </c>
      <c r="BG951" t="s">
        <v>74</v>
      </c>
      <c r="BH951" t="s">
        <v>74</v>
      </c>
      <c r="BI951">
        <v>28</v>
      </c>
      <c r="BJ951" t="s">
        <v>373</v>
      </c>
      <c r="BK951" t="s">
        <v>272</v>
      </c>
      <c r="BL951" t="s">
        <v>295</v>
      </c>
      <c r="BM951" t="s">
        <v>16953</v>
      </c>
      <c r="BN951" t="s">
        <v>74</v>
      </c>
      <c r="BO951" t="s">
        <v>74</v>
      </c>
      <c r="BP951" t="s">
        <v>74</v>
      </c>
      <c r="BQ951" t="s">
        <v>74</v>
      </c>
      <c r="BR951" t="s">
        <v>105</v>
      </c>
      <c r="BS951" t="s">
        <v>16954</v>
      </c>
      <c r="BT951" t="str">
        <f>HYPERLINK("https%3A%2F%2Fwww.webofscience.com%2Fwos%2Fwoscc%2Ffull-record%2FWOS:001041192300007","View Full Record in Web of Science")</f>
        <v>View Full Record in Web of Science</v>
      </c>
    </row>
    <row r="952" spans="1:72" x14ac:dyDescent="0.15">
      <c r="A952" t="s">
        <v>72</v>
      </c>
      <c r="B952" t="s">
        <v>16955</v>
      </c>
      <c r="C952" t="s">
        <v>74</v>
      </c>
      <c r="D952" t="s">
        <v>74</v>
      </c>
      <c r="E952" t="s">
        <v>74</v>
      </c>
      <c r="F952" t="s">
        <v>16956</v>
      </c>
      <c r="G952" t="s">
        <v>74</v>
      </c>
      <c r="H952" t="s">
        <v>74</v>
      </c>
      <c r="I952" t="s">
        <v>16957</v>
      </c>
      <c r="J952" t="s">
        <v>16958</v>
      </c>
      <c r="K952" t="s">
        <v>74</v>
      </c>
      <c r="L952" t="s">
        <v>74</v>
      </c>
      <c r="M952" t="s">
        <v>78</v>
      </c>
      <c r="N952" t="s">
        <v>3443</v>
      </c>
      <c r="O952" t="s">
        <v>74</v>
      </c>
      <c r="P952" t="s">
        <v>74</v>
      </c>
      <c r="Q952" t="s">
        <v>74</v>
      </c>
      <c r="R952" t="s">
        <v>74</v>
      </c>
      <c r="S952" t="s">
        <v>74</v>
      </c>
      <c r="T952" t="s">
        <v>74</v>
      </c>
      <c r="U952" t="s">
        <v>74</v>
      </c>
      <c r="V952" t="s">
        <v>74</v>
      </c>
      <c r="W952" t="s">
        <v>16959</v>
      </c>
      <c r="X952" t="s">
        <v>16960</v>
      </c>
      <c r="Y952" t="s">
        <v>16961</v>
      </c>
      <c r="Z952" t="s">
        <v>16962</v>
      </c>
      <c r="AA952" t="s">
        <v>74</v>
      </c>
      <c r="AB952" t="s">
        <v>74</v>
      </c>
      <c r="AC952" t="s">
        <v>74</v>
      </c>
      <c r="AD952" t="s">
        <v>74</v>
      </c>
      <c r="AE952" t="s">
        <v>74</v>
      </c>
      <c r="AF952" t="s">
        <v>74</v>
      </c>
      <c r="AG952">
        <v>1</v>
      </c>
      <c r="AH952">
        <v>0</v>
      </c>
      <c r="AI952">
        <v>0</v>
      </c>
      <c r="AJ952">
        <v>0</v>
      </c>
      <c r="AK952">
        <v>0</v>
      </c>
      <c r="AL952" t="s">
        <v>1188</v>
      </c>
      <c r="AM952" t="s">
        <v>93</v>
      </c>
      <c r="AN952" t="s">
        <v>1189</v>
      </c>
      <c r="AO952" t="s">
        <v>16963</v>
      </c>
      <c r="AP952" t="s">
        <v>16964</v>
      </c>
      <c r="AQ952" t="s">
        <v>74</v>
      </c>
      <c r="AR952" t="s">
        <v>16965</v>
      </c>
      <c r="AS952" t="s">
        <v>16966</v>
      </c>
      <c r="AT952" t="s">
        <v>12289</v>
      </c>
      <c r="AU952">
        <v>2023</v>
      </c>
      <c r="AV952">
        <v>75</v>
      </c>
      <c r="AW952">
        <v>6</v>
      </c>
      <c r="AX952" t="s">
        <v>74</v>
      </c>
      <c r="AY952" t="s">
        <v>74</v>
      </c>
      <c r="AZ952" t="s">
        <v>74</v>
      </c>
      <c r="BA952" t="s">
        <v>74</v>
      </c>
      <c r="BB952">
        <v>1051</v>
      </c>
      <c r="BC952">
        <v>1053</v>
      </c>
      <c r="BD952" t="s">
        <v>74</v>
      </c>
      <c r="BE952" t="s">
        <v>16967</v>
      </c>
      <c r="BF952" t="str">
        <f>HYPERLINK("http://dx.doi.org/10.1080/09668136.2023.2224171","http://dx.doi.org/10.1080/09668136.2023.2224171")</f>
        <v>http://dx.doi.org/10.1080/09668136.2023.2224171</v>
      </c>
      <c r="BG952" t="s">
        <v>74</v>
      </c>
      <c r="BH952" t="s">
        <v>74</v>
      </c>
      <c r="BI952">
        <v>3</v>
      </c>
      <c r="BJ952" t="s">
        <v>16968</v>
      </c>
      <c r="BK952" t="s">
        <v>272</v>
      </c>
      <c r="BL952" t="s">
        <v>16969</v>
      </c>
      <c r="BM952" t="s">
        <v>16970</v>
      </c>
      <c r="BN952" t="s">
        <v>74</v>
      </c>
      <c r="BO952" t="s">
        <v>74</v>
      </c>
      <c r="BP952" t="s">
        <v>74</v>
      </c>
      <c r="BQ952" t="s">
        <v>74</v>
      </c>
      <c r="BR952" t="s">
        <v>105</v>
      </c>
      <c r="BS952" t="s">
        <v>16971</v>
      </c>
      <c r="BT952" t="str">
        <f>HYPERLINK("https%3A%2F%2Fwww.webofscience.com%2Fwos%2Fwoscc%2Ffull-record%2FWOS:001035469300010","View Full Record in Web of Science")</f>
        <v>View Full Record in Web of Science</v>
      </c>
    </row>
    <row r="953" spans="1:72" x14ac:dyDescent="0.15">
      <c r="A953" t="s">
        <v>72</v>
      </c>
      <c r="B953" t="s">
        <v>16972</v>
      </c>
      <c r="C953" t="s">
        <v>74</v>
      </c>
      <c r="D953" t="s">
        <v>74</v>
      </c>
      <c r="E953" t="s">
        <v>74</v>
      </c>
      <c r="F953" t="s">
        <v>16973</v>
      </c>
      <c r="G953" t="s">
        <v>74</v>
      </c>
      <c r="H953" t="s">
        <v>74</v>
      </c>
      <c r="I953" t="s">
        <v>16974</v>
      </c>
      <c r="J953" t="s">
        <v>16975</v>
      </c>
      <c r="K953" t="s">
        <v>74</v>
      </c>
      <c r="L953" t="s">
        <v>74</v>
      </c>
      <c r="M953" t="s">
        <v>78</v>
      </c>
      <c r="N953" t="s">
        <v>79</v>
      </c>
      <c r="O953" t="s">
        <v>74</v>
      </c>
      <c r="P953" t="s">
        <v>74</v>
      </c>
      <c r="Q953" t="s">
        <v>74</v>
      </c>
      <c r="R953" t="s">
        <v>74</v>
      </c>
      <c r="S953" t="s">
        <v>74</v>
      </c>
      <c r="T953" t="s">
        <v>16976</v>
      </c>
      <c r="U953" t="s">
        <v>16977</v>
      </c>
      <c r="V953" t="s">
        <v>16978</v>
      </c>
      <c r="W953" t="s">
        <v>16979</v>
      </c>
      <c r="X953" t="s">
        <v>16980</v>
      </c>
      <c r="Y953" t="s">
        <v>16981</v>
      </c>
      <c r="Z953" t="s">
        <v>16982</v>
      </c>
      <c r="AA953" t="s">
        <v>74</v>
      </c>
      <c r="AB953" t="s">
        <v>74</v>
      </c>
      <c r="AC953" t="s">
        <v>74</v>
      </c>
      <c r="AD953" t="s">
        <v>74</v>
      </c>
      <c r="AE953" t="s">
        <v>74</v>
      </c>
      <c r="AF953" t="s">
        <v>74</v>
      </c>
      <c r="AG953">
        <v>44</v>
      </c>
      <c r="AH953">
        <v>0</v>
      </c>
      <c r="AI953">
        <v>0</v>
      </c>
      <c r="AJ953">
        <v>0</v>
      </c>
      <c r="AK953">
        <v>0</v>
      </c>
      <c r="AL953" t="s">
        <v>1188</v>
      </c>
      <c r="AM953" t="s">
        <v>93</v>
      </c>
      <c r="AN953" t="s">
        <v>1189</v>
      </c>
      <c r="AO953" t="s">
        <v>16983</v>
      </c>
      <c r="AP953" t="s">
        <v>16984</v>
      </c>
      <c r="AQ953" t="s">
        <v>74</v>
      </c>
      <c r="AR953" t="s">
        <v>16985</v>
      </c>
      <c r="AS953" t="s">
        <v>16986</v>
      </c>
      <c r="AT953" t="s">
        <v>12289</v>
      </c>
      <c r="AU953">
        <v>2023</v>
      </c>
      <c r="AV953">
        <v>23</v>
      </c>
      <c r="AW953">
        <v>2</v>
      </c>
      <c r="AX953" t="s">
        <v>74</v>
      </c>
      <c r="AY953" t="s">
        <v>74</v>
      </c>
      <c r="AZ953" t="s">
        <v>74</v>
      </c>
      <c r="BA953" t="s">
        <v>74</v>
      </c>
      <c r="BB953">
        <v>117</v>
      </c>
      <c r="BC953">
        <v>141</v>
      </c>
      <c r="BD953" t="s">
        <v>74</v>
      </c>
      <c r="BE953" t="s">
        <v>16987</v>
      </c>
      <c r="BF953" t="str">
        <f>HYPERLINK("http://dx.doi.org/10.1080/1406099X.2023.2254488","http://dx.doi.org/10.1080/1406099X.2023.2254488")</f>
        <v>http://dx.doi.org/10.1080/1406099X.2023.2254488</v>
      </c>
      <c r="BG953" t="s">
        <v>74</v>
      </c>
      <c r="BH953" t="s">
        <v>74</v>
      </c>
      <c r="BI953">
        <v>25</v>
      </c>
      <c r="BJ953" t="s">
        <v>373</v>
      </c>
      <c r="BK953" t="s">
        <v>272</v>
      </c>
      <c r="BL953" t="s">
        <v>295</v>
      </c>
      <c r="BM953" t="s">
        <v>16988</v>
      </c>
      <c r="BN953" t="s">
        <v>74</v>
      </c>
      <c r="BO953" t="s">
        <v>126</v>
      </c>
      <c r="BP953" t="s">
        <v>74</v>
      </c>
      <c r="BQ953" t="s">
        <v>74</v>
      </c>
      <c r="BR953" t="s">
        <v>105</v>
      </c>
      <c r="BS953" t="s">
        <v>16989</v>
      </c>
      <c r="BT953" t="str">
        <f>HYPERLINK("https%3A%2F%2Fwww.webofscience.com%2Fwos%2Fwoscc%2Ffull-record%2FWOS:001070025300001","View Full Record in Web of Science")</f>
        <v>View Full Record in Web of Science</v>
      </c>
    </row>
    <row r="954" spans="1:72" x14ac:dyDescent="0.15">
      <c r="A954" t="s">
        <v>72</v>
      </c>
      <c r="B954" t="s">
        <v>16990</v>
      </c>
      <c r="C954" t="s">
        <v>74</v>
      </c>
      <c r="D954" t="s">
        <v>74</v>
      </c>
      <c r="E954" t="s">
        <v>74</v>
      </c>
      <c r="F954" t="s">
        <v>16991</v>
      </c>
      <c r="G954" t="s">
        <v>74</v>
      </c>
      <c r="H954" t="s">
        <v>74</v>
      </c>
      <c r="I954" t="s">
        <v>16992</v>
      </c>
      <c r="J954" t="s">
        <v>16993</v>
      </c>
      <c r="K954" t="s">
        <v>74</v>
      </c>
      <c r="L954" t="s">
        <v>74</v>
      </c>
      <c r="M954" t="s">
        <v>78</v>
      </c>
      <c r="N954" t="s">
        <v>3443</v>
      </c>
      <c r="O954" t="s">
        <v>74</v>
      </c>
      <c r="P954" t="s">
        <v>74</v>
      </c>
      <c r="Q954" t="s">
        <v>74</v>
      </c>
      <c r="R954" t="s">
        <v>74</v>
      </c>
      <c r="S954" t="s">
        <v>74</v>
      </c>
      <c r="T954" t="s">
        <v>74</v>
      </c>
      <c r="U954" t="s">
        <v>74</v>
      </c>
      <c r="V954" t="s">
        <v>74</v>
      </c>
      <c r="W954" t="s">
        <v>16994</v>
      </c>
      <c r="X954" t="s">
        <v>16995</v>
      </c>
      <c r="Y954" t="s">
        <v>16996</v>
      </c>
      <c r="Z954" t="s">
        <v>16997</v>
      </c>
      <c r="AA954" t="s">
        <v>74</v>
      </c>
      <c r="AB954" t="s">
        <v>16998</v>
      </c>
      <c r="AC954" t="s">
        <v>74</v>
      </c>
      <c r="AD954" t="s">
        <v>74</v>
      </c>
      <c r="AE954" t="s">
        <v>74</v>
      </c>
      <c r="AF954" t="s">
        <v>74</v>
      </c>
      <c r="AG954">
        <v>6</v>
      </c>
      <c r="AH954">
        <v>0</v>
      </c>
      <c r="AI954">
        <v>0</v>
      </c>
      <c r="AJ954">
        <v>0</v>
      </c>
      <c r="AK954">
        <v>0</v>
      </c>
      <c r="AL954" t="s">
        <v>92</v>
      </c>
      <c r="AM954" t="s">
        <v>93</v>
      </c>
      <c r="AN954" t="s">
        <v>94</v>
      </c>
      <c r="AO954" t="s">
        <v>16999</v>
      </c>
      <c r="AP954" t="s">
        <v>17000</v>
      </c>
      <c r="AQ954" t="s">
        <v>74</v>
      </c>
      <c r="AR954" t="s">
        <v>17001</v>
      </c>
      <c r="AS954" t="s">
        <v>17002</v>
      </c>
      <c r="AT954" t="s">
        <v>12289</v>
      </c>
      <c r="AU954">
        <v>2023</v>
      </c>
      <c r="AV954">
        <v>16</v>
      </c>
      <c r="AW954">
        <v>2</v>
      </c>
      <c r="AX954" t="s">
        <v>74</v>
      </c>
      <c r="AY954" t="s">
        <v>74</v>
      </c>
      <c r="AZ954" t="s">
        <v>74</v>
      </c>
      <c r="BA954" t="s">
        <v>74</v>
      </c>
      <c r="BB954">
        <v>149</v>
      </c>
      <c r="BC954">
        <v>151</v>
      </c>
      <c r="BD954" t="s">
        <v>74</v>
      </c>
      <c r="BE954" t="s">
        <v>17003</v>
      </c>
      <c r="BF954" t="str">
        <f>HYPERLINK("http://dx.doi.org/10.1080/17585716.2023.2235743","http://dx.doi.org/10.1080/17585716.2023.2235743")</f>
        <v>http://dx.doi.org/10.1080/17585716.2023.2235743</v>
      </c>
      <c r="BG954" t="s">
        <v>74</v>
      </c>
      <c r="BH954" t="s">
        <v>12687</v>
      </c>
      <c r="BI954">
        <v>3</v>
      </c>
      <c r="BJ954" t="s">
        <v>17004</v>
      </c>
      <c r="BK954" t="s">
        <v>211</v>
      </c>
      <c r="BL954" t="s">
        <v>17004</v>
      </c>
      <c r="BM954" t="s">
        <v>17005</v>
      </c>
      <c r="BN954" t="s">
        <v>74</v>
      </c>
      <c r="BO954" t="s">
        <v>74</v>
      </c>
      <c r="BP954" t="s">
        <v>74</v>
      </c>
      <c r="BQ954" t="s">
        <v>74</v>
      </c>
      <c r="BR954" t="s">
        <v>105</v>
      </c>
      <c r="BS954" t="s">
        <v>17006</v>
      </c>
      <c r="BT954" t="str">
        <f>HYPERLINK("https%3A%2F%2Fwww.webofscience.com%2Fwos%2Fwoscc%2Ffull-record%2FWOS:001035642700001","View Full Record in Web of Science")</f>
        <v>View Full Record in Web of Science</v>
      </c>
    </row>
    <row r="955" spans="1:72" x14ac:dyDescent="0.15">
      <c r="A955" t="s">
        <v>72</v>
      </c>
      <c r="B955" t="s">
        <v>17007</v>
      </c>
      <c r="C955" t="s">
        <v>74</v>
      </c>
      <c r="D955" t="s">
        <v>74</v>
      </c>
      <c r="E955" t="s">
        <v>74</v>
      </c>
      <c r="F955" t="s">
        <v>17008</v>
      </c>
      <c r="G955" t="s">
        <v>74</v>
      </c>
      <c r="H955" t="s">
        <v>74</v>
      </c>
      <c r="I955" t="s">
        <v>17009</v>
      </c>
      <c r="J955" t="s">
        <v>17010</v>
      </c>
      <c r="K955" t="s">
        <v>74</v>
      </c>
      <c r="L955" t="s">
        <v>74</v>
      </c>
      <c r="M955" t="s">
        <v>78</v>
      </c>
      <c r="N955" t="s">
        <v>79</v>
      </c>
      <c r="O955" t="s">
        <v>74</v>
      </c>
      <c r="P955" t="s">
        <v>74</v>
      </c>
      <c r="Q955" t="s">
        <v>74</v>
      </c>
      <c r="R955" t="s">
        <v>74</v>
      </c>
      <c r="S955" t="s">
        <v>74</v>
      </c>
      <c r="T955" t="s">
        <v>17011</v>
      </c>
      <c r="U955" t="s">
        <v>17012</v>
      </c>
      <c r="V955" t="s">
        <v>17013</v>
      </c>
      <c r="W955" t="s">
        <v>17014</v>
      </c>
      <c r="X955" t="s">
        <v>17015</v>
      </c>
      <c r="Y955" t="s">
        <v>17016</v>
      </c>
      <c r="Z955" t="s">
        <v>17017</v>
      </c>
      <c r="AA955" t="s">
        <v>74</v>
      </c>
      <c r="AB955" t="s">
        <v>74</v>
      </c>
      <c r="AC955" t="s">
        <v>17018</v>
      </c>
      <c r="AD955" t="s">
        <v>17019</v>
      </c>
      <c r="AE955" t="s">
        <v>17020</v>
      </c>
      <c r="AF955" t="s">
        <v>74</v>
      </c>
      <c r="AG955">
        <v>54</v>
      </c>
      <c r="AH955">
        <v>0</v>
      </c>
      <c r="AI955">
        <v>0</v>
      </c>
      <c r="AJ955">
        <v>0</v>
      </c>
      <c r="AK955">
        <v>0</v>
      </c>
      <c r="AL955" t="s">
        <v>1188</v>
      </c>
      <c r="AM955" t="s">
        <v>93</v>
      </c>
      <c r="AN955" t="s">
        <v>1189</v>
      </c>
      <c r="AO955" t="s">
        <v>17021</v>
      </c>
      <c r="AP955" t="s">
        <v>17022</v>
      </c>
      <c r="AQ955" t="s">
        <v>74</v>
      </c>
      <c r="AR955" t="s">
        <v>17023</v>
      </c>
      <c r="AS955" t="s">
        <v>17024</v>
      </c>
      <c r="AT955" t="s">
        <v>12289</v>
      </c>
      <c r="AU955">
        <v>2023</v>
      </c>
      <c r="AV955">
        <v>69</v>
      </c>
      <c r="AW955">
        <v>3</v>
      </c>
      <c r="AX955" t="s">
        <v>74</v>
      </c>
      <c r="AY955" t="s">
        <v>74</v>
      </c>
      <c r="AZ955" t="s">
        <v>74</v>
      </c>
      <c r="BA955" t="s">
        <v>74</v>
      </c>
      <c r="BB955">
        <v>253</v>
      </c>
      <c r="BC955">
        <v>282</v>
      </c>
      <c r="BD955" t="s">
        <v>74</v>
      </c>
      <c r="BE955" t="s">
        <v>17025</v>
      </c>
      <c r="BF955" t="str">
        <f>HYPERLINK("http://dx.doi.org/10.1080/00437956.2023.2237271","http://dx.doi.org/10.1080/00437956.2023.2237271")</f>
        <v>http://dx.doi.org/10.1080/00437956.2023.2237271</v>
      </c>
      <c r="BG955" t="s">
        <v>74</v>
      </c>
      <c r="BH955" t="s">
        <v>74</v>
      </c>
      <c r="BI955">
        <v>30</v>
      </c>
      <c r="BJ955" t="s">
        <v>8184</v>
      </c>
      <c r="BK955" t="s">
        <v>211</v>
      </c>
      <c r="BL955" t="s">
        <v>8184</v>
      </c>
      <c r="BM955" t="s">
        <v>17026</v>
      </c>
      <c r="BN955" t="s">
        <v>74</v>
      </c>
      <c r="BO955" t="s">
        <v>74</v>
      </c>
      <c r="BP955" t="s">
        <v>74</v>
      </c>
      <c r="BQ955" t="s">
        <v>74</v>
      </c>
      <c r="BR955" t="s">
        <v>105</v>
      </c>
      <c r="BS955" t="s">
        <v>17027</v>
      </c>
      <c r="BT955" t="str">
        <f>HYPERLINK("https%3A%2F%2Fwww.webofscience.com%2Fwos%2Fwoscc%2Ffull-record%2FWOS:001048208000002","View Full Record in Web of Science")</f>
        <v>View Full Record in Web of Science</v>
      </c>
    </row>
    <row r="956" spans="1:72" x14ac:dyDescent="0.15">
      <c r="A956" t="s">
        <v>72</v>
      </c>
      <c r="B956" t="s">
        <v>17028</v>
      </c>
      <c r="C956" t="s">
        <v>74</v>
      </c>
      <c r="D956" t="s">
        <v>74</v>
      </c>
      <c r="E956" t="s">
        <v>74</v>
      </c>
      <c r="F956" t="s">
        <v>17029</v>
      </c>
      <c r="G956" t="s">
        <v>74</v>
      </c>
      <c r="H956" t="s">
        <v>74</v>
      </c>
      <c r="I956" t="s">
        <v>17030</v>
      </c>
      <c r="J956" t="s">
        <v>17031</v>
      </c>
      <c r="K956" t="s">
        <v>74</v>
      </c>
      <c r="L956" t="s">
        <v>74</v>
      </c>
      <c r="M956" t="s">
        <v>78</v>
      </c>
      <c r="N956" t="s">
        <v>79</v>
      </c>
      <c r="O956" t="s">
        <v>74</v>
      </c>
      <c r="P956" t="s">
        <v>74</v>
      </c>
      <c r="Q956" t="s">
        <v>74</v>
      </c>
      <c r="R956" t="s">
        <v>74</v>
      </c>
      <c r="S956" t="s">
        <v>74</v>
      </c>
      <c r="T956" t="s">
        <v>17032</v>
      </c>
      <c r="U956" t="s">
        <v>17033</v>
      </c>
      <c r="V956" t="s">
        <v>17034</v>
      </c>
      <c r="W956" t="s">
        <v>17035</v>
      </c>
      <c r="X956" t="s">
        <v>17036</v>
      </c>
      <c r="Y956" t="s">
        <v>17037</v>
      </c>
      <c r="Z956" t="s">
        <v>17038</v>
      </c>
      <c r="AA956" t="s">
        <v>74</v>
      </c>
      <c r="AB956" t="s">
        <v>74</v>
      </c>
      <c r="AC956" t="s">
        <v>74</v>
      </c>
      <c r="AD956" t="s">
        <v>74</v>
      </c>
      <c r="AE956" t="s">
        <v>74</v>
      </c>
      <c r="AF956" t="s">
        <v>74</v>
      </c>
      <c r="AG956">
        <v>53</v>
      </c>
      <c r="AH956">
        <v>0</v>
      </c>
      <c r="AI956">
        <v>0</v>
      </c>
      <c r="AJ956">
        <v>0</v>
      </c>
      <c r="AK956">
        <v>0</v>
      </c>
      <c r="AL956" t="s">
        <v>1188</v>
      </c>
      <c r="AM956" t="s">
        <v>93</v>
      </c>
      <c r="AN956" t="s">
        <v>1189</v>
      </c>
      <c r="AO956" t="s">
        <v>17039</v>
      </c>
      <c r="AP956" t="s">
        <v>17040</v>
      </c>
      <c r="AQ956" t="s">
        <v>74</v>
      </c>
      <c r="AR956" t="s">
        <v>17041</v>
      </c>
      <c r="AS956" t="s">
        <v>17042</v>
      </c>
      <c r="AT956" t="s">
        <v>12289</v>
      </c>
      <c r="AU956">
        <v>2023</v>
      </c>
      <c r="AV956">
        <v>34</v>
      </c>
      <c r="AW956">
        <v>3</v>
      </c>
      <c r="AX956" t="s">
        <v>74</v>
      </c>
      <c r="AY956" t="s">
        <v>74</v>
      </c>
      <c r="AZ956" t="s">
        <v>74</v>
      </c>
      <c r="BA956" t="s">
        <v>74</v>
      </c>
      <c r="BB956">
        <v>118</v>
      </c>
      <c r="BC956">
        <v>142</v>
      </c>
      <c r="BD956" t="s">
        <v>74</v>
      </c>
      <c r="BE956" t="s">
        <v>17043</v>
      </c>
      <c r="BF956" t="str">
        <f>HYPERLINK("http://dx.doi.org/10.1080/08975930.2023.2230367","http://dx.doi.org/10.1080/08975930.2023.2230367")</f>
        <v>http://dx.doi.org/10.1080/08975930.2023.2230367</v>
      </c>
      <c r="BG956" t="s">
        <v>74</v>
      </c>
      <c r="BH956" t="s">
        <v>74</v>
      </c>
      <c r="BI956">
        <v>25</v>
      </c>
      <c r="BJ956" t="s">
        <v>271</v>
      </c>
      <c r="BK956" t="s">
        <v>211</v>
      </c>
      <c r="BL956" t="s">
        <v>271</v>
      </c>
      <c r="BM956" t="s">
        <v>17044</v>
      </c>
      <c r="BN956" t="s">
        <v>74</v>
      </c>
      <c r="BO956" t="s">
        <v>74</v>
      </c>
      <c r="BP956" t="s">
        <v>74</v>
      </c>
      <c r="BQ956" t="s">
        <v>74</v>
      </c>
      <c r="BR956" t="s">
        <v>105</v>
      </c>
      <c r="BS956" t="s">
        <v>17045</v>
      </c>
      <c r="BT956" t="str">
        <f>HYPERLINK("https%3A%2F%2Fwww.webofscience.com%2Fwos%2Fwoscc%2Ffull-record%2FWOS:001066122700004","View Full Record in Web of Science")</f>
        <v>View Full Record in Web of Science</v>
      </c>
    </row>
    <row r="957" spans="1:72" x14ac:dyDescent="0.15">
      <c r="A957" t="s">
        <v>72</v>
      </c>
      <c r="B957" t="s">
        <v>11169</v>
      </c>
      <c r="C957" t="s">
        <v>74</v>
      </c>
      <c r="D957" t="s">
        <v>74</v>
      </c>
      <c r="E957" t="s">
        <v>74</v>
      </c>
      <c r="F957" t="s">
        <v>11170</v>
      </c>
      <c r="G957" t="s">
        <v>74</v>
      </c>
      <c r="H957" t="s">
        <v>74</v>
      </c>
      <c r="I957" t="s">
        <v>17046</v>
      </c>
      <c r="J957" t="s">
        <v>17047</v>
      </c>
      <c r="K957" t="s">
        <v>74</v>
      </c>
      <c r="L957" t="s">
        <v>74</v>
      </c>
      <c r="M957" t="s">
        <v>78</v>
      </c>
      <c r="N957" t="s">
        <v>1697</v>
      </c>
      <c r="O957" t="s">
        <v>74</v>
      </c>
      <c r="P957" t="s">
        <v>74</v>
      </c>
      <c r="Q957" t="s">
        <v>74</v>
      </c>
      <c r="R957" t="s">
        <v>74</v>
      </c>
      <c r="S957" t="s">
        <v>74</v>
      </c>
      <c r="T957" t="s">
        <v>74</v>
      </c>
      <c r="U957" t="s">
        <v>74</v>
      </c>
      <c r="V957" t="s">
        <v>74</v>
      </c>
      <c r="W957" t="s">
        <v>17048</v>
      </c>
      <c r="X957" t="s">
        <v>74</v>
      </c>
      <c r="Y957" t="s">
        <v>17049</v>
      </c>
      <c r="Z957" t="s">
        <v>74</v>
      </c>
      <c r="AA957" t="s">
        <v>74</v>
      </c>
      <c r="AB957" t="s">
        <v>74</v>
      </c>
      <c r="AC957" t="s">
        <v>74</v>
      </c>
      <c r="AD957" t="s">
        <v>74</v>
      </c>
      <c r="AE957" t="s">
        <v>74</v>
      </c>
      <c r="AF957" t="s">
        <v>74</v>
      </c>
      <c r="AG957">
        <v>0</v>
      </c>
      <c r="AH957">
        <v>0</v>
      </c>
      <c r="AI957">
        <v>0</v>
      </c>
      <c r="AJ957">
        <v>0</v>
      </c>
      <c r="AK957">
        <v>0</v>
      </c>
      <c r="AL957" t="s">
        <v>184</v>
      </c>
      <c r="AM957" t="s">
        <v>185</v>
      </c>
      <c r="AN957" t="s">
        <v>186</v>
      </c>
      <c r="AO957" t="s">
        <v>17050</v>
      </c>
      <c r="AP957" t="s">
        <v>17051</v>
      </c>
      <c r="AQ957" t="s">
        <v>74</v>
      </c>
      <c r="AR957" t="s">
        <v>17052</v>
      </c>
      <c r="AS957" t="s">
        <v>17053</v>
      </c>
      <c r="AT957" t="s">
        <v>12289</v>
      </c>
      <c r="AU957">
        <v>2023</v>
      </c>
      <c r="AV957">
        <v>130</v>
      </c>
      <c r="AW957">
        <v>6</v>
      </c>
      <c r="AX957" t="s">
        <v>74</v>
      </c>
      <c r="AY957" t="s">
        <v>74</v>
      </c>
      <c r="AZ957" t="s">
        <v>74</v>
      </c>
      <c r="BA957" t="s">
        <v>74</v>
      </c>
      <c r="BB957">
        <v>593</v>
      </c>
      <c r="BC957">
        <v>594</v>
      </c>
      <c r="BD957" t="s">
        <v>74</v>
      </c>
      <c r="BE957" t="s">
        <v>74</v>
      </c>
      <c r="BF957" t="s">
        <v>74</v>
      </c>
      <c r="BG957" t="s">
        <v>74</v>
      </c>
      <c r="BH957" t="s">
        <v>74</v>
      </c>
      <c r="BI957">
        <v>2</v>
      </c>
      <c r="BJ957" t="s">
        <v>5435</v>
      </c>
      <c r="BK957" t="s">
        <v>102</v>
      </c>
      <c r="BL957" t="s">
        <v>5435</v>
      </c>
      <c r="BM957" t="s">
        <v>17054</v>
      </c>
      <c r="BN957" t="s">
        <v>74</v>
      </c>
      <c r="BO957" t="s">
        <v>74</v>
      </c>
      <c r="BP957" t="s">
        <v>74</v>
      </c>
      <c r="BQ957" t="s">
        <v>74</v>
      </c>
      <c r="BR957" t="s">
        <v>105</v>
      </c>
      <c r="BS957" t="s">
        <v>17055</v>
      </c>
      <c r="BT957" t="str">
        <f>HYPERLINK("https%3A%2F%2Fwww.webofscience.com%2Fwos%2Fwoscc%2Ffull-record%2FWOS:000990965400021","View Full Record in Web of Science")</f>
        <v>View Full Record in Web of Science</v>
      </c>
    </row>
    <row r="958" spans="1:72" x14ac:dyDescent="0.15">
      <c r="A958" t="s">
        <v>72</v>
      </c>
      <c r="B958" t="s">
        <v>17056</v>
      </c>
      <c r="C958" t="s">
        <v>74</v>
      </c>
      <c r="D958" t="s">
        <v>74</v>
      </c>
      <c r="E958" t="s">
        <v>74</v>
      </c>
      <c r="F958" t="s">
        <v>17057</v>
      </c>
      <c r="G958" t="s">
        <v>74</v>
      </c>
      <c r="H958" t="s">
        <v>74</v>
      </c>
      <c r="I958" t="s">
        <v>17058</v>
      </c>
      <c r="J958" t="s">
        <v>17059</v>
      </c>
      <c r="K958" t="s">
        <v>74</v>
      </c>
      <c r="L958" t="s">
        <v>74</v>
      </c>
      <c r="M958" t="s">
        <v>78</v>
      </c>
      <c r="N958" t="s">
        <v>79</v>
      </c>
      <c r="O958" t="s">
        <v>74</v>
      </c>
      <c r="P958" t="s">
        <v>74</v>
      </c>
      <c r="Q958" t="s">
        <v>74</v>
      </c>
      <c r="R958" t="s">
        <v>74</v>
      </c>
      <c r="S958" t="s">
        <v>74</v>
      </c>
      <c r="T958" t="s">
        <v>17060</v>
      </c>
      <c r="U958" t="s">
        <v>17061</v>
      </c>
      <c r="V958" t="s">
        <v>17062</v>
      </c>
      <c r="W958" t="s">
        <v>17063</v>
      </c>
      <c r="X958" t="s">
        <v>17064</v>
      </c>
      <c r="Y958" t="s">
        <v>17065</v>
      </c>
      <c r="Z958" t="s">
        <v>74</v>
      </c>
      <c r="AA958" t="s">
        <v>74</v>
      </c>
      <c r="AB958" t="s">
        <v>74</v>
      </c>
      <c r="AC958" t="s">
        <v>74</v>
      </c>
      <c r="AD958" t="s">
        <v>74</v>
      </c>
      <c r="AE958" t="s">
        <v>74</v>
      </c>
      <c r="AF958" t="s">
        <v>74</v>
      </c>
      <c r="AG958">
        <v>45</v>
      </c>
      <c r="AH958">
        <v>0</v>
      </c>
      <c r="AI958">
        <v>0</v>
      </c>
      <c r="AJ958">
        <v>0</v>
      </c>
      <c r="AK958">
        <v>0</v>
      </c>
      <c r="AL958" t="s">
        <v>1188</v>
      </c>
      <c r="AM958" t="s">
        <v>93</v>
      </c>
      <c r="AN958" t="s">
        <v>1189</v>
      </c>
      <c r="AO958" t="s">
        <v>17066</v>
      </c>
      <c r="AP958" t="s">
        <v>17067</v>
      </c>
      <c r="AQ958" t="s">
        <v>74</v>
      </c>
      <c r="AR958" t="s">
        <v>17068</v>
      </c>
      <c r="AS958" t="s">
        <v>17069</v>
      </c>
      <c r="AT958" t="s">
        <v>12289</v>
      </c>
      <c r="AU958">
        <v>2023</v>
      </c>
      <c r="AV958">
        <v>57</v>
      </c>
      <c r="AW958">
        <v>3</v>
      </c>
      <c r="AX958" t="s">
        <v>74</v>
      </c>
      <c r="AY958" t="s">
        <v>74</v>
      </c>
      <c r="AZ958" t="s">
        <v>74</v>
      </c>
      <c r="BA958" t="s">
        <v>74</v>
      </c>
      <c r="BB958">
        <v>974</v>
      </c>
      <c r="BC958">
        <v>993</v>
      </c>
      <c r="BD958" t="s">
        <v>74</v>
      </c>
      <c r="BE958" t="s">
        <v>17070</v>
      </c>
      <c r="BF958" t="str">
        <f>HYPERLINK("http://dx.doi.org/10.1080/00213624.2023.2239687","http://dx.doi.org/10.1080/00213624.2023.2239687")</f>
        <v>http://dx.doi.org/10.1080/00213624.2023.2239687</v>
      </c>
      <c r="BG958" t="s">
        <v>74</v>
      </c>
      <c r="BH958" t="s">
        <v>74</v>
      </c>
      <c r="BI958">
        <v>20</v>
      </c>
      <c r="BJ958" t="s">
        <v>373</v>
      </c>
      <c r="BK958" t="s">
        <v>272</v>
      </c>
      <c r="BL958" t="s">
        <v>295</v>
      </c>
      <c r="BM958" t="s">
        <v>17071</v>
      </c>
      <c r="BN958" t="s">
        <v>74</v>
      </c>
      <c r="BO958" t="s">
        <v>74</v>
      </c>
      <c r="BP958" t="s">
        <v>74</v>
      </c>
      <c r="BQ958" t="s">
        <v>74</v>
      </c>
      <c r="BR958" t="s">
        <v>105</v>
      </c>
      <c r="BS958" t="s">
        <v>17072</v>
      </c>
      <c r="BT958" t="str">
        <f>HYPERLINK("https%3A%2F%2Fwww.webofscience.com%2Fwos%2Fwoscc%2Ffull-record%2FWOS:001060071400016","View Full Record in Web of Science")</f>
        <v>View Full Record in Web of Science</v>
      </c>
    </row>
    <row r="959" spans="1:72" x14ac:dyDescent="0.15">
      <c r="A959" t="s">
        <v>72</v>
      </c>
      <c r="B959" t="s">
        <v>17073</v>
      </c>
      <c r="C959" t="s">
        <v>74</v>
      </c>
      <c r="D959" t="s">
        <v>74</v>
      </c>
      <c r="E959" t="s">
        <v>74</v>
      </c>
      <c r="F959" t="s">
        <v>17074</v>
      </c>
      <c r="G959" t="s">
        <v>74</v>
      </c>
      <c r="H959" t="s">
        <v>74</v>
      </c>
      <c r="I959" t="s">
        <v>17075</v>
      </c>
      <c r="J959" t="s">
        <v>17076</v>
      </c>
      <c r="K959" t="s">
        <v>74</v>
      </c>
      <c r="L959" t="s">
        <v>74</v>
      </c>
      <c r="M959" t="s">
        <v>78</v>
      </c>
      <c r="N959" t="s">
        <v>2650</v>
      </c>
      <c r="O959" t="s">
        <v>74</v>
      </c>
      <c r="P959" t="s">
        <v>74</v>
      </c>
      <c r="Q959" t="s">
        <v>74</v>
      </c>
      <c r="R959" t="s">
        <v>74</v>
      </c>
      <c r="S959" t="s">
        <v>74</v>
      </c>
      <c r="T959" t="s">
        <v>17077</v>
      </c>
      <c r="U959" t="s">
        <v>74</v>
      </c>
      <c r="V959" t="s">
        <v>17078</v>
      </c>
      <c r="W959" t="s">
        <v>17079</v>
      </c>
      <c r="X959" t="s">
        <v>74</v>
      </c>
      <c r="Y959" t="s">
        <v>17080</v>
      </c>
      <c r="Z959" t="s">
        <v>17081</v>
      </c>
      <c r="AA959" t="s">
        <v>74</v>
      </c>
      <c r="AB959" t="s">
        <v>74</v>
      </c>
      <c r="AC959" t="s">
        <v>74</v>
      </c>
      <c r="AD959" t="s">
        <v>74</v>
      </c>
      <c r="AE959" t="s">
        <v>74</v>
      </c>
      <c r="AF959" t="s">
        <v>74</v>
      </c>
      <c r="AG959">
        <v>0</v>
      </c>
      <c r="AH959">
        <v>0</v>
      </c>
      <c r="AI959">
        <v>0</v>
      </c>
      <c r="AJ959">
        <v>0</v>
      </c>
      <c r="AK959">
        <v>0</v>
      </c>
      <c r="AL959" t="s">
        <v>184</v>
      </c>
      <c r="AM959" t="s">
        <v>185</v>
      </c>
      <c r="AN959" t="s">
        <v>186</v>
      </c>
      <c r="AO959" t="s">
        <v>17082</v>
      </c>
      <c r="AP959" t="s">
        <v>17083</v>
      </c>
      <c r="AQ959" t="s">
        <v>74</v>
      </c>
      <c r="AR959" t="s">
        <v>17084</v>
      </c>
      <c r="AS959" t="s">
        <v>17085</v>
      </c>
      <c r="AT959" t="s">
        <v>12289</v>
      </c>
      <c r="AU959">
        <v>2023</v>
      </c>
      <c r="AV959">
        <v>18</v>
      </c>
      <c r="AW959">
        <v>3</v>
      </c>
      <c r="AX959" t="s">
        <v>74</v>
      </c>
      <c r="AY959" t="s">
        <v>74</v>
      </c>
      <c r="AZ959" t="s">
        <v>5344</v>
      </c>
      <c r="BA959" t="s">
        <v>74</v>
      </c>
      <c r="BB959">
        <v>449</v>
      </c>
      <c r="BC959">
        <v>452</v>
      </c>
      <c r="BD959" t="s">
        <v>74</v>
      </c>
      <c r="BE959" t="s">
        <v>17086</v>
      </c>
      <c r="BF959" t="str">
        <f>HYPERLINK("http://dx.doi.org/10.1080/24720038.2023.2205778","http://dx.doi.org/10.1080/24720038.2023.2205778")</f>
        <v>http://dx.doi.org/10.1080/24720038.2023.2205778</v>
      </c>
      <c r="BG959" t="s">
        <v>74</v>
      </c>
      <c r="BH959" t="s">
        <v>74</v>
      </c>
      <c r="BI959">
        <v>4</v>
      </c>
      <c r="BJ959" t="s">
        <v>16508</v>
      </c>
      <c r="BK959" t="s">
        <v>211</v>
      </c>
      <c r="BL959" t="s">
        <v>1691</v>
      </c>
      <c r="BM959" t="s">
        <v>17087</v>
      </c>
      <c r="BN959" t="s">
        <v>74</v>
      </c>
      <c r="BO959" t="s">
        <v>74</v>
      </c>
      <c r="BP959" t="s">
        <v>74</v>
      </c>
      <c r="BQ959" t="s">
        <v>74</v>
      </c>
      <c r="BR959" t="s">
        <v>105</v>
      </c>
      <c r="BS959" t="s">
        <v>17088</v>
      </c>
      <c r="BT959" t="str">
        <f>HYPERLINK("https%3A%2F%2Fwww.webofscience.com%2Fwos%2Fwoscc%2Ffull-record%2FWOS:001023334800017","View Full Record in Web of Science")</f>
        <v>View Full Record in Web of Science</v>
      </c>
    </row>
    <row r="960" spans="1:72" x14ac:dyDescent="0.15">
      <c r="A960" t="s">
        <v>72</v>
      </c>
      <c r="B960" t="s">
        <v>17089</v>
      </c>
      <c r="C960" t="s">
        <v>74</v>
      </c>
      <c r="D960" t="s">
        <v>74</v>
      </c>
      <c r="E960" t="s">
        <v>74</v>
      </c>
      <c r="F960" t="s">
        <v>17090</v>
      </c>
      <c r="G960" t="s">
        <v>74</v>
      </c>
      <c r="H960" t="s">
        <v>74</v>
      </c>
      <c r="I960" t="s">
        <v>17091</v>
      </c>
      <c r="J960" t="s">
        <v>17092</v>
      </c>
      <c r="K960" t="s">
        <v>74</v>
      </c>
      <c r="L960" t="s">
        <v>74</v>
      </c>
      <c r="M960" t="s">
        <v>78</v>
      </c>
      <c r="N960" t="s">
        <v>79</v>
      </c>
      <c r="O960" t="s">
        <v>74</v>
      </c>
      <c r="P960" t="s">
        <v>74</v>
      </c>
      <c r="Q960" t="s">
        <v>74</v>
      </c>
      <c r="R960" t="s">
        <v>74</v>
      </c>
      <c r="S960" t="s">
        <v>74</v>
      </c>
      <c r="T960" t="s">
        <v>17093</v>
      </c>
      <c r="U960" t="s">
        <v>17094</v>
      </c>
      <c r="V960" t="s">
        <v>17095</v>
      </c>
      <c r="W960" t="s">
        <v>17096</v>
      </c>
      <c r="X960" t="s">
        <v>17097</v>
      </c>
      <c r="Y960" t="s">
        <v>17098</v>
      </c>
      <c r="Z960" t="s">
        <v>17099</v>
      </c>
      <c r="AA960" t="s">
        <v>74</v>
      </c>
      <c r="AB960" t="s">
        <v>74</v>
      </c>
      <c r="AC960" t="s">
        <v>17100</v>
      </c>
      <c r="AD960" t="s">
        <v>17100</v>
      </c>
      <c r="AE960" t="s">
        <v>17101</v>
      </c>
      <c r="AF960" t="s">
        <v>74</v>
      </c>
      <c r="AG960">
        <v>83</v>
      </c>
      <c r="AH960">
        <v>0</v>
      </c>
      <c r="AI960">
        <v>0</v>
      </c>
      <c r="AJ960">
        <v>2</v>
      </c>
      <c r="AK960">
        <v>2</v>
      </c>
      <c r="AL960" t="s">
        <v>1188</v>
      </c>
      <c r="AM960" t="s">
        <v>93</v>
      </c>
      <c r="AN960" t="s">
        <v>1189</v>
      </c>
      <c r="AO960" t="s">
        <v>17102</v>
      </c>
      <c r="AP960" t="s">
        <v>17103</v>
      </c>
      <c r="AQ960" t="s">
        <v>74</v>
      </c>
      <c r="AR960" t="s">
        <v>17104</v>
      </c>
      <c r="AS960" t="s">
        <v>17105</v>
      </c>
      <c r="AT960" t="s">
        <v>5467</v>
      </c>
      <c r="AU960">
        <v>2023</v>
      </c>
      <c r="AV960">
        <v>45</v>
      </c>
      <c r="AW960">
        <v>4</v>
      </c>
      <c r="AX960" t="s">
        <v>74</v>
      </c>
      <c r="AY960" t="s">
        <v>74</v>
      </c>
      <c r="AZ960" t="s">
        <v>74</v>
      </c>
      <c r="BA960" t="s">
        <v>74</v>
      </c>
      <c r="BB960">
        <v>366</v>
      </c>
      <c r="BC960">
        <v>393</v>
      </c>
      <c r="BD960" t="s">
        <v>74</v>
      </c>
      <c r="BE960" t="s">
        <v>17106</v>
      </c>
      <c r="BF960" t="str">
        <f>HYPERLINK("http://dx.doi.org/10.1080/07317107.2023.2231430","http://dx.doi.org/10.1080/07317107.2023.2231430")</f>
        <v>http://dx.doi.org/10.1080/07317107.2023.2231430</v>
      </c>
      <c r="BG960" t="s">
        <v>74</v>
      </c>
      <c r="BH960" t="s">
        <v>12687</v>
      </c>
      <c r="BI960">
        <v>28</v>
      </c>
      <c r="BJ960" t="s">
        <v>17107</v>
      </c>
      <c r="BK960" t="s">
        <v>272</v>
      </c>
      <c r="BL960" t="s">
        <v>17108</v>
      </c>
      <c r="BM960" t="s">
        <v>17109</v>
      </c>
      <c r="BN960" t="s">
        <v>74</v>
      </c>
      <c r="BO960" t="s">
        <v>74</v>
      </c>
      <c r="BP960" t="s">
        <v>74</v>
      </c>
      <c r="BQ960" t="s">
        <v>74</v>
      </c>
      <c r="BR960" t="s">
        <v>105</v>
      </c>
      <c r="BS960" t="s">
        <v>17110</v>
      </c>
      <c r="BT960" t="str">
        <f>HYPERLINK("https%3A%2F%2Fwww.webofscience.com%2Fwos%2Fwoscc%2Ffull-record%2FWOS:001022971400001","View Full Record in Web of Science")</f>
        <v>View Full Record in Web of Science</v>
      </c>
    </row>
    <row r="961" spans="1:72" x14ac:dyDescent="0.15">
      <c r="A961" t="s">
        <v>72</v>
      </c>
      <c r="B961" t="s">
        <v>17111</v>
      </c>
      <c r="C961" t="s">
        <v>74</v>
      </c>
      <c r="D961" t="s">
        <v>74</v>
      </c>
      <c r="E961" t="s">
        <v>74</v>
      </c>
      <c r="F961" t="s">
        <v>17112</v>
      </c>
      <c r="G961" t="s">
        <v>74</v>
      </c>
      <c r="H961" t="s">
        <v>74</v>
      </c>
      <c r="I961" t="s">
        <v>17113</v>
      </c>
      <c r="J961" t="s">
        <v>17114</v>
      </c>
      <c r="K961" t="s">
        <v>74</v>
      </c>
      <c r="L961" t="s">
        <v>74</v>
      </c>
      <c r="M961" t="s">
        <v>78</v>
      </c>
      <c r="N961" t="s">
        <v>171</v>
      </c>
      <c r="O961" t="s">
        <v>74</v>
      </c>
      <c r="P961" t="s">
        <v>74</v>
      </c>
      <c r="Q961" t="s">
        <v>74</v>
      </c>
      <c r="R961" t="s">
        <v>74</v>
      </c>
      <c r="S961" t="s">
        <v>74</v>
      </c>
      <c r="T961" t="s">
        <v>17115</v>
      </c>
      <c r="U961" t="s">
        <v>17116</v>
      </c>
      <c r="V961" t="s">
        <v>17117</v>
      </c>
      <c r="W961" t="s">
        <v>17118</v>
      </c>
      <c r="X961" t="s">
        <v>17119</v>
      </c>
      <c r="Y961" t="s">
        <v>17120</v>
      </c>
      <c r="Z961" t="s">
        <v>17121</v>
      </c>
      <c r="AA961" t="s">
        <v>74</v>
      </c>
      <c r="AB961" t="s">
        <v>74</v>
      </c>
      <c r="AC961" t="s">
        <v>17122</v>
      </c>
      <c r="AD961" t="s">
        <v>17122</v>
      </c>
      <c r="AE961" t="s">
        <v>17123</v>
      </c>
      <c r="AF961" t="s">
        <v>74</v>
      </c>
      <c r="AG961">
        <v>27</v>
      </c>
      <c r="AH961">
        <v>2</v>
      </c>
      <c r="AI961">
        <v>2</v>
      </c>
      <c r="AJ961">
        <v>0</v>
      </c>
      <c r="AK961">
        <v>0</v>
      </c>
      <c r="AL961" t="s">
        <v>184</v>
      </c>
      <c r="AM961" t="s">
        <v>185</v>
      </c>
      <c r="AN961" t="s">
        <v>186</v>
      </c>
      <c r="AO961" t="s">
        <v>17124</v>
      </c>
      <c r="AP961" t="s">
        <v>17125</v>
      </c>
      <c r="AQ961" t="s">
        <v>74</v>
      </c>
      <c r="AR961" t="s">
        <v>17126</v>
      </c>
      <c r="AS961" t="s">
        <v>17127</v>
      </c>
      <c r="AT961" t="s">
        <v>12289</v>
      </c>
      <c r="AU961">
        <v>2023</v>
      </c>
      <c r="AV961">
        <v>46</v>
      </c>
      <c r="AW961">
        <v>3</v>
      </c>
      <c r="AX961" t="s">
        <v>74</v>
      </c>
      <c r="AY961" t="s">
        <v>74</v>
      </c>
      <c r="AZ961" t="s">
        <v>5344</v>
      </c>
      <c r="BA961" t="s">
        <v>74</v>
      </c>
      <c r="BB961">
        <v>240</v>
      </c>
      <c r="BC961">
        <v>257</v>
      </c>
      <c r="BD961" t="s">
        <v>74</v>
      </c>
      <c r="BE961" t="s">
        <v>17128</v>
      </c>
      <c r="BF961" t="str">
        <f>HYPERLINK("http://dx.doi.org/10.1080/24694193.2021.1936294","http://dx.doi.org/10.1080/24694193.2021.1936294")</f>
        <v>http://dx.doi.org/10.1080/24694193.2021.1936294</v>
      </c>
      <c r="BG961" t="s">
        <v>74</v>
      </c>
      <c r="BH961" t="s">
        <v>74</v>
      </c>
      <c r="BI961">
        <v>18</v>
      </c>
      <c r="BJ961" t="s">
        <v>17129</v>
      </c>
      <c r="BK961" t="s">
        <v>211</v>
      </c>
      <c r="BL961" t="s">
        <v>17129</v>
      </c>
      <c r="BM961" t="s">
        <v>17130</v>
      </c>
      <c r="BN961">
        <v>34166168</v>
      </c>
      <c r="BO961" t="s">
        <v>74</v>
      </c>
      <c r="BP961" t="s">
        <v>74</v>
      </c>
      <c r="BQ961" t="s">
        <v>74</v>
      </c>
      <c r="BR961" t="s">
        <v>105</v>
      </c>
      <c r="BS961" t="s">
        <v>17131</v>
      </c>
      <c r="BT961" t="str">
        <f>HYPERLINK("https%3A%2F%2Fwww.webofscience.com%2Fwos%2Fwoscc%2Ffull-record%2FWOS:001057429200005","View Full Record in Web of Science")</f>
        <v>View Full Record in Web of Science</v>
      </c>
    </row>
    <row r="962" spans="1:72" x14ac:dyDescent="0.15">
      <c r="A962" t="s">
        <v>72</v>
      </c>
      <c r="B962" t="s">
        <v>17132</v>
      </c>
      <c r="C962" t="s">
        <v>74</v>
      </c>
      <c r="D962" t="s">
        <v>74</v>
      </c>
      <c r="E962" t="s">
        <v>74</v>
      </c>
      <c r="F962" t="s">
        <v>17133</v>
      </c>
      <c r="G962" t="s">
        <v>74</v>
      </c>
      <c r="H962" t="s">
        <v>74</v>
      </c>
      <c r="I962" t="s">
        <v>17134</v>
      </c>
      <c r="J962" t="s">
        <v>17135</v>
      </c>
      <c r="K962" t="s">
        <v>74</v>
      </c>
      <c r="L962" t="s">
        <v>74</v>
      </c>
      <c r="M962" t="s">
        <v>78</v>
      </c>
      <c r="N962" t="s">
        <v>79</v>
      </c>
      <c r="O962" t="s">
        <v>74</v>
      </c>
      <c r="P962" t="s">
        <v>74</v>
      </c>
      <c r="Q962" t="s">
        <v>74</v>
      </c>
      <c r="R962" t="s">
        <v>74</v>
      </c>
      <c r="S962" t="s">
        <v>74</v>
      </c>
      <c r="T962" t="s">
        <v>17136</v>
      </c>
      <c r="U962" t="s">
        <v>74</v>
      </c>
      <c r="V962" t="s">
        <v>17137</v>
      </c>
      <c r="W962" t="s">
        <v>17138</v>
      </c>
      <c r="X962" t="s">
        <v>17139</v>
      </c>
      <c r="Y962" t="s">
        <v>17140</v>
      </c>
      <c r="Z962" t="s">
        <v>17141</v>
      </c>
      <c r="AA962" t="s">
        <v>74</v>
      </c>
      <c r="AB962" t="s">
        <v>74</v>
      </c>
      <c r="AC962" t="s">
        <v>74</v>
      </c>
      <c r="AD962" t="s">
        <v>74</v>
      </c>
      <c r="AE962" t="s">
        <v>74</v>
      </c>
      <c r="AF962" t="s">
        <v>74</v>
      </c>
      <c r="AG962">
        <v>70</v>
      </c>
      <c r="AH962">
        <v>0</v>
      </c>
      <c r="AI962">
        <v>0</v>
      </c>
      <c r="AJ962">
        <v>0</v>
      </c>
      <c r="AK962">
        <v>0</v>
      </c>
      <c r="AL962" t="s">
        <v>1188</v>
      </c>
      <c r="AM962" t="s">
        <v>93</v>
      </c>
      <c r="AN962" t="s">
        <v>1189</v>
      </c>
      <c r="AO962" t="s">
        <v>17142</v>
      </c>
      <c r="AP962" t="s">
        <v>17143</v>
      </c>
      <c r="AQ962" t="s">
        <v>74</v>
      </c>
      <c r="AR962" t="s">
        <v>17144</v>
      </c>
      <c r="AS962" t="s">
        <v>17145</v>
      </c>
      <c r="AT962" t="s">
        <v>12289</v>
      </c>
      <c r="AU962">
        <v>2023</v>
      </c>
      <c r="AV962">
        <v>98</v>
      </c>
      <c r="AW962">
        <v>3</v>
      </c>
      <c r="AX962" t="s">
        <v>74</v>
      </c>
      <c r="AY962" t="s">
        <v>74</v>
      </c>
      <c r="AZ962" t="s">
        <v>74</v>
      </c>
      <c r="BA962" t="s">
        <v>74</v>
      </c>
      <c r="BB962">
        <v>301</v>
      </c>
      <c r="BC962">
        <v>314</v>
      </c>
      <c r="BD962" t="s">
        <v>74</v>
      </c>
      <c r="BE962" t="s">
        <v>17146</v>
      </c>
      <c r="BF962" t="str">
        <f>HYPERLINK("http://dx.doi.org/10.1080/00168890.2023.2232513","http://dx.doi.org/10.1080/00168890.2023.2232513")</f>
        <v>http://dx.doi.org/10.1080/00168890.2023.2232513</v>
      </c>
      <c r="BG962" t="s">
        <v>74</v>
      </c>
      <c r="BH962" t="s">
        <v>74</v>
      </c>
      <c r="BI962">
        <v>14</v>
      </c>
      <c r="BJ962" t="s">
        <v>17147</v>
      </c>
      <c r="BK962" t="s">
        <v>6264</v>
      </c>
      <c r="BL962" t="s">
        <v>6283</v>
      </c>
      <c r="BM962" t="s">
        <v>17148</v>
      </c>
      <c r="BN962" t="s">
        <v>74</v>
      </c>
      <c r="BO962" t="s">
        <v>74</v>
      </c>
      <c r="BP962" t="s">
        <v>74</v>
      </c>
      <c r="BQ962" t="s">
        <v>74</v>
      </c>
      <c r="BR962" t="s">
        <v>105</v>
      </c>
      <c r="BS962" t="s">
        <v>17149</v>
      </c>
      <c r="BT962" t="str">
        <f>HYPERLINK("https%3A%2F%2Fwww.webofscience.com%2Fwos%2Fwoscc%2Ffull-record%2FWOS:001061787000004","View Full Record in Web of Science")</f>
        <v>View Full Record in Web of Science</v>
      </c>
    </row>
    <row r="963" spans="1:72" x14ac:dyDescent="0.15">
      <c r="A963" t="s">
        <v>72</v>
      </c>
      <c r="B963" t="s">
        <v>17150</v>
      </c>
      <c r="C963" t="s">
        <v>74</v>
      </c>
      <c r="D963" t="s">
        <v>74</v>
      </c>
      <c r="E963" t="s">
        <v>74</v>
      </c>
      <c r="F963" t="s">
        <v>17151</v>
      </c>
      <c r="G963" t="s">
        <v>74</v>
      </c>
      <c r="H963" t="s">
        <v>74</v>
      </c>
      <c r="I963" t="s">
        <v>17152</v>
      </c>
      <c r="J963" t="s">
        <v>17153</v>
      </c>
      <c r="K963" t="s">
        <v>74</v>
      </c>
      <c r="L963" t="s">
        <v>74</v>
      </c>
      <c r="M963" t="s">
        <v>78</v>
      </c>
      <c r="N963" t="s">
        <v>79</v>
      </c>
      <c r="O963" t="s">
        <v>74</v>
      </c>
      <c r="P963" t="s">
        <v>74</v>
      </c>
      <c r="Q963" t="s">
        <v>74</v>
      </c>
      <c r="R963" t="s">
        <v>74</v>
      </c>
      <c r="S963" t="s">
        <v>74</v>
      </c>
      <c r="T963" t="s">
        <v>17154</v>
      </c>
      <c r="U963" t="s">
        <v>17155</v>
      </c>
      <c r="V963" t="s">
        <v>17156</v>
      </c>
      <c r="W963" t="s">
        <v>17157</v>
      </c>
      <c r="X963" t="s">
        <v>8942</v>
      </c>
      <c r="Y963" t="s">
        <v>17158</v>
      </c>
      <c r="Z963" t="s">
        <v>17159</v>
      </c>
      <c r="AA963" t="s">
        <v>74</v>
      </c>
      <c r="AB963" t="s">
        <v>74</v>
      </c>
      <c r="AC963" t="s">
        <v>17160</v>
      </c>
      <c r="AD963" t="s">
        <v>17161</v>
      </c>
      <c r="AE963" t="s">
        <v>17162</v>
      </c>
      <c r="AF963" t="s">
        <v>74</v>
      </c>
      <c r="AG963">
        <v>38</v>
      </c>
      <c r="AH963">
        <v>10</v>
      </c>
      <c r="AI963">
        <v>10</v>
      </c>
      <c r="AJ963">
        <v>0</v>
      </c>
      <c r="AK963">
        <v>7</v>
      </c>
      <c r="AL963" t="s">
        <v>92</v>
      </c>
      <c r="AM963" t="s">
        <v>93</v>
      </c>
      <c r="AN963" t="s">
        <v>94</v>
      </c>
      <c r="AO963" t="s">
        <v>17163</v>
      </c>
      <c r="AP963" t="s">
        <v>17164</v>
      </c>
      <c r="AQ963" t="s">
        <v>74</v>
      </c>
      <c r="AR963" t="s">
        <v>17165</v>
      </c>
      <c r="AS963" t="s">
        <v>17166</v>
      </c>
      <c r="AT963" t="s">
        <v>12289</v>
      </c>
      <c r="AU963">
        <v>2023</v>
      </c>
      <c r="AV963">
        <v>133</v>
      </c>
      <c r="AW963">
        <v>7</v>
      </c>
      <c r="AX963" t="s">
        <v>74</v>
      </c>
      <c r="AY963" t="s">
        <v>74</v>
      </c>
      <c r="AZ963" t="s">
        <v>74</v>
      </c>
      <c r="BA963" t="s">
        <v>74</v>
      </c>
      <c r="BB963">
        <v>740</v>
      </c>
      <c r="BC963">
        <v>753</v>
      </c>
      <c r="BD963" t="s">
        <v>74</v>
      </c>
      <c r="BE963" t="s">
        <v>17167</v>
      </c>
      <c r="BF963" t="str">
        <f>HYPERLINK("http://dx.doi.org/10.1080/00207454.2021.1972999","http://dx.doi.org/10.1080/00207454.2021.1972999")</f>
        <v>http://dx.doi.org/10.1080/00207454.2021.1972999</v>
      </c>
      <c r="BG963" t="s">
        <v>74</v>
      </c>
      <c r="BH963" t="s">
        <v>74</v>
      </c>
      <c r="BI963">
        <v>14</v>
      </c>
      <c r="BJ963" t="s">
        <v>17168</v>
      </c>
      <c r="BK963" t="s">
        <v>102</v>
      </c>
      <c r="BL963" t="s">
        <v>2797</v>
      </c>
      <c r="BM963" t="s">
        <v>17169</v>
      </c>
      <c r="BN963">
        <v>34461809</v>
      </c>
      <c r="BO963" t="s">
        <v>74</v>
      </c>
      <c r="BP963" t="s">
        <v>74</v>
      </c>
      <c r="BQ963" t="s">
        <v>74</v>
      </c>
      <c r="BR963" t="s">
        <v>105</v>
      </c>
      <c r="BS963" t="s">
        <v>17170</v>
      </c>
      <c r="BT963" t="str">
        <f>HYPERLINK("https%3A%2F%2Fwww.webofscience.com%2Fwos%2Fwoscc%2Ffull-record%2FWOS:001018541900006","View Full Record in Web of Science")</f>
        <v>View Full Record in Web of Science</v>
      </c>
    </row>
    <row r="964" spans="1:72" x14ac:dyDescent="0.15">
      <c r="A964" t="s">
        <v>72</v>
      </c>
      <c r="B964" t="s">
        <v>17171</v>
      </c>
      <c r="C964" t="s">
        <v>74</v>
      </c>
      <c r="D964" t="s">
        <v>74</v>
      </c>
      <c r="E964" t="s">
        <v>74</v>
      </c>
      <c r="F964" t="s">
        <v>17172</v>
      </c>
      <c r="G964" t="s">
        <v>74</v>
      </c>
      <c r="H964" t="s">
        <v>74</v>
      </c>
      <c r="I964" t="s">
        <v>17173</v>
      </c>
      <c r="J964" t="s">
        <v>17174</v>
      </c>
      <c r="K964" t="s">
        <v>74</v>
      </c>
      <c r="L964" t="s">
        <v>74</v>
      </c>
      <c r="M964" t="s">
        <v>78</v>
      </c>
      <c r="N964" t="s">
        <v>79</v>
      </c>
      <c r="O964" t="s">
        <v>74</v>
      </c>
      <c r="P964" t="s">
        <v>74</v>
      </c>
      <c r="Q964" t="s">
        <v>74</v>
      </c>
      <c r="R964" t="s">
        <v>74</v>
      </c>
      <c r="S964" t="s">
        <v>74</v>
      </c>
      <c r="T964" t="s">
        <v>17175</v>
      </c>
      <c r="U964" t="s">
        <v>17176</v>
      </c>
      <c r="V964" t="s">
        <v>17177</v>
      </c>
      <c r="W964" t="s">
        <v>17178</v>
      </c>
      <c r="X964" t="s">
        <v>17179</v>
      </c>
      <c r="Y964" t="s">
        <v>17180</v>
      </c>
      <c r="Z964" t="s">
        <v>17181</v>
      </c>
      <c r="AA964" t="s">
        <v>74</v>
      </c>
      <c r="AB964" t="s">
        <v>74</v>
      </c>
      <c r="AC964" t="s">
        <v>74</v>
      </c>
      <c r="AD964" t="s">
        <v>74</v>
      </c>
      <c r="AE964" t="s">
        <v>74</v>
      </c>
      <c r="AF964" t="s">
        <v>74</v>
      </c>
      <c r="AG964">
        <v>51</v>
      </c>
      <c r="AH964">
        <v>3</v>
      </c>
      <c r="AI964">
        <v>3</v>
      </c>
      <c r="AJ964">
        <v>0</v>
      </c>
      <c r="AK964">
        <v>0</v>
      </c>
      <c r="AL964" t="s">
        <v>92</v>
      </c>
      <c r="AM964" t="s">
        <v>93</v>
      </c>
      <c r="AN964" t="s">
        <v>94</v>
      </c>
      <c r="AO964" t="s">
        <v>17182</v>
      </c>
      <c r="AP964" t="s">
        <v>17183</v>
      </c>
      <c r="AQ964" t="s">
        <v>74</v>
      </c>
      <c r="AR964" t="s">
        <v>17184</v>
      </c>
      <c r="AS964" t="s">
        <v>17185</v>
      </c>
      <c r="AT964" t="s">
        <v>12289</v>
      </c>
      <c r="AU964">
        <v>2023</v>
      </c>
      <c r="AV964">
        <v>8</v>
      </c>
      <c r="AW964">
        <v>3</v>
      </c>
      <c r="AX964" t="s">
        <v>74</v>
      </c>
      <c r="AY964" t="s">
        <v>74</v>
      </c>
      <c r="AZ964" t="s">
        <v>5344</v>
      </c>
      <c r="BA964" t="s">
        <v>74</v>
      </c>
      <c r="BB964">
        <v>557</v>
      </c>
      <c r="BC964">
        <v>572</v>
      </c>
      <c r="BD964" t="s">
        <v>74</v>
      </c>
      <c r="BE964" t="s">
        <v>17186</v>
      </c>
      <c r="BF964" t="str">
        <f>HYPERLINK("http://dx.doi.org/10.1080/24704067.2021.1871803","http://dx.doi.org/10.1080/24704067.2021.1871803")</f>
        <v>http://dx.doi.org/10.1080/24704067.2021.1871803</v>
      </c>
      <c r="BG964" t="s">
        <v>74</v>
      </c>
      <c r="BH964" t="s">
        <v>74</v>
      </c>
      <c r="BI964">
        <v>16</v>
      </c>
      <c r="BJ964" t="s">
        <v>17187</v>
      </c>
      <c r="BK964" t="s">
        <v>211</v>
      </c>
      <c r="BL964" t="s">
        <v>17188</v>
      </c>
      <c r="BM964" t="s">
        <v>17189</v>
      </c>
      <c r="BN964" t="s">
        <v>74</v>
      </c>
      <c r="BO964" t="s">
        <v>17190</v>
      </c>
      <c r="BP964" t="s">
        <v>74</v>
      </c>
      <c r="BQ964" t="s">
        <v>74</v>
      </c>
      <c r="BR964" t="s">
        <v>105</v>
      </c>
      <c r="BS964" t="s">
        <v>17191</v>
      </c>
      <c r="BT964" t="str">
        <f>HYPERLINK("https%3A%2F%2Fwww.webofscience.com%2Fwos%2Fwoscc%2Ffull-record%2FWOS:001050268900002","View Full Record in Web of Science")</f>
        <v>View Full Record in Web of Science</v>
      </c>
    </row>
    <row r="965" spans="1:72" x14ac:dyDescent="0.15">
      <c r="A965" t="s">
        <v>72</v>
      </c>
      <c r="B965" t="s">
        <v>17192</v>
      </c>
      <c r="C965" t="s">
        <v>74</v>
      </c>
      <c r="D965" t="s">
        <v>74</v>
      </c>
      <c r="E965" t="s">
        <v>74</v>
      </c>
      <c r="F965" t="s">
        <v>17193</v>
      </c>
      <c r="G965" t="s">
        <v>74</v>
      </c>
      <c r="H965" t="s">
        <v>74</v>
      </c>
      <c r="I965" t="s">
        <v>17194</v>
      </c>
      <c r="J965" t="s">
        <v>17195</v>
      </c>
      <c r="K965" t="s">
        <v>74</v>
      </c>
      <c r="L965" t="s">
        <v>74</v>
      </c>
      <c r="M965" t="s">
        <v>78</v>
      </c>
      <c r="N965" t="s">
        <v>79</v>
      </c>
      <c r="O965" t="s">
        <v>74</v>
      </c>
      <c r="P965" t="s">
        <v>74</v>
      </c>
      <c r="Q965" t="s">
        <v>74</v>
      </c>
      <c r="R965" t="s">
        <v>74</v>
      </c>
      <c r="S965" t="s">
        <v>74</v>
      </c>
      <c r="T965" t="s">
        <v>17196</v>
      </c>
      <c r="U965" t="s">
        <v>74</v>
      </c>
      <c r="V965" t="s">
        <v>17197</v>
      </c>
      <c r="W965" t="s">
        <v>17198</v>
      </c>
      <c r="X965" t="s">
        <v>74</v>
      </c>
      <c r="Y965" t="s">
        <v>17199</v>
      </c>
      <c r="Z965" t="s">
        <v>17200</v>
      </c>
      <c r="AA965" t="s">
        <v>17201</v>
      </c>
      <c r="AB965" t="s">
        <v>74</v>
      </c>
      <c r="AC965" t="s">
        <v>74</v>
      </c>
      <c r="AD965" t="s">
        <v>74</v>
      </c>
      <c r="AE965" t="s">
        <v>74</v>
      </c>
      <c r="AF965" t="s">
        <v>74</v>
      </c>
      <c r="AG965">
        <v>18</v>
      </c>
      <c r="AH965">
        <v>0</v>
      </c>
      <c r="AI965">
        <v>0</v>
      </c>
      <c r="AJ965">
        <v>1</v>
      </c>
      <c r="AK965">
        <v>1</v>
      </c>
      <c r="AL965" t="s">
        <v>1188</v>
      </c>
      <c r="AM965" t="s">
        <v>93</v>
      </c>
      <c r="AN965" t="s">
        <v>1189</v>
      </c>
      <c r="AO965" t="s">
        <v>17202</v>
      </c>
      <c r="AP965" t="s">
        <v>17203</v>
      </c>
      <c r="AQ965" t="s">
        <v>74</v>
      </c>
      <c r="AR965" t="s">
        <v>17204</v>
      </c>
      <c r="AS965" t="s">
        <v>17205</v>
      </c>
      <c r="AT965" t="s">
        <v>12289</v>
      </c>
      <c r="AU965">
        <v>2023</v>
      </c>
      <c r="AV965">
        <v>30</v>
      </c>
      <c r="AW965">
        <v>3</v>
      </c>
      <c r="AX965" t="s">
        <v>74</v>
      </c>
      <c r="AY965" t="s">
        <v>74</v>
      </c>
      <c r="AZ965" t="s">
        <v>5344</v>
      </c>
      <c r="BA965" t="s">
        <v>74</v>
      </c>
      <c r="BB965">
        <v>223</v>
      </c>
      <c r="BC965">
        <v>236</v>
      </c>
      <c r="BD965" t="s">
        <v>74</v>
      </c>
      <c r="BE965" t="s">
        <v>17206</v>
      </c>
      <c r="BF965" t="str">
        <f>HYPERLINK("http://dx.doi.org/10.1080/1358684X.2023.2202304","http://dx.doi.org/10.1080/1358684X.2023.2202304")</f>
        <v>http://dx.doi.org/10.1080/1358684X.2023.2202304</v>
      </c>
      <c r="BG965" t="s">
        <v>74</v>
      </c>
      <c r="BH965" t="s">
        <v>74</v>
      </c>
      <c r="BI965">
        <v>14</v>
      </c>
      <c r="BJ965" t="s">
        <v>271</v>
      </c>
      <c r="BK965" t="s">
        <v>211</v>
      </c>
      <c r="BL965" t="s">
        <v>271</v>
      </c>
      <c r="BM965" t="s">
        <v>17207</v>
      </c>
      <c r="BN965" t="s">
        <v>74</v>
      </c>
      <c r="BO965" t="s">
        <v>74</v>
      </c>
      <c r="BP965" t="s">
        <v>74</v>
      </c>
      <c r="BQ965" t="s">
        <v>74</v>
      </c>
      <c r="BR965" t="s">
        <v>105</v>
      </c>
      <c r="BS965" t="s">
        <v>17208</v>
      </c>
      <c r="BT965" t="str">
        <f>HYPERLINK("https%3A%2F%2Fwww.webofscience.com%2Fwos%2Fwoscc%2Ffull-record%2FWOS:001023523700005","View Full Record in Web of Science")</f>
        <v>View Full Record in Web of Science</v>
      </c>
    </row>
    <row r="966" spans="1:72" x14ac:dyDescent="0.15">
      <c r="A966" t="s">
        <v>72</v>
      </c>
      <c r="B966" t="s">
        <v>17209</v>
      </c>
      <c r="C966" t="s">
        <v>74</v>
      </c>
      <c r="D966" t="s">
        <v>74</v>
      </c>
      <c r="E966" t="s">
        <v>74</v>
      </c>
      <c r="F966" t="s">
        <v>17210</v>
      </c>
      <c r="G966" t="s">
        <v>74</v>
      </c>
      <c r="H966" t="s">
        <v>74</v>
      </c>
      <c r="I966" t="s">
        <v>17211</v>
      </c>
      <c r="J966" t="s">
        <v>17212</v>
      </c>
      <c r="K966" t="s">
        <v>74</v>
      </c>
      <c r="L966" t="s">
        <v>74</v>
      </c>
      <c r="M966" t="s">
        <v>78</v>
      </c>
      <c r="N966" t="s">
        <v>2650</v>
      </c>
      <c r="O966" t="s">
        <v>74</v>
      </c>
      <c r="P966" t="s">
        <v>74</v>
      </c>
      <c r="Q966" t="s">
        <v>74</v>
      </c>
      <c r="R966" t="s">
        <v>74</v>
      </c>
      <c r="S966" t="s">
        <v>74</v>
      </c>
      <c r="T966" t="s">
        <v>17213</v>
      </c>
      <c r="U966" t="s">
        <v>74</v>
      </c>
      <c r="V966" t="s">
        <v>74</v>
      </c>
      <c r="W966" t="s">
        <v>17214</v>
      </c>
      <c r="X966" t="s">
        <v>74</v>
      </c>
      <c r="Y966" t="s">
        <v>17215</v>
      </c>
      <c r="Z966" t="s">
        <v>17216</v>
      </c>
      <c r="AA966" t="s">
        <v>74</v>
      </c>
      <c r="AB966" t="s">
        <v>74</v>
      </c>
      <c r="AC966" t="s">
        <v>74</v>
      </c>
      <c r="AD966" t="s">
        <v>74</v>
      </c>
      <c r="AE966" t="s">
        <v>74</v>
      </c>
      <c r="AF966" t="s">
        <v>74</v>
      </c>
      <c r="AG966">
        <v>28</v>
      </c>
      <c r="AH966">
        <v>0</v>
      </c>
      <c r="AI966">
        <v>0</v>
      </c>
      <c r="AJ966">
        <v>0</v>
      </c>
      <c r="AK966">
        <v>0</v>
      </c>
      <c r="AL966" t="s">
        <v>184</v>
      </c>
      <c r="AM966" t="s">
        <v>185</v>
      </c>
      <c r="AN966" t="s">
        <v>186</v>
      </c>
      <c r="AO966" t="s">
        <v>17217</v>
      </c>
      <c r="AP966" t="s">
        <v>17218</v>
      </c>
      <c r="AQ966" t="s">
        <v>74</v>
      </c>
      <c r="AR966" t="s">
        <v>17212</v>
      </c>
      <c r="AS966" t="s">
        <v>17219</v>
      </c>
      <c r="AT966" t="s">
        <v>12289</v>
      </c>
      <c r="AU966">
        <v>2023</v>
      </c>
      <c r="AV966">
        <v>38</v>
      </c>
      <c r="AW966" t="s">
        <v>11764</v>
      </c>
      <c r="AX966" t="s">
        <v>74</v>
      </c>
      <c r="AY966" t="s">
        <v>74</v>
      </c>
      <c r="AZ966" t="s">
        <v>5344</v>
      </c>
      <c r="BA966" t="s">
        <v>74</v>
      </c>
      <c r="BB966">
        <v>11</v>
      </c>
      <c r="BC966">
        <v>21</v>
      </c>
      <c r="BD966" t="s">
        <v>74</v>
      </c>
      <c r="BE966" t="s">
        <v>17220</v>
      </c>
      <c r="BF966" t="str">
        <f>HYPERLINK("http://dx.doi.org/10.1080/0458063X.2023.2224718","http://dx.doi.org/10.1080/0458063X.2023.2224718")</f>
        <v>http://dx.doi.org/10.1080/0458063X.2023.2224718</v>
      </c>
      <c r="BG966" t="s">
        <v>74</v>
      </c>
      <c r="BH966" t="s">
        <v>74</v>
      </c>
      <c r="BI966">
        <v>11</v>
      </c>
      <c r="BJ966" t="s">
        <v>14320</v>
      </c>
      <c r="BK966" t="s">
        <v>211</v>
      </c>
      <c r="BL966" t="s">
        <v>14320</v>
      </c>
      <c r="BM966" t="s">
        <v>17221</v>
      </c>
      <c r="BN966" t="s">
        <v>74</v>
      </c>
      <c r="BO966" t="s">
        <v>74</v>
      </c>
      <c r="BP966" t="s">
        <v>74</v>
      </c>
      <c r="BQ966" t="s">
        <v>74</v>
      </c>
      <c r="BR966" t="s">
        <v>105</v>
      </c>
      <c r="BS966" t="s">
        <v>17222</v>
      </c>
      <c r="BT966" t="str">
        <f>HYPERLINK("https%3A%2F%2Fwww.webofscience.com%2Fwos%2Fwoscc%2Ffull-record%2FWOS:001063984300003","View Full Record in Web of Science")</f>
        <v>View Full Record in Web of Science</v>
      </c>
    </row>
    <row r="967" spans="1:72" x14ac:dyDescent="0.15">
      <c r="A967" t="s">
        <v>72</v>
      </c>
      <c r="B967" t="s">
        <v>17223</v>
      </c>
      <c r="C967" t="s">
        <v>74</v>
      </c>
      <c r="D967" t="s">
        <v>74</v>
      </c>
      <c r="E967" t="s">
        <v>74</v>
      </c>
      <c r="F967" t="s">
        <v>17224</v>
      </c>
      <c r="G967" t="s">
        <v>74</v>
      </c>
      <c r="H967" t="s">
        <v>74</v>
      </c>
      <c r="I967" t="s">
        <v>17225</v>
      </c>
      <c r="J967" t="s">
        <v>17226</v>
      </c>
      <c r="K967" t="s">
        <v>74</v>
      </c>
      <c r="L967" t="s">
        <v>74</v>
      </c>
      <c r="M967" t="s">
        <v>78</v>
      </c>
      <c r="N967" t="s">
        <v>2650</v>
      </c>
      <c r="O967" t="s">
        <v>74</v>
      </c>
      <c r="P967" t="s">
        <v>74</v>
      </c>
      <c r="Q967" t="s">
        <v>74</v>
      </c>
      <c r="R967" t="s">
        <v>74</v>
      </c>
      <c r="S967" t="s">
        <v>74</v>
      </c>
      <c r="T967" t="s">
        <v>74</v>
      </c>
      <c r="U967" t="s">
        <v>74</v>
      </c>
      <c r="V967" t="s">
        <v>74</v>
      </c>
      <c r="W967" t="s">
        <v>17227</v>
      </c>
      <c r="X967" t="s">
        <v>17228</v>
      </c>
      <c r="Y967" t="s">
        <v>17229</v>
      </c>
      <c r="Z967" t="s">
        <v>17230</v>
      </c>
      <c r="AA967" t="s">
        <v>74</v>
      </c>
      <c r="AB967" t="s">
        <v>74</v>
      </c>
      <c r="AC967" t="s">
        <v>74</v>
      </c>
      <c r="AD967" t="s">
        <v>74</v>
      </c>
      <c r="AE967" t="s">
        <v>74</v>
      </c>
      <c r="AF967" t="s">
        <v>74</v>
      </c>
      <c r="AG967">
        <v>0</v>
      </c>
      <c r="AH967">
        <v>0</v>
      </c>
      <c r="AI967">
        <v>0</v>
      </c>
      <c r="AJ967">
        <v>0</v>
      </c>
      <c r="AK967">
        <v>0</v>
      </c>
      <c r="AL967" t="s">
        <v>1188</v>
      </c>
      <c r="AM967" t="s">
        <v>93</v>
      </c>
      <c r="AN967" t="s">
        <v>1189</v>
      </c>
      <c r="AO967" t="s">
        <v>17231</v>
      </c>
      <c r="AP967" t="s">
        <v>17232</v>
      </c>
      <c r="AQ967" t="s">
        <v>74</v>
      </c>
      <c r="AR967" t="s">
        <v>17233</v>
      </c>
      <c r="AS967" t="s">
        <v>17234</v>
      </c>
      <c r="AT967" t="s">
        <v>12289</v>
      </c>
      <c r="AU967">
        <v>2023</v>
      </c>
      <c r="AV967">
        <v>19</v>
      </c>
      <c r="AW967">
        <v>3</v>
      </c>
      <c r="AX967" t="s">
        <v>74</v>
      </c>
      <c r="AY967" t="s">
        <v>74</v>
      </c>
      <c r="AZ967" t="s">
        <v>74</v>
      </c>
      <c r="BA967" t="s">
        <v>74</v>
      </c>
      <c r="BB967">
        <v>179</v>
      </c>
      <c r="BC967">
        <v>181</v>
      </c>
      <c r="BD967" t="s">
        <v>74</v>
      </c>
      <c r="BE967" t="s">
        <v>17235</v>
      </c>
      <c r="BF967" t="str">
        <f>HYPERLINK("http://dx.doi.org/10.1080/15524256.2023.2231160","http://dx.doi.org/10.1080/15524256.2023.2231160")</f>
        <v>http://dx.doi.org/10.1080/15524256.2023.2231160</v>
      </c>
      <c r="BG967" t="s">
        <v>74</v>
      </c>
      <c r="BH967" t="s">
        <v>12687</v>
      </c>
      <c r="BI967">
        <v>3</v>
      </c>
      <c r="BJ967" t="s">
        <v>5869</v>
      </c>
      <c r="BK967" t="s">
        <v>211</v>
      </c>
      <c r="BL967" t="s">
        <v>5869</v>
      </c>
      <c r="BM967" t="s">
        <v>17236</v>
      </c>
      <c r="BN967">
        <v>37402209</v>
      </c>
      <c r="BO967" t="s">
        <v>74</v>
      </c>
      <c r="BP967" t="s">
        <v>74</v>
      </c>
      <c r="BQ967" t="s">
        <v>74</v>
      </c>
      <c r="BR967" t="s">
        <v>105</v>
      </c>
      <c r="BS967" t="s">
        <v>17237</v>
      </c>
      <c r="BT967" t="str">
        <f>HYPERLINK("https%3A%2F%2Fwww.webofscience.com%2Fwos%2Fwoscc%2Ffull-record%2FWOS:001024543300001","View Full Record in Web of Science")</f>
        <v>View Full Record in Web of Science</v>
      </c>
    </row>
    <row r="968" spans="1:72" x14ac:dyDescent="0.15">
      <c r="A968" t="s">
        <v>72</v>
      </c>
      <c r="B968" t="s">
        <v>17238</v>
      </c>
      <c r="C968" t="s">
        <v>74</v>
      </c>
      <c r="D968" t="s">
        <v>74</v>
      </c>
      <c r="E968" t="s">
        <v>74</v>
      </c>
      <c r="F968" t="s">
        <v>17239</v>
      </c>
      <c r="G968" t="s">
        <v>74</v>
      </c>
      <c r="H968" t="s">
        <v>74</v>
      </c>
      <c r="I968" t="s">
        <v>17240</v>
      </c>
      <c r="J968" t="s">
        <v>17241</v>
      </c>
      <c r="K968" t="s">
        <v>74</v>
      </c>
      <c r="L968" t="s">
        <v>74</v>
      </c>
      <c r="M968" t="s">
        <v>78</v>
      </c>
      <c r="N968" t="s">
        <v>5492</v>
      </c>
      <c r="O968" t="s">
        <v>74</v>
      </c>
      <c r="P968" t="s">
        <v>74</v>
      </c>
      <c r="Q968" t="s">
        <v>74</v>
      </c>
      <c r="R968" t="s">
        <v>74</v>
      </c>
      <c r="S968" t="s">
        <v>74</v>
      </c>
      <c r="T968" t="s">
        <v>17242</v>
      </c>
      <c r="U968" t="s">
        <v>17243</v>
      </c>
      <c r="V968" t="s">
        <v>17244</v>
      </c>
      <c r="W968" t="s">
        <v>17245</v>
      </c>
      <c r="X968" t="s">
        <v>17246</v>
      </c>
      <c r="Y968" t="s">
        <v>17247</v>
      </c>
      <c r="Z968" t="s">
        <v>17248</v>
      </c>
      <c r="AA968" t="s">
        <v>17249</v>
      </c>
      <c r="AB968" t="s">
        <v>17250</v>
      </c>
      <c r="AC968" t="s">
        <v>74</v>
      </c>
      <c r="AD968" t="s">
        <v>74</v>
      </c>
      <c r="AE968" t="s">
        <v>74</v>
      </c>
      <c r="AF968" t="s">
        <v>74</v>
      </c>
      <c r="AG968">
        <v>56</v>
      </c>
      <c r="AH968">
        <v>0</v>
      </c>
      <c r="AI968">
        <v>0</v>
      </c>
      <c r="AJ968">
        <v>3</v>
      </c>
      <c r="AK968">
        <v>3</v>
      </c>
      <c r="AL968" t="s">
        <v>1188</v>
      </c>
      <c r="AM968" t="s">
        <v>93</v>
      </c>
      <c r="AN968" t="s">
        <v>1189</v>
      </c>
      <c r="AO968" t="s">
        <v>17251</v>
      </c>
      <c r="AP968" t="s">
        <v>17252</v>
      </c>
      <c r="AQ968" t="s">
        <v>74</v>
      </c>
      <c r="AR968" t="s">
        <v>17253</v>
      </c>
      <c r="AS968" t="s">
        <v>17254</v>
      </c>
      <c r="AT968" t="s">
        <v>17255</v>
      </c>
      <c r="AU968">
        <v>2023</v>
      </c>
      <c r="AV968" t="s">
        <v>74</v>
      </c>
      <c r="AW968" t="s">
        <v>74</v>
      </c>
      <c r="AX968" t="s">
        <v>74</v>
      </c>
      <c r="AY968" t="s">
        <v>74</v>
      </c>
      <c r="AZ968" t="s">
        <v>74</v>
      </c>
      <c r="BA968" t="s">
        <v>74</v>
      </c>
      <c r="BB968" t="s">
        <v>74</v>
      </c>
      <c r="BC968" t="s">
        <v>74</v>
      </c>
      <c r="BD968" t="s">
        <v>74</v>
      </c>
      <c r="BE968" t="s">
        <v>17256</v>
      </c>
      <c r="BF968" t="str">
        <f>HYPERLINK("http://dx.doi.org/10.1080/13183222.2023.2201741","http://dx.doi.org/10.1080/13183222.2023.2201741")</f>
        <v>http://dx.doi.org/10.1080/13183222.2023.2201741</v>
      </c>
      <c r="BG968" t="s">
        <v>74</v>
      </c>
      <c r="BH968" t="s">
        <v>12687</v>
      </c>
      <c r="BI968">
        <v>18</v>
      </c>
      <c r="BJ968" t="s">
        <v>7911</v>
      </c>
      <c r="BK968" t="s">
        <v>272</v>
      </c>
      <c r="BL968" t="s">
        <v>7911</v>
      </c>
      <c r="BM968" t="s">
        <v>17257</v>
      </c>
      <c r="BN968" t="s">
        <v>74</v>
      </c>
      <c r="BO968" t="s">
        <v>74</v>
      </c>
      <c r="BP968" t="s">
        <v>74</v>
      </c>
      <c r="BQ968" t="s">
        <v>74</v>
      </c>
      <c r="BR968" t="s">
        <v>105</v>
      </c>
      <c r="BS968" t="s">
        <v>17258</v>
      </c>
      <c r="BT968" t="str">
        <f>HYPERLINK("https%3A%2F%2Fwww.webofscience.com%2Fwos%2Fwoscc%2Ffull-record%2FWOS:000997840200001","View Full Record in Web of Science")</f>
        <v>View Full Record in Web of Science</v>
      </c>
    </row>
    <row r="969" spans="1:72" x14ac:dyDescent="0.15">
      <c r="A969" t="s">
        <v>72</v>
      </c>
      <c r="B969" t="s">
        <v>17259</v>
      </c>
      <c r="C969" t="s">
        <v>74</v>
      </c>
      <c r="D969" t="s">
        <v>74</v>
      </c>
      <c r="E969" t="s">
        <v>74</v>
      </c>
      <c r="F969" t="s">
        <v>17260</v>
      </c>
      <c r="G969" t="s">
        <v>74</v>
      </c>
      <c r="H969" t="s">
        <v>74</v>
      </c>
      <c r="I969" t="s">
        <v>17261</v>
      </c>
      <c r="J969" t="s">
        <v>17262</v>
      </c>
      <c r="K969" t="s">
        <v>74</v>
      </c>
      <c r="L969" t="s">
        <v>74</v>
      </c>
      <c r="M969" t="s">
        <v>78</v>
      </c>
      <c r="N969" t="s">
        <v>171</v>
      </c>
      <c r="O969" t="s">
        <v>74</v>
      </c>
      <c r="P969" t="s">
        <v>74</v>
      </c>
      <c r="Q969" t="s">
        <v>74</v>
      </c>
      <c r="R969" t="s">
        <v>74</v>
      </c>
      <c r="S969" t="s">
        <v>74</v>
      </c>
      <c r="T969" t="s">
        <v>17263</v>
      </c>
      <c r="U969" t="s">
        <v>74</v>
      </c>
      <c r="V969" t="s">
        <v>17264</v>
      </c>
      <c r="W969" t="s">
        <v>17265</v>
      </c>
      <c r="X969" t="s">
        <v>17266</v>
      </c>
      <c r="Y969" t="s">
        <v>17267</v>
      </c>
      <c r="Z969" t="s">
        <v>17268</v>
      </c>
      <c r="AA969" t="s">
        <v>74</v>
      </c>
      <c r="AB969" t="s">
        <v>74</v>
      </c>
      <c r="AC969" t="s">
        <v>74</v>
      </c>
      <c r="AD969" t="s">
        <v>74</v>
      </c>
      <c r="AE969" t="s">
        <v>74</v>
      </c>
      <c r="AF969" t="s">
        <v>74</v>
      </c>
      <c r="AG969">
        <v>17</v>
      </c>
      <c r="AH969">
        <v>0</v>
      </c>
      <c r="AI969">
        <v>0</v>
      </c>
      <c r="AJ969">
        <v>0</v>
      </c>
      <c r="AK969">
        <v>0</v>
      </c>
      <c r="AL969" t="s">
        <v>1188</v>
      </c>
      <c r="AM969" t="s">
        <v>93</v>
      </c>
      <c r="AN969" t="s">
        <v>1189</v>
      </c>
      <c r="AO969" t="s">
        <v>17269</v>
      </c>
      <c r="AP969" t="s">
        <v>17270</v>
      </c>
      <c r="AQ969" t="s">
        <v>74</v>
      </c>
      <c r="AR969" t="s">
        <v>17271</v>
      </c>
      <c r="AS969" t="s">
        <v>17272</v>
      </c>
      <c r="AT969" t="s">
        <v>12289</v>
      </c>
      <c r="AU969">
        <v>2023</v>
      </c>
      <c r="AV969">
        <v>27</v>
      </c>
      <c r="AW969">
        <v>3</v>
      </c>
      <c r="AX969" t="s">
        <v>74</v>
      </c>
      <c r="AY969" t="s">
        <v>74</v>
      </c>
      <c r="AZ969" t="s">
        <v>74</v>
      </c>
      <c r="BA969" t="s">
        <v>74</v>
      </c>
      <c r="BB969">
        <v>308</v>
      </c>
      <c r="BC969">
        <v>314</v>
      </c>
      <c r="BD969" t="s">
        <v>74</v>
      </c>
      <c r="BE969" t="s">
        <v>17273</v>
      </c>
      <c r="BF969" t="str">
        <f>HYPERLINK("http://dx.doi.org/10.1080/15398285.2023.2245314","http://dx.doi.org/10.1080/15398285.2023.2245314")</f>
        <v>http://dx.doi.org/10.1080/15398285.2023.2245314</v>
      </c>
      <c r="BG969" t="s">
        <v>74</v>
      </c>
      <c r="BH969" t="s">
        <v>74</v>
      </c>
      <c r="BI969">
        <v>7</v>
      </c>
      <c r="BJ969" t="s">
        <v>163</v>
      </c>
      <c r="BK969" t="s">
        <v>211</v>
      </c>
      <c r="BL969" t="s">
        <v>163</v>
      </c>
      <c r="BM969" t="s">
        <v>17274</v>
      </c>
      <c r="BN969" t="s">
        <v>74</v>
      </c>
      <c r="BO969" t="s">
        <v>74</v>
      </c>
      <c r="BP969" t="s">
        <v>74</v>
      </c>
      <c r="BQ969" t="s">
        <v>74</v>
      </c>
      <c r="BR969" t="s">
        <v>105</v>
      </c>
      <c r="BS969" t="s">
        <v>17275</v>
      </c>
      <c r="BT969" t="str">
        <f>HYPERLINK("https%3A%2F%2Fwww.webofscience.com%2Fwos%2Fwoscc%2Ffull-record%2FWOS:001057775700006","View Full Record in Web of Science")</f>
        <v>View Full Record in Web of Science</v>
      </c>
    </row>
    <row r="970" spans="1:72" x14ac:dyDescent="0.15">
      <c r="A970" t="s">
        <v>72</v>
      </c>
      <c r="B970" t="s">
        <v>17276</v>
      </c>
      <c r="C970" t="s">
        <v>74</v>
      </c>
      <c r="D970" t="s">
        <v>74</v>
      </c>
      <c r="E970" t="s">
        <v>74</v>
      </c>
      <c r="F970" t="s">
        <v>17277</v>
      </c>
      <c r="G970" t="s">
        <v>74</v>
      </c>
      <c r="H970" t="s">
        <v>74</v>
      </c>
      <c r="I970" t="s">
        <v>17278</v>
      </c>
      <c r="J970" t="s">
        <v>17279</v>
      </c>
      <c r="K970" t="s">
        <v>74</v>
      </c>
      <c r="L970" t="s">
        <v>74</v>
      </c>
      <c r="M970" t="s">
        <v>78</v>
      </c>
      <c r="N970" t="s">
        <v>5492</v>
      </c>
      <c r="O970" t="s">
        <v>74</v>
      </c>
      <c r="P970" t="s">
        <v>74</v>
      </c>
      <c r="Q970" t="s">
        <v>74</v>
      </c>
      <c r="R970" t="s">
        <v>74</v>
      </c>
      <c r="S970" t="s">
        <v>74</v>
      </c>
      <c r="T970" t="s">
        <v>17280</v>
      </c>
      <c r="U970" t="s">
        <v>17281</v>
      </c>
      <c r="V970" t="s">
        <v>17282</v>
      </c>
      <c r="W970" t="s">
        <v>17283</v>
      </c>
      <c r="X970" t="s">
        <v>17284</v>
      </c>
      <c r="Y970" t="s">
        <v>17285</v>
      </c>
      <c r="Z970" t="s">
        <v>17286</v>
      </c>
      <c r="AA970" t="s">
        <v>74</v>
      </c>
      <c r="AB970" t="s">
        <v>74</v>
      </c>
      <c r="AC970" t="s">
        <v>17287</v>
      </c>
      <c r="AD970" t="s">
        <v>17287</v>
      </c>
      <c r="AE970" t="s">
        <v>17288</v>
      </c>
      <c r="AF970" t="s">
        <v>74</v>
      </c>
      <c r="AG970">
        <v>29</v>
      </c>
      <c r="AH970">
        <v>0</v>
      </c>
      <c r="AI970">
        <v>0</v>
      </c>
      <c r="AJ970">
        <v>0</v>
      </c>
      <c r="AK970">
        <v>0</v>
      </c>
      <c r="AL970" t="s">
        <v>1188</v>
      </c>
      <c r="AM970" t="s">
        <v>93</v>
      </c>
      <c r="AN970" t="s">
        <v>1189</v>
      </c>
      <c r="AO970" t="s">
        <v>17289</v>
      </c>
      <c r="AP970" t="s">
        <v>17290</v>
      </c>
      <c r="AQ970" t="s">
        <v>74</v>
      </c>
      <c r="AR970" t="s">
        <v>17291</v>
      </c>
      <c r="AS970" t="s">
        <v>17292</v>
      </c>
      <c r="AT970" t="s">
        <v>17255</v>
      </c>
      <c r="AU970">
        <v>2023</v>
      </c>
      <c r="AV970" t="s">
        <v>74</v>
      </c>
      <c r="AW970" t="s">
        <v>74</v>
      </c>
      <c r="AX970" t="s">
        <v>74</v>
      </c>
      <c r="AY970" t="s">
        <v>74</v>
      </c>
      <c r="AZ970" t="s">
        <v>74</v>
      </c>
      <c r="BA970" t="s">
        <v>74</v>
      </c>
      <c r="BB970" t="s">
        <v>74</v>
      </c>
      <c r="BC970" t="s">
        <v>74</v>
      </c>
      <c r="BD970" t="s">
        <v>74</v>
      </c>
      <c r="BE970" t="s">
        <v>17293</v>
      </c>
      <c r="BF970" t="str">
        <f>HYPERLINK("http://dx.doi.org/10.1080/02701367.2023.2203724","http://dx.doi.org/10.1080/02701367.2023.2203724")</f>
        <v>http://dx.doi.org/10.1080/02701367.2023.2203724</v>
      </c>
      <c r="BG970" t="s">
        <v>74</v>
      </c>
      <c r="BH970" t="s">
        <v>12687</v>
      </c>
      <c r="BI970">
        <v>9</v>
      </c>
      <c r="BJ970" t="s">
        <v>17294</v>
      </c>
      <c r="BK970" t="s">
        <v>123</v>
      </c>
      <c r="BL970" t="s">
        <v>7704</v>
      </c>
      <c r="BM970" t="s">
        <v>17295</v>
      </c>
      <c r="BN970">
        <v>37440758</v>
      </c>
      <c r="BO970" t="s">
        <v>887</v>
      </c>
      <c r="BP970" t="s">
        <v>74</v>
      </c>
      <c r="BQ970" t="s">
        <v>74</v>
      </c>
      <c r="BR970" t="s">
        <v>105</v>
      </c>
      <c r="BS970" t="s">
        <v>17296</v>
      </c>
      <c r="BT970" t="str">
        <f>HYPERLINK("https%3A%2F%2Fwww.webofscience.com%2Fwos%2Fwoscc%2Ffull-record%2FWOS:001024665500001","View Full Record in Web of Science")</f>
        <v>View Full Record in Web of Science</v>
      </c>
    </row>
    <row r="971" spans="1:72" x14ac:dyDescent="0.15">
      <c r="A971" t="s">
        <v>72</v>
      </c>
      <c r="B971" t="s">
        <v>17297</v>
      </c>
      <c r="C971" t="s">
        <v>74</v>
      </c>
      <c r="D971" t="s">
        <v>74</v>
      </c>
      <c r="E971" t="s">
        <v>74</v>
      </c>
      <c r="F971" t="s">
        <v>17298</v>
      </c>
      <c r="G971" t="s">
        <v>74</v>
      </c>
      <c r="H971" t="s">
        <v>74</v>
      </c>
      <c r="I971" t="s">
        <v>17299</v>
      </c>
      <c r="J971" t="s">
        <v>17300</v>
      </c>
      <c r="K971" t="s">
        <v>74</v>
      </c>
      <c r="L971" t="s">
        <v>74</v>
      </c>
      <c r="M971" t="s">
        <v>78</v>
      </c>
      <c r="N971" t="s">
        <v>3443</v>
      </c>
      <c r="O971" t="s">
        <v>74</v>
      </c>
      <c r="P971" t="s">
        <v>74</v>
      </c>
      <c r="Q971" t="s">
        <v>74</v>
      </c>
      <c r="R971" t="s">
        <v>74</v>
      </c>
      <c r="S971" t="s">
        <v>74</v>
      </c>
      <c r="T971" t="s">
        <v>74</v>
      </c>
      <c r="U971" t="s">
        <v>74</v>
      </c>
      <c r="V971" t="s">
        <v>74</v>
      </c>
      <c r="W971" t="s">
        <v>17301</v>
      </c>
      <c r="X971" t="s">
        <v>74</v>
      </c>
      <c r="Y971" t="s">
        <v>17302</v>
      </c>
      <c r="Z971" t="s">
        <v>17303</v>
      </c>
      <c r="AA971" t="s">
        <v>74</v>
      </c>
      <c r="AB971" t="s">
        <v>74</v>
      </c>
      <c r="AC971" t="s">
        <v>74</v>
      </c>
      <c r="AD971" t="s">
        <v>74</v>
      </c>
      <c r="AE971" t="s">
        <v>74</v>
      </c>
      <c r="AF971" t="s">
        <v>74</v>
      </c>
      <c r="AG971">
        <v>1</v>
      </c>
      <c r="AH971">
        <v>0</v>
      </c>
      <c r="AI971">
        <v>0</v>
      </c>
      <c r="AJ971">
        <v>0</v>
      </c>
      <c r="AK971">
        <v>0</v>
      </c>
      <c r="AL971" t="s">
        <v>1188</v>
      </c>
      <c r="AM971" t="s">
        <v>93</v>
      </c>
      <c r="AN971" t="s">
        <v>1189</v>
      </c>
      <c r="AO971" t="s">
        <v>17304</v>
      </c>
      <c r="AP971" t="s">
        <v>17305</v>
      </c>
      <c r="AQ971" t="s">
        <v>74</v>
      </c>
      <c r="AR971" t="s">
        <v>17306</v>
      </c>
      <c r="AS971" t="s">
        <v>17307</v>
      </c>
      <c r="AT971" t="s">
        <v>12289</v>
      </c>
      <c r="AU971">
        <v>2023</v>
      </c>
      <c r="AV971">
        <v>72</v>
      </c>
      <c r="AW971">
        <v>3</v>
      </c>
      <c r="AX971" t="s">
        <v>74</v>
      </c>
      <c r="AY971" t="s">
        <v>74</v>
      </c>
      <c r="AZ971" t="s">
        <v>74</v>
      </c>
      <c r="BA971" t="s">
        <v>74</v>
      </c>
      <c r="BB971">
        <v>323</v>
      </c>
      <c r="BC971">
        <v>324</v>
      </c>
      <c r="BD971" t="s">
        <v>74</v>
      </c>
      <c r="BE971" t="s">
        <v>17308</v>
      </c>
      <c r="BF971" t="str">
        <f>HYPERLINK("http://dx.doi.org/10.1080/24750158.2023.2238347","http://dx.doi.org/10.1080/24750158.2023.2238347")</f>
        <v>http://dx.doi.org/10.1080/24750158.2023.2238347</v>
      </c>
      <c r="BG971" t="s">
        <v>74</v>
      </c>
      <c r="BH971" t="s">
        <v>74</v>
      </c>
      <c r="BI971">
        <v>2</v>
      </c>
      <c r="BJ971" t="s">
        <v>13523</v>
      </c>
      <c r="BK971" t="s">
        <v>272</v>
      </c>
      <c r="BL971" t="s">
        <v>13523</v>
      </c>
      <c r="BM971" t="s">
        <v>17309</v>
      </c>
      <c r="BN971" t="s">
        <v>74</v>
      </c>
      <c r="BO971" t="s">
        <v>74</v>
      </c>
      <c r="BP971" t="s">
        <v>74</v>
      </c>
      <c r="BQ971" t="s">
        <v>74</v>
      </c>
      <c r="BR971" t="s">
        <v>105</v>
      </c>
      <c r="BS971" t="s">
        <v>17310</v>
      </c>
      <c r="BT971" t="str">
        <f>HYPERLINK("https%3A%2F%2Fwww.webofscience.com%2Fwos%2Fwoscc%2Ffull-record%2FWOS:001053932700003","View Full Record in Web of Science")</f>
        <v>View Full Record in Web of Science</v>
      </c>
    </row>
    <row r="972" spans="1:72" x14ac:dyDescent="0.15">
      <c r="A972" t="s">
        <v>72</v>
      </c>
      <c r="B972" t="s">
        <v>17311</v>
      </c>
      <c r="C972" t="s">
        <v>74</v>
      </c>
      <c r="D972" t="s">
        <v>74</v>
      </c>
      <c r="E972" t="s">
        <v>74</v>
      </c>
      <c r="F972" t="s">
        <v>17312</v>
      </c>
      <c r="G972" t="s">
        <v>74</v>
      </c>
      <c r="H972" t="s">
        <v>74</v>
      </c>
      <c r="I972" t="s">
        <v>17313</v>
      </c>
      <c r="J972" t="s">
        <v>17135</v>
      </c>
      <c r="K972" t="s">
        <v>74</v>
      </c>
      <c r="L972" t="s">
        <v>74</v>
      </c>
      <c r="M972" t="s">
        <v>78</v>
      </c>
      <c r="N972" t="s">
        <v>3443</v>
      </c>
      <c r="O972" t="s">
        <v>74</v>
      </c>
      <c r="P972" t="s">
        <v>74</v>
      </c>
      <c r="Q972" t="s">
        <v>74</v>
      </c>
      <c r="R972" t="s">
        <v>74</v>
      </c>
      <c r="S972" t="s">
        <v>74</v>
      </c>
      <c r="T972" t="s">
        <v>74</v>
      </c>
      <c r="U972" t="s">
        <v>74</v>
      </c>
      <c r="V972" t="s">
        <v>74</v>
      </c>
      <c r="W972" t="s">
        <v>74</v>
      </c>
      <c r="X972" t="s">
        <v>74</v>
      </c>
      <c r="Y972" t="s">
        <v>74</v>
      </c>
      <c r="Z972" t="s">
        <v>74</v>
      </c>
      <c r="AA972" t="s">
        <v>74</v>
      </c>
      <c r="AB972" t="s">
        <v>74</v>
      </c>
      <c r="AC972" t="s">
        <v>74</v>
      </c>
      <c r="AD972" t="s">
        <v>74</v>
      </c>
      <c r="AE972" t="s">
        <v>74</v>
      </c>
      <c r="AF972" t="s">
        <v>74</v>
      </c>
      <c r="AG972">
        <v>1</v>
      </c>
      <c r="AH972">
        <v>0</v>
      </c>
      <c r="AI972">
        <v>0</v>
      </c>
      <c r="AJ972">
        <v>0</v>
      </c>
      <c r="AK972">
        <v>0</v>
      </c>
      <c r="AL972" t="s">
        <v>1188</v>
      </c>
      <c r="AM972" t="s">
        <v>93</v>
      </c>
      <c r="AN972" t="s">
        <v>1189</v>
      </c>
      <c r="AO972" t="s">
        <v>17142</v>
      </c>
      <c r="AP972" t="s">
        <v>17143</v>
      </c>
      <c r="AQ972" t="s">
        <v>74</v>
      </c>
      <c r="AR972" t="s">
        <v>17144</v>
      </c>
      <c r="AS972" t="s">
        <v>17145</v>
      </c>
      <c r="AT972" t="s">
        <v>12289</v>
      </c>
      <c r="AU972">
        <v>2023</v>
      </c>
      <c r="AV972">
        <v>98</v>
      </c>
      <c r="AW972">
        <v>3</v>
      </c>
      <c r="AX972" t="s">
        <v>74</v>
      </c>
      <c r="AY972" t="s">
        <v>74</v>
      </c>
      <c r="AZ972" t="s">
        <v>74</v>
      </c>
      <c r="BA972" t="s">
        <v>74</v>
      </c>
      <c r="BB972">
        <v>349</v>
      </c>
      <c r="BC972">
        <v>351</v>
      </c>
      <c r="BD972" t="s">
        <v>74</v>
      </c>
      <c r="BE972" t="s">
        <v>17314</v>
      </c>
      <c r="BF972" t="str">
        <f>HYPERLINK("http://dx.doi.org/10.1080/00168890.2023.2240111","http://dx.doi.org/10.1080/00168890.2023.2240111")</f>
        <v>http://dx.doi.org/10.1080/00168890.2023.2240111</v>
      </c>
      <c r="BG972" t="s">
        <v>74</v>
      </c>
      <c r="BH972" t="s">
        <v>74</v>
      </c>
      <c r="BI972">
        <v>3</v>
      </c>
      <c r="BJ972" t="s">
        <v>17147</v>
      </c>
      <c r="BK972" t="s">
        <v>6264</v>
      </c>
      <c r="BL972" t="s">
        <v>6283</v>
      </c>
      <c r="BM972" t="s">
        <v>17148</v>
      </c>
      <c r="BN972" t="s">
        <v>74</v>
      </c>
      <c r="BO972" t="s">
        <v>74</v>
      </c>
      <c r="BP972" t="s">
        <v>74</v>
      </c>
      <c r="BQ972" t="s">
        <v>74</v>
      </c>
      <c r="BR972" t="s">
        <v>105</v>
      </c>
      <c r="BS972" t="s">
        <v>17315</v>
      </c>
      <c r="BT972" t="str">
        <f>HYPERLINK("https%3A%2F%2Fwww.webofscience.com%2Fwos%2Fwoscc%2Ffull-record%2FWOS:001061787000008","View Full Record in Web of Science")</f>
        <v>View Full Record in Web of Science</v>
      </c>
    </row>
    <row r="973" spans="1:72" x14ac:dyDescent="0.15">
      <c r="A973" t="s">
        <v>72</v>
      </c>
      <c r="B973" t="s">
        <v>17316</v>
      </c>
      <c r="C973" t="s">
        <v>74</v>
      </c>
      <c r="D973" t="s">
        <v>74</v>
      </c>
      <c r="E973" t="s">
        <v>74</v>
      </c>
      <c r="F973" t="s">
        <v>17317</v>
      </c>
      <c r="G973" t="s">
        <v>74</v>
      </c>
      <c r="H973" t="s">
        <v>74</v>
      </c>
      <c r="I973" t="s">
        <v>17318</v>
      </c>
      <c r="J973" t="s">
        <v>17319</v>
      </c>
      <c r="K973" t="s">
        <v>74</v>
      </c>
      <c r="L973" t="s">
        <v>74</v>
      </c>
      <c r="M973" t="s">
        <v>78</v>
      </c>
      <c r="N973" t="s">
        <v>79</v>
      </c>
      <c r="O973" t="s">
        <v>74</v>
      </c>
      <c r="P973" t="s">
        <v>74</v>
      </c>
      <c r="Q973" t="s">
        <v>74</v>
      </c>
      <c r="R973" t="s">
        <v>74</v>
      </c>
      <c r="S973" t="s">
        <v>74</v>
      </c>
      <c r="T973" t="s">
        <v>17320</v>
      </c>
      <c r="U973" t="s">
        <v>17321</v>
      </c>
      <c r="V973" t="s">
        <v>17322</v>
      </c>
      <c r="W973" t="s">
        <v>17323</v>
      </c>
      <c r="X973" t="s">
        <v>17324</v>
      </c>
      <c r="Y973" t="s">
        <v>17325</v>
      </c>
      <c r="Z973" t="s">
        <v>17326</v>
      </c>
      <c r="AA973" t="s">
        <v>74</v>
      </c>
      <c r="AB973" t="s">
        <v>17327</v>
      </c>
      <c r="AC973" t="s">
        <v>74</v>
      </c>
      <c r="AD973" t="s">
        <v>74</v>
      </c>
      <c r="AE973" t="s">
        <v>74</v>
      </c>
      <c r="AF973" t="s">
        <v>74</v>
      </c>
      <c r="AG973">
        <v>76</v>
      </c>
      <c r="AH973">
        <v>0</v>
      </c>
      <c r="AI973">
        <v>0</v>
      </c>
      <c r="AJ973">
        <v>1</v>
      </c>
      <c r="AK973">
        <v>1</v>
      </c>
      <c r="AL973" t="s">
        <v>92</v>
      </c>
      <c r="AM973" t="s">
        <v>93</v>
      </c>
      <c r="AN973" t="s">
        <v>94</v>
      </c>
      <c r="AO973" t="s">
        <v>17328</v>
      </c>
      <c r="AP973" t="s">
        <v>17329</v>
      </c>
      <c r="AQ973" t="s">
        <v>74</v>
      </c>
      <c r="AR973" t="s">
        <v>17330</v>
      </c>
      <c r="AS973" t="s">
        <v>17331</v>
      </c>
      <c r="AT973" t="s">
        <v>12289</v>
      </c>
      <c r="AU973">
        <v>2023</v>
      </c>
      <c r="AV973">
        <v>39</v>
      </c>
      <c r="AW973">
        <v>6</v>
      </c>
      <c r="AX973" t="s">
        <v>74</v>
      </c>
      <c r="AY973" t="s">
        <v>74</v>
      </c>
      <c r="AZ973" t="s">
        <v>74</v>
      </c>
      <c r="BA973" t="s">
        <v>74</v>
      </c>
      <c r="BB973">
        <v>611</v>
      </c>
      <c r="BC973">
        <v>639</v>
      </c>
      <c r="BD973" t="s">
        <v>74</v>
      </c>
      <c r="BE973" t="s">
        <v>17332</v>
      </c>
      <c r="BF973" t="str">
        <f>HYPERLINK("http://dx.doi.org/10.1080/02757540.2023.2224794","http://dx.doi.org/10.1080/02757540.2023.2224794")</f>
        <v>http://dx.doi.org/10.1080/02757540.2023.2224794</v>
      </c>
      <c r="BG973" t="s">
        <v>74</v>
      </c>
      <c r="BH973" t="s">
        <v>12687</v>
      </c>
      <c r="BI973">
        <v>29</v>
      </c>
      <c r="BJ973" t="s">
        <v>17333</v>
      </c>
      <c r="BK973" t="s">
        <v>102</v>
      </c>
      <c r="BL973" t="s">
        <v>17334</v>
      </c>
      <c r="BM973" t="s">
        <v>17335</v>
      </c>
      <c r="BN973" t="s">
        <v>74</v>
      </c>
      <c r="BO973" t="s">
        <v>74</v>
      </c>
      <c r="BP973" t="s">
        <v>74</v>
      </c>
      <c r="BQ973" t="s">
        <v>74</v>
      </c>
      <c r="BR973" t="s">
        <v>105</v>
      </c>
      <c r="BS973" t="s">
        <v>17336</v>
      </c>
      <c r="BT973" t="str">
        <f>HYPERLINK("https%3A%2F%2Fwww.webofscience.com%2Fwos%2Fwoscc%2Ffull-record%2FWOS:001029741600001","View Full Record in Web of Science")</f>
        <v>View Full Record in Web of Science</v>
      </c>
    </row>
    <row r="974" spans="1:72" x14ac:dyDescent="0.15">
      <c r="A974" t="s">
        <v>72</v>
      </c>
      <c r="B974" t="s">
        <v>17337</v>
      </c>
      <c r="C974" t="s">
        <v>74</v>
      </c>
      <c r="D974" t="s">
        <v>74</v>
      </c>
      <c r="E974" t="s">
        <v>74</v>
      </c>
      <c r="F974" t="s">
        <v>17338</v>
      </c>
      <c r="G974" t="s">
        <v>74</v>
      </c>
      <c r="H974" t="s">
        <v>74</v>
      </c>
      <c r="I974" t="s">
        <v>17339</v>
      </c>
      <c r="J974" t="s">
        <v>16757</v>
      </c>
      <c r="K974" t="s">
        <v>74</v>
      </c>
      <c r="L974" t="s">
        <v>74</v>
      </c>
      <c r="M974" t="s">
        <v>78</v>
      </c>
      <c r="N974" t="s">
        <v>6754</v>
      </c>
      <c r="O974" t="s">
        <v>74</v>
      </c>
      <c r="P974" t="s">
        <v>74</v>
      </c>
      <c r="Q974" t="s">
        <v>74</v>
      </c>
      <c r="R974" t="s">
        <v>74</v>
      </c>
      <c r="S974" t="s">
        <v>74</v>
      </c>
      <c r="T974" t="s">
        <v>17340</v>
      </c>
      <c r="U974" t="s">
        <v>17341</v>
      </c>
      <c r="V974" t="s">
        <v>17342</v>
      </c>
      <c r="W974" t="s">
        <v>17343</v>
      </c>
      <c r="X974" t="s">
        <v>17344</v>
      </c>
      <c r="Y974" t="s">
        <v>17345</v>
      </c>
      <c r="Z974" t="s">
        <v>17346</v>
      </c>
      <c r="AA974" t="s">
        <v>74</v>
      </c>
      <c r="AB974" t="s">
        <v>17347</v>
      </c>
      <c r="AC974" t="s">
        <v>74</v>
      </c>
      <c r="AD974" t="s">
        <v>74</v>
      </c>
      <c r="AE974" t="s">
        <v>74</v>
      </c>
      <c r="AF974" t="s">
        <v>74</v>
      </c>
      <c r="AG974">
        <v>119</v>
      </c>
      <c r="AH974">
        <v>0</v>
      </c>
      <c r="AI974">
        <v>0</v>
      </c>
      <c r="AJ974">
        <v>1</v>
      </c>
      <c r="AK974">
        <v>1</v>
      </c>
      <c r="AL974" t="s">
        <v>1188</v>
      </c>
      <c r="AM974" t="s">
        <v>93</v>
      </c>
      <c r="AN974" t="s">
        <v>1189</v>
      </c>
      <c r="AO974" t="s">
        <v>16766</v>
      </c>
      <c r="AP974" t="s">
        <v>16767</v>
      </c>
      <c r="AQ974" t="s">
        <v>74</v>
      </c>
      <c r="AR974" t="s">
        <v>16768</v>
      </c>
      <c r="AS974" t="s">
        <v>16769</v>
      </c>
      <c r="AT974" t="s">
        <v>17255</v>
      </c>
      <c r="AU974">
        <v>2023</v>
      </c>
      <c r="AV974" t="s">
        <v>74</v>
      </c>
      <c r="AW974" t="s">
        <v>74</v>
      </c>
      <c r="AX974" t="s">
        <v>74</v>
      </c>
      <c r="AY974" t="s">
        <v>74</v>
      </c>
      <c r="AZ974" t="s">
        <v>74</v>
      </c>
      <c r="BA974" t="s">
        <v>74</v>
      </c>
      <c r="BB974" t="s">
        <v>74</v>
      </c>
      <c r="BC974" t="s">
        <v>74</v>
      </c>
      <c r="BD974" t="s">
        <v>74</v>
      </c>
      <c r="BE974" t="s">
        <v>17348</v>
      </c>
      <c r="BF974" t="str">
        <f>HYPERLINK("http://dx.doi.org/10.1080/13218719.2023.2206879","http://dx.doi.org/10.1080/13218719.2023.2206879")</f>
        <v>http://dx.doi.org/10.1080/13218719.2023.2206879</v>
      </c>
      <c r="BG974" t="s">
        <v>74</v>
      </c>
      <c r="BH974" t="s">
        <v>12687</v>
      </c>
      <c r="BI974">
        <v>24</v>
      </c>
      <c r="BJ974" t="s">
        <v>16771</v>
      </c>
      <c r="BK974" t="s">
        <v>272</v>
      </c>
      <c r="BL974" t="s">
        <v>16772</v>
      </c>
      <c r="BM974" t="s">
        <v>17349</v>
      </c>
      <c r="BN974" t="s">
        <v>74</v>
      </c>
      <c r="BO974" t="s">
        <v>74</v>
      </c>
      <c r="BP974" t="s">
        <v>74</v>
      </c>
      <c r="BQ974" t="s">
        <v>74</v>
      </c>
      <c r="BR974" t="s">
        <v>105</v>
      </c>
      <c r="BS974" t="s">
        <v>17350</v>
      </c>
      <c r="BT974" t="str">
        <f>HYPERLINK("https%3A%2F%2Fwww.webofscience.com%2Fwos%2Fwoscc%2Ffull-record%2FWOS:001021429100001","View Full Record in Web of Science")</f>
        <v>View Full Record in Web of Science</v>
      </c>
    </row>
    <row r="975" spans="1:72" x14ac:dyDescent="0.15">
      <c r="A975" t="s">
        <v>72</v>
      </c>
      <c r="B975" t="s">
        <v>17351</v>
      </c>
      <c r="C975" t="s">
        <v>74</v>
      </c>
      <c r="D975" t="s">
        <v>74</v>
      </c>
      <c r="E975" t="s">
        <v>74</v>
      </c>
      <c r="F975" t="s">
        <v>17352</v>
      </c>
      <c r="G975" t="s">
        <v>74</v>
      </c>
      <c r="H975" t="s">
        <v>74</v>
      </c>
      <c r="I975" t="s">
        <v>17353</v>
      </c>
      <c r="J975" t="s">
        <v>8657</v>
      </c>
      <c r="K975" t="s">
        <v>74</v>
      </c>
      <c r="L975" t="s">
        <v>74</v>
      </c>
      <c r="M975" t="s">
        <v>78</v>
      </c>
      <c r="N975" t="s">
        <v>5492</v>
      </c>
      <c r="O975" t="s">
        <v>74</v>
      </c>
      <c r="P975" t="s">
        <v>74</v>
      </c>
      <c r="Q975" t="s">
        <v>74</v>
      </c>
      <c r="R975" t="s">
        <v>74</v>
      </c>
      <c r="S975" t="s">
        <v>74</v>
      </c>
      <c r="T975" t="s">
        <v>17354</v>
      </c>
      <c r="U975" t="s">
        <v>17355</v>
      </c>
      <c r="V975" t="s">
        <v>17356</v>
      </c>
      <c r="W975" t="s">
        <v>17357</v>
      </c>
      <c r="X975" t="s">
        <v>17358</v>
      </c>
      <c r="Y975" t="s">
        <v>17359</v>
      </c>
      <c r="Z975" t="s">
        <v>17360</v>
      </c>
      <c r="AA975" t="s">
        <v>17361</v>
      </c>
      <c r="AB975" t="s">
        <v>74</v>
      </c>
      <c r="AC975" t="s">
        <v>17362</v>
      </c>
      <c r="AD975" t="s">
        <v>17363</v>
      </c>
      <c r="AE975" t="s">
        <v>17364</v>
      </c>
      <c r="AF975" t="s">
        <v>74</v>
      </c>
      <c r="AG975">
        <v>49</v>
      </c>
      <c r="AH975">
        <v>0</v>
      </c>
      <c r="AI975">
        <v>0</v>
      </c>
      <c r="AJ975">
        <v>2</v>
      </c>
      <c r="AK975">
        <v>2</v>
      </c>
      <c r="AL975" t="s">
        <v>184</v>
      </c>
      <c r="AM975" t="s">
        <v>185</v>
      </c>
      <c r="AN975" t="s">
        <v>186</v>
      </c>
      <c r="AO975" t="s">
        <v>8668</v>
      </c>
      <c r="AP975" t="s">
        <v>8669</v>
      </c>
      <c r="AQ975" t="s">
        <v>74</v>
      </c>
      <c r="AR975" t="s">
        <v>8670</v>
      </c>
      <c r="AS975" t="s">
        <v>8671</v>
      </c>
      <c r="AT975" t="s">
        <v>17255</v>
      </c>
      <c r="AU975">
        <v>2023</v>
      </c>
      <c r="AV975" t="s">
        <v>74</v>
      </c>
      <c r="AW975" t="s">
        <v>74</v>
      </c>
      <c r="AX975" t="s">
        <v>74</v>
      </c>
      <c r="AY975" t="s">
        <v>74</v>
      </c>
      <c r="AZ975" t="s">
        <v>74</v>
      </c>
      <c r="BA975" t="s">
        <v>74</v>
      </c>
      <c r="BB975" t="s">
        <v>74</v>
      </c>
      <c r="BC975" t="s">
        <v>74</v>
      </c>
      <c r="BD975" t="s">
        <v>74</v>
      </c>
      <c r="BE975" t="s">
        <v>17365</v>
      </c>
      <c r="BF975" t="str">
        <f>HYPERLINK("http://dx.doi.org/10.1080/10447318.2023.2227823","http://dx.doi.org/10.1080/10447318.2023.2227823")</f>
        <v>http://dx.doi.org/10.1080/10447318.2023.2227823</v>
      </c>
      <c r="BG975" t="s">
        <v>74</v>
      </c>
      <c r="BH975" t="s">
        <v>12687</v>
      </c>
      <c r="BI975">
        <v>14</v>
      </c>
      <c r="BJ975" t="s">
        <v>8673</v>
      </c>
      <c r="BK975" t="s">
        <v>123</v>
      </c>
      <c r="BL975" t="s">
        <v>1556</v>
      </c>
      <c r="BM975" t="s">
        <v>17366</v>
      </c>
      <c r="BN975" t="s">
        <v>74</v>
      </c>
      <c r="BO975" t="s">
        <v>74</v>
      </c>
      <c r="BP975" t="s">
        <v>74</v>
      </c>
      <c r="BQ975" t="s">
        <v>74</v>
      </c>
      <c r="BR975" t="s">
        <v>105</v>
      </c>
      <c r="BS975" t="s">
        <v>17367</v>
      </c>
      <c r="BT975" t="str">
        <f>HYPERLINK("https%3A%2F%2Fwww.webofscience.com%2Fwos%2Fwoscc%2Ffull-record%2FWOS:001020024500001","View Full Record in Web of Science")</f>
        <v>View Full Record in Web of Science</v>
      </c>
    </row>
    <row r="976" spans="1:72" x14ac:dyDescent="0.15">
      <c r="A976" t="s">
        <v>72</v>
      </c>
      <c r="B976" t="s">
        <v>17368</v>
      </c>
      <c r="C976" t="s">
        <v>74</v>
      </c>
      <c r="D976" t="s">
        <v>74</v>
      </c>
      <c r="E976" t="s">
        <v>74</v>
      </c>
      <c r="F976" t="s">
        <v>17369</v>
      </c>
      <c r="G976" t="s">
        <v>74</v>
      </c>
      <c r="H976" t="s">
        <v>74</v>
      </c>
      <c r="I976" t="s">
        <v>17370</v>
      </c>
      <c r="J976" t="s">
        <v>16958</v>
      </c>
      <c r="K976" t="s">
        <v>74</v>
      </c>
      <c r="L976" t="s">
        <v>74</v>
      </c>
      <c r="M976" t="s">
        <v>78</v>
      </c>
      <c r="N976" t="s">
        <v>3443</v>
      </c>
      <c r="O976" t="s">
        <v>74</v>
      </c>
      <c r="P976" t="s">
        <v>74</v>
      </c>
      <c r="Q976" t="s">
        <v>74</v>
      </c>
      <c r="R976" t="s">
        <v>74</v>
      </c>
      <c r="S976" t="s">
        <v>74</v>
      </c>
      <c r="T976" t="s">
        <v>74</v>
      </c>
      <c r="U976" t="s">
        <v>74</v>
      </c>
      <c r="V976" t="s">
        <v>74</v>
      </c>
      <c r="W976" t="s">
        <v>17371</v>
      </c>
      <c r="X976" t="s">
        <v>17372</v>
      </c>
      <c r="Y976" t="s">
        <v>17373</v>
      </c>
      <c r="Z976" t="s">
        <v>17374</v>
      </c>
      <c r="AA976" t="s">
        <v>74</v>
      </c>
      <c r="AB976" t="s">
        <v>17375</v>
      </c>
      <c r="AC976" t="s">
        <v>74</v>
      </c>
      <c r="AD976" t="s">
        <v>74</v>
      </c>
      <c r="AE976" t="s">
        <v>74</v>
      </c>
      <c r="AF976" t="s">
        <v>74</v>
      </c>
      <c r="AG976">
        <v>1</v>
      </c>
      <c r="AH976">
        <v>0</v>
      </c>
      <c r="AI976">
        <v>0</v>
      </c>
      <c r="AJ976">
        <v>0</v>
      </c>
      <c r="AK976">
        <v>0</v>
      </c>
      <c r="AL976" t="s">
        <v>1188</v>
      </c>
      <c r="AM976" t="s">
        <v>93</v>
      </c>
      <c r="AN976" t="s">
        <v>1189</v>
      </c>
      <c r="AO976" t="s">
        <v>16963</v>
      </c>
      <c r="AP976" t="s">
        <v>16964</v>
      </c>
      <c r="AQ976" t="s">
        <v>74</v>
      </c>
      <c r="AR976" t="s">
        <v>16965</v>
      </c>
      <c r="AS976" t="s">
        <v>16966</v>
      </c>
      <c r="AT976" t="s">
        <v>12289</v>
      </c>
      <c r="AU976">
        <v>2023</v>
      </c>
      <c r="AV976">
        <v>75</v>
      </c>
      <c r="AW976">
        <v>6</v>
      </c>
      <c r="AX976" t="s">
        <v>74</v>
      </c>
      <c r="AY976" t="s">
        <v>74</v>
      </c>
      <c r="AZ976" t="s">
        <v>74</v>
      </c>
      <c r="BA976" t="s">
        <v>74</v>
      </c>
      <c r="BB976">
        <v>1056</v>
      </c>
      <c r="BC976">
        <v>1057</v>
      </c>
      <c r="BD976" t="s">
        <v>74</v>
      </c>
      <c r="BE976" t="s">
        <v>17376</v>
      </c>
      <c r="BF976" t="str">
        <f>HYPERLINK("http://dx.doi.org/10.1080/09668136.2023.2224191","http://dx.doi.org/10.1080/09668136.2023.2224191")</f>
        <v>http://dx.doi.org/10.1080/09668136.2023.2224191</v>
      </c>
      <c r="BG976" t="s">
        <v>74</v>
      </c>
      <c r="BH976" t="s">
        <v>74</v>
      </c>
      <c r="BI976">
        <v>2</v>
      </c>
      <c r="BJ976" t="s">
        <v>16968</v>
      </c>
      <c r="BK976" t="s">
        <v>272</v>
      </c>
      <c r="BL976" t="s">
        <v>16969</v>
      </c>
      <c r="BM976" t="s">
        <v>16970</v>
      </c>
      <c r="BN976" t="s">
        <v>74</v>
      </c>
      <c r="BO976" t="s">
        <v>74</v>
      </c>
      <c r="BP976" t="s">
        <v>74</v>
      </c>
      <c r="BQ976" t="s">
        <v>74</v>
      </c>
      <c r="BR976" t="s">
        <v>105</v>
      </c>
      <c r="BS976" t="s">
        <v>17377</v>
      </c>
      <c r="BT976" t="str">
        <f>HYPERLINK("https%3A%2F%2Fwww.webofscience.com%2Fwos%2Fwoscc%2Ffull-record%2FWOS:001035469300013","View Full Record in Web of Science")</f>
        <v>View Full Record in Web of Science</v>
      </c>
    </row>
    <row r="977" spans="1:72" x14ac:dyDescent="0.15">
      <c r="A977" t="s">
        <v>72</v>
      </c>
      <c r="B977" t="s">
        <v>11264</v>
      </c>
      <c r="C977" t="s">
        <v>74</v>
      </c>
      <c r="D977" t="s">
        <v>74</v>
      </c>
      <c r="E977" t="s">
        <v>74</v>
      </c>
      <c r="F977" t="s">
        <v>11264</v>
      </c>
      <c r="G977" t="s">
        <v>74</v>
      </c>
      <c r="H977" t="s">
        <v>74</v>
      </c>
      <c r="I977" t="s">
        <v>17378</v>
      </c>
      <c r="J977" t="s">
        <v>9378</v>
      </c>
      <c r="K977" t="s">
        <v>74</v>
      </c>
      <c r="L977" t="s">
        <v>74</v>
      </c>
      <c r="M977" t="s">
        <v>78</v>
      </c>
      <c r="N977" t="s">
        <v>2650</v>
      </c>
      <c r="O977" t="s">
        <v>74</v>
      </c>
      <c r="P977" t="s">
        <v>74</v>
      </c>
      <c r="Q977" t="s">
        <v>74</v>
      </c>
      <c r="R977" t="s">
        <v>74</v>
      </c>
      <c r="S977" t="s">
        <v>74</v>
      </c>
      <c r="T977" t="s">
        <v>74</v>
      </c>
      <c r="U977" t="s">
        <v>74</v>
      </c>
      <c r="V977" t="s">
        <v>74</v>
      </c>
      <c r="W977" t="s">
        <v>74</v>
      </c>
      <c r="X977" t="s">
        <v>74</v>
      </c>
      <c r="Y977" t="s">
        <v>74</v>
      </c>
      <c r="Z977" t="s">
        <v>74</v>
      </c>
      <c r="AA977" t="s">
        <v>74</v>
      </c>
      <c r="AB977" t="s">
        <v>74</v>
      </c>
      <c r="AC977" t="s">
        <v>74</v>
      </c>
      <c r="AD977" t="s">
        <v>74</v>
      </c>
      <c r="AE977" t="s">
        <v>74</v>
      </c>
      <c r="AF977" t="s">
        <v>74</v>
      </c>
      <c r="AG977">
        <v>0</v>
      </c>
      <c r="AH977">
        <v>0</v>
      </c>
      <c r="AI977">
        <v>0</v>
      </c>
      <c r="AJ977">
        <v>0</v>
      </c>
      <c r="AK977">
        <v>0</v>
      </c>
      <c r="AL977" t="s">
        <v>92</v>
      </c>
      <c r="AM977" t="s">
        <v>93</v>
      </c>
      <c r="AN977" t="s">
        <v>94</v>
      </c>
      <c r="AO977" t="s">
        <v>9386</v>
      </c>
      <c r="AP977" t="s">
        <v>9387</v>
      </c>
      <c r="AQ977" t="s">
        <v>74</v>
      </c>
      <c r="AR977" t="s">
        <v>9388</v>
      </c>
      <c r="AS977" t="s">
        <v>9389</v>
      </c>
      <c r="AT977" t="s">
        <v>12289</v>
      </c>
      <c r="AU977">
        <v>2023</v>
      </c>
      <c r="AV977">
        <v>45</v>
      </c>
      <c r="AW977">
        <v>7</v>
      </c>
      <c r="AX977" t="s">
        <v>74</v>
      </c>
      <c r="AY977" t="s">
        <v>74</v>
      </c>
      <c r="AZ977" t="s">
        <v>74</v>
      </c>
      <c r="BA977" t="s">
        <v>74</v>
      </c>
      <c r="BB977">
        <v>671</v>
      </c>
      <c r="BC977">
        <v>672</v>
      </c>
      <c r="BD977" t="s">
        <v>74</v>
      </c>
      <c r="BE977" t="s">
        <v>17379</v>
      </c>
      <c r="BF977" t="str">
        <f>HYPERLINK("http://dx.doi.org/10.1080/0142159X.2023.2215621","http://dx.doi.org/10.1080/0142159X.2023.2215621")</f>
        <v>http://dx.doi.org/10.1080/0142159X.2023.2215621</v>
      </c>
      <c r="BG977" t="s">
        <v>74</v>
      </c>
      <c r="BH977" t="s">
        <v>74</v>
      </c>
      <c r="BI977">
        <v>2</v>
      </c>
      <c r="BJ977" t="s">
        <v>9391</v>
      </c>
      <c r="BK977" t="s">
        <v>102</v>
      </c>
      <c r="BL977" t="s">
        <v>9392</v>
      </c>
      <c r="BM977" t="s">
        <v>17380</v>
      </c>
      <c r="BN977">
        <v>37312255</v>
      </c>
      <c r="BO977" t="s">
        <v>74</v>
      </c>
      <c r="BP977" t="s">
        <v>74</v>
      </c>
      <c r="BQ977" t="s">
        <v>74</v>
      </c>
      <c r="BR977" t="s">
        <v>105</v>
      </c>
      <c r="BS977" t="s">
        <v>17381</v>
      </c>
      <c r="BT977" t="str">
        <f>HYPERLINK("https%3A%2F%2Fwww.webofscience.com%2Fwos%2Fwoscc%2Ffull-record%2FWOS:001010084300001","View Full Record in Web of Science")</f>
        <v>View Full Record in Web of Science</v>
      </c>
    </row>
    <row r="978" spans="1:72" x14ac:dyDescent="0.15">
      <c r="A978" t="s">
        <v>72</v>
      </c>
      <c r="B978" t="s">
        <v>17382</v>
      </c>
      <c r="C978" t="s">
        <v>74</v>
      </c>
      <c r="D978" t="s">
        <v>74</v>
      </c>
      <c r="E978" t="s">
        <v>74</v>
      </c>
      <c r="F978" t="s">
        <v>17383</v>
      </c>
      <c r="G978" t="s">
        <v>74</v>
      </c>
      <c r="H978" t="s">
        <v>74</v>
      </c>
      <c r="I978" t="s">
        <v>17384</v>
      </c>
      <c r="J978" t="s">
        <v>17385</v>
      </c>
      <c r="K978" t="s">
        <v>74</v>
      </c>
      <c r="L978" t="s">
        <v>74</v>
      </c>
      <c r="M978" t="s">
        <v>78</v>
      </c>
      <c r="N978" t="s">
        <v>5492</v>
      </c>
      <c r="O978" t="s">
        <v>74</v>
      </c>
      <c r="P978" t="s">
        <v>74</v>
      </c>
      <c r="Q978" t="s">
        <v>74</v>
      </c>
      <c r="R978" t="s">
        <v>74</v>
      </c>
      <c r="S978" t="s">
        <v>74</v>
      </c>
      <c r="T978" t="s">
        <v>17386</v>
      </c>
      <c r="U978" t="s">
        <v>17387</v>
      </c>
      <c r="V978" t="s">
        <v>17388</v>
      </c>
      <c r="W978" t="s">
        <v>17389</v>
      </c>
      <c r="X978" t="s">
        <v>17390</v>
      </c>
      <c r="Y978" t="s">
        <v>17391</v>
      </c>
      <c r="Z978" t="s">
        <v>17392</v>
      </c>
      <c r="AA978" t="s">
        <v>74</v>
      </c>
      <c r="AB978" t="s">
        <v>17393</v>
      </c>
      <c r="AC978" t="s">
        <v>17394</v>
      </c>
      <c r="AD978" t="s">
        <v>17395</v>
      </c>
      <c r="AE978" t="s">
        <v>17396</v>
      </c>
      <c r="AF978" t="s">
        <v>74</v>
      </c>
      <c r="AG978">
        <v>96</v>
      </c>
      <c r="AH978">
        <v>1</v>
      </c>
      <c r="AI978">
        <v>1</v>
      </c>
      <c r="AJ978">
        <v>8</v>
      </c>
      <c r="AK978">
        <v>8</v>
      </c>
      <c r="AL978" t="s">
        <v>1188</v>
      </c>
      <c r="AM978" t="s">
        <v>93</v>
      </c>
      <c r="AN978" t="s">
        <v>1189</v>
      </c>
      <c r="AO978" t="s">
        <v>17397</v>
      </c>
      <c r="AP978" t="s">
        <v>17398</v>
      </c>
      <c r="AQ978" t="s">
        <v>74</v>
      </c>
      <c r="AR978" t="s">
        <v>17399</v>
      </c>
      <c r="AS978" t="s">
        <v>17400</v>
      </c>
      <c r="AT978" t="s">
        <v>17401</v>
      </c>
      <c r="AU978">
        <v>2023</v>
      </c>
      <c r="AV978" t="s">
        <v>74</v>
      </c>
      <c r="AW978" t="s">
        <v>74</v>
      </c>
      <c r="AX978" t="s">
        <v>74</v>
      </c>
      <c r="AY978" t="s">
        <v>74</v>
      </c>
      <c r="AZ978" t="s">
        <v>74</v>
      </c>
      <c r="BA978" t="s">
        <v>74</v>
      </c>
      <c r="BB978" t="s">
        <v>74</v>
      </c>
      <c r="BC978" t="s">
        <v>74</v>
      </c>
      <c r="BD978" t="s">
        <v>74</v>
      </c>
      <c r="BE978" t="s">
        <v>17402</v>
      </c>
      <c r="BF978" t="str">
        <f>HYPERLINK("http://dx.doi.org/10.1080/14719037.2023.2229326","http://dx.doi.org/10.1080/14719037.2023.2229326")</f>
        <v>http://dx.doi.org/10.1080/14719037.2023.2229326</v>
      </c>
      <c r="BG978" t="s">
        <v>74</v>
      </c>
      <c r="BH978" t="s">
        <v>12687</v>
      </c>
      <c r="BI978">
        <v>22</v>
      </c>
      <c r="BJ978" t="s">
        <v>17403</v>
      </c>
      <c r="BK978" t="s">
        <v>272</v>
      </c>
      <c r="BL978" t="s">
        <v>17404</v>
      </c>
      <c r="BM978" t="s">
        <v>17405</v>
      </c>
      <c r="BN978" t="s">
        <v>74</v>
      </c>
      <c r="BO978" t="s">
        <v>887</v>
      </c>
      <c r="BP978" t="s">
        <v>74</v>
      </c>
      <c r="BQ978" t="s">
        <v>74</v>
      </c>
      <c r="BR978" t="s">
        <v>105</v>
      </c>
      <c r="BS978" t="s">
        <v>17406</v>
      </c>
      <c r="BT978" t="str">
        <f>HYPERLINK("https%3A%2F%2Fwww.webofscience.com%2Fwos%2Fwoscc%2Ffull-record%2FWOS:001018748300001","View Full Record in Web of Science")</f>
        <v>View Full Record in Web of Science</v>
      </c>
    </row>
    <row r="979" spans="1:72" x14ac:dyDescent="0.15">
      <c r="A979" t="s">
        <v>72</v>
      </c>
      <c r="B979" t="s">
        <v>17407</v>
      </c>
      <c r="C979" t="s">
        <v>74</v>
      </c>
      <c r="D979" t="s">
        <v>74</v>
      </c>
      <c r="E979" t="s">
        <v>74</v>
      </c>
      <c r="F979" t="s">
        <v>17408</v>
      </c>
      <c r="G979" t="s">
        <v>74</v>
      </c>
      <c r="H979" t="s">
        <v>74</v>
      </c>
      <c r="I979" t="s">
        <v>17409</v>
      </c>
      <c r="J979" t="s">
        <v>9028</v>
      </c>
      <c r="K979" t="s">
        <v>74</v>
      </c>
      <c r="L979" t="s">
        <v>74</v>
      </c>
      <c r="M979" t="s">
        <v>78</v>
      </c>
      <c r="N979" t="s">
        <v>5492</v>
      </c>
      <c r="O979" t="s">
        <v>74</v>
      </c>
      <c r="P979" t="s">
        <v>74</v>
      </c>
      <c r="Q979" t="s">
        <v>74</v>
      </c>
      <c r="R979" t="s">
        <v>74</v>
      </c>
      <c r="S979" t="s">
        <v>74</v>
      </c>
      <c r="T979" t="s">
        <v>17410</v>
      </c>
      <c r="U979" t="s">
        <v>17411</v>
      </c>
      <c r="V979" t="s">
        <v>17412</v>
      </c>
      <c r="W979" t="s">
        <v>17413</v>
      </c>
      <c r="X979" t="s">
        <v>17414</v>
      </c>
      <c r="Y979" t="s">
        <v>17415</v>
      </c>
      <c r="Z979" t="s">
        <v>17416</v>
      </c>
      <c r="AA979" t="s">
        <v>17417</v>
      </c>
      <c r="AB979" t="s">
        <v>17418</v>
      </c>
      <c r="AC979" t="s">
        <v>74</v>
      </c>
      <c r="AD979" t="s">
        <v>74</v>
      </c>
      <c r="AE979" t="s">
        <v>74</v>
      </c>
      <c r="AF979" t="s">
        <v>74</v>
      </c>
      <c r="AG979">
        <v>33</v>
      </c>
      <c r="AH979">
        <v>0</v>
      </c>
      <c r="AI979">
        <v>0</v>
      </c>
      <c r="AJ979">
        <v>0</v>
      </c>
      <c r="AK979">
        <v>0</v>
      </c>
      <c r="AL979" t="s">
        <v>92</v>
      </c>
      <c r="AM979" t="s">
        <v>93</v>
      </c>
      <c r="AN979" t="s">
        <v>94</v>
      </c>
      <c r="AO979" t="s">
        <v>9039</v>
      </c>
      <c r="AP979" t="s">
        <v>9040</v>
      </c>
      <c r="AQ979" t="s">
        <v>74</v>
      </c>
      <c r="AR979" t="s">
        <v>9041</v>
      </c>
      <c r="AS979" t="s">
        <v>9042</v>
      </c>
      <c r="AT979" t="s">
        <v>17401</v>
      </c>
      <c r="AU979">
        <v>2023</v>
      </c>
      <c r="AV979" t="s">
        <v>74</v>
      </c>
      <c r="AW979" t="s">
        <v>74</v>
      </c>
      <c r="AX979" t="s">
        <v>74</v>
      </c>
      <c r="AY979" t="s">
        <v>74</v>
      </c>
      <c r="AZ979" t="s">
        <v>74</v>
      </c>
      <c r="BA979" t="s">
        <v>74</v>
      </c>
      <c r="BB979" t="s">
        <v>74</v>
      </c>
      <c r="BC979" t="s">
        <v>74</v>
      </c>
      <c r="BD979" t="s">
        <v>74</v>
      </c>
      <c r="BE979" t="s">
        <v>17419</v>
      </c>
      <c r="BF979" t="str">
        <f>HYPERLINK("http://dx.doi.org/10.1080/09638288.2023.2232303","http://dx.doi.org/10.1080/09638288.2023.2232303")</f>
        <v>http://dx.doi.org/10.1080/09638288.2023.2232303</v>
      </c>
      <c r="BG979" t="s">
        <v>74</v>
      </c>
      <c r="BH979" t="s">
        <v>12687</v>
      </c>
      <c r="BI979">
        <v>8</v>
      </c>
      <c r="BJ979" t="s">
        <v>7824</v>
      </c>
      <c r="BK979" t="s">
        <v>123</v>
      </c>
      <c r="BL979" t="s">
        <v>7824</v>
      </c>
      <c r="BM979" t="s">
        <v>17420</v>
      </c>
      <c r="BN979">
        <v>37439008</v>
      </c>
      <c r="BO979" t="s">
        <v>5486</v>
      </c>
      <c r="BP979" t="s">
        <v>74</v>
      </c>
      <c r="BQ979" t="s">
        <v>74</v>
      </c>
      <c r="BR979" t="s">
        <v>105</v>
      </c>
      <c r="BS979" t="s">
        <v>17421</v>
      </c>
      <c r="BT979" t="str">
        <f>HYPERLINK("https%3A%2F%2Fwww.webofscience.com%2Fwos%2Fwoscc%2Ffull-record%2FWOS:001027524200001","View Full Record in Web of Science")</f>
        <v>View Full Record in Web of Science</v>
      </c>
    </row>
    <row r="980" spans="1:72" x14ac:dyDescent="0.15">
      <c r="A980" t="s">
        <v>72</v>
      </c>
      <c r="B980" t="s">
        <v>17422</v>
      </c>
      <c r="C980" t="s">
        <v>74</v>
      </c>
      <c r="D980" t="s">
        <v>74</v>
      </c>
      <c r="E980" t="s">
        <v>74</v>
      </c>
      <c r="F980" t="s">
        <v>17423</v>
      </c>
      <c r="G980" t="s">
        <v>74</v>
      </c>
      <c r="H980" t="s">
        <v>74</v>
      </c>
      <c r="I980" t="s">
        <v>17424</v>
      </c>
      <c r="J980" t="s">
        <v>17425</v>
      </c>
      <c r="K980" t="s">
        <v>74</v>
      </c>
      <c r="L980" t="s">
        <v>74</v>
      </c>
      <c r="M980" t="s">
        <v>78</v>
      </c>
      <c r="N980" t="s">
        <v>5492</v>
      </c>
      <c r="O980" t="s">
        <v>74</v>
      </c>
      <c r="P980" t="s">
        <v>74</v>
      </c>
      <c r="Q980" t="s">
        <v>74</v>
      </c>
      <c r="R980" t="s">
        <v>74</v>
      </c>
      <c r="S980" t="s">
        <v>74</v>
      </c>
      <c r="T980" t="s">
        <v>17426</v>
      </c>
      <c r="U980" t="s">
        <v>17427</v>
      </c>
      <c r="V980" t="s">
        <v>17428</v>
      </c>
      <c r="W980" t="s">
        <v>17429</v>
      </c>
      <c r="X980" t="s">
        <v>17430</v>
      </c>
      <c r="Y980" t="s">
        <v>17431</v>
      </c>
      <c r="Z980" t="s">
        <v>17432</v>
      </c>
      <c r="AA980" t="s">
        <v>74</v>
      </c>
      <c r="AB980" t="s">
        <v>17433</v>
      </c>
      <c r="AC980" t="s">
        <v>17434</v>
      </c>
      <c r="AD980" t="s">
        <v>17435</v>
      </c>
      <c r="AE980" t="s">
        <v>17436</v>
      </c>
      <c r="AF980" t="s">
        <v>74</v>
      </c>
      <c r="AG980">
        <v>71</v>
      </c>
      <c r="AH980">
        <v>0</v>
      </c>
      <c r="AI980">
        <v>0</v>
      </c>
      <c r="AJ980">
        <v>3</v>
      </c>
      <c r="AK980">
        <v>3</v>
      </c>
      <c r="AL980" t="s">
        <v>92</v>
      </c>
      <c r="AM980" t="s">
        <v>93</v>
      </c>
      <c r="AN980" t="s">
        <v>94</v>
      </c>
      <c r="AO980" t="s">
        <v>17437</v>
      </c>
      <c r="AP980" t="s">
        <v>17438</v>
      </c>
      <c r="AQ980" t="s">
        <v>74</v>
      </c>
      <c r="AR980" t="s">
        <v>17439</v>
      </c>
      <c r="AS980" t="s">
        <v>17440</v>
      </c>
      <c r="AT980" t="s">
        <v>17401</v>
      </c>
      <c r="AU980">
        <v>2023</v>
      </c>
      <c r="AV980" t="s">
        <v>74</v>
      </c>
      <c r="AW980" t="s">
        <v>74</v>
      </c>
      <c r="AX980" t="s">
        <v>74</v>
      </c>
      <c r="AY980" t="s">
        <v>74</v>
      </c>
      <c r="AZ980" t="s">
        <v>74</v>
      </c>
      <c r="BA980" t="s">
        <v>74</v>
      </c>
      <c r="BB980" t="s">
        <v>74</v>
      </c>
      <c r="BC980" t="s">
        <v>74</v>
      </c>
      <c r="BD980" t="s">
        <v>74</v>
      </c>
      <c r="BE980" t="s">
        <v>17441</v>
      </c>
      <c r="BF980" t="str">
        <f>HYPERLINK("http://dx.doi.org/10.1080/10429247.2023.2224707","http://dx.doi.org/10.1080/10429247.2023.2224707")</f>
        <v>http://dx.doi.org/10.1080/10429247.2023.2224707</v>
      </c>
      <c r="BG980" t="s">
        <v>74</v>
      </c>
      <c r="BH980" t="s">
        <v>12687</v>
      </c>
      <c r="BI980">
        <v>17</v>
      </c>
      <c r="BJ980" t="s">
        <v>17442</v>
      </c>
      <c r="BK980" t="s">
        <v>123</v>
      </c>
      <c r="BL980" t="s">
        <v>17443</v>
      </c>
      <c r="BM980" t="s">
        <v>17444</v>
      </c>
      <c r="BN980" t="s">
        <v>74</v>
      </c>
      <c r="BO980" t="s">
        <v>74</v>
      </c>
      <c r="BP980" t="s">
        <v>74</v>
      </c>
      <c r="BQ980" t="s">
        <v>74</v>
      </c>
      <c r="BR980" t="s">
        <v>105</v>
      </c>
      <c r="BS980" t="s">
        <v>17445</v>
      </c>
      <c r="BT980" t="str">
        <f>HYPERLINK("https%3A%2F%2Fwww.webofscience.com%2Fwos%2Fwoscc%2Ffull-record%2FWOS:001022670800001","View Full Record in Web of Science")</f>
        <v>View Full Record in Web of Science</v>
      </c>
    </row>
    <row r="981" spans="1:72" x14ac:dyDescent="0.15">
      <c r="A981" t="s">
        <v>72</v>
      </c>
      <c r="B981" t="s">
        <v>17446</v>
      </c>
      <c r="C981" t="s">
        <v>74</v>
      </c>
      <c r="D981" t="s">
        <v>74</v>
      </c>
      <c r="E981" t="s">
        <v>74</v>
      </c>
      <c r="F981" t="s">
        <v>17447</v>
      </c>
      <c r="G981" t="s">
        <v>74</v>
      </c>
      <c r="H981" t="s">
        <v>74</v>
      </c>
      <c r="I981" t="s">
        <v>17448</v>
      </c>
      <c r="J981" t="s">
        <v>16210</v>
      </c>
      <c r="K981" t="s">
        <v>74</v>
      </c>
      <c r="L981" t="s">
        <v>74</v>
      </c>
      <c r="M981" t="s">
        <v>78</v>
      </c>
      <c r="N981" t="s">
        <v>3443</v>
      </c>
      <c r="O981" t="s">
        <v>74</v>
      </c>
      <c r="P981" t="s">
        <v>74</v>
      </c>
      <c r="Q981" t="s">
        <v>74</v>
      </c>
      <c r="R981" t="s">
        <v>74</v>
      </c>
      <c r="S981" t="s">
        <v>74</v>
      </c>
      <c r="T981" t="s">
        <v>74</v>
      </c>
      <c r="U981" t="s">
        <v>74</v>
      </c>
      <c r="V981" t="s">
        <v>74</v>
      </c>
      <c r="W981" t="s">
        <v>17449</v>
      </c>
      <c r="X981" t="s">
        <v>17450</v>
      </c>
      <c r="Y981" t="s">
        <v>17451</v>
      </c>
      <c r="Z981" t="s">
        <v>17452</v>
      </c>
      <c r="AA981" t="s">
        <v>74</v>
      </c>
      <c r="AB981" t="s">
        <v>17453</v>
      </c>
      <c r="AC981" t="s">
        <v>74</v>
      </c>
      <c r="AD981" t="s">
        <v>74</v>
      </c>
      <c r="AE981" t="s">
        <v>74</v>
      </c>
      <c r="AF981" t="s">
        <v>74</v>
      </c>
      <c r="AG981">
        <v>1</v>
      </c>
      <c r="AH981">
        <v>0</v>
      </c>
      <c r="AI981">
        <v>0</v>
      </c>
      <c r="AJ981">
        <v>0</v>
      </c>
      <c r="AK981">
        <v>0</v>
      </c>
      <c r="AL981" t="s">
        <v>92</v>
      </c>
      <c r="AM981" t="s">
        <v>93</v>
      </c>
      <c r="AN981" t="s">
        <v>94</v>
      </c>
      <c r="AO981" t="s">
        <v>16217</v>
      </c>
      <c r="AP981" t="s">
        <v>16218</v>
      </c>
      <c r="AQ981" t="s">
        <v>74</v>
      </c>
      <c r="AR981" t="s">
        <v>16219</v>
      </c>
      <c r="AS981" t="s">
        <v>16220</v>
      </c>
      <c r="AT981" t="s">
        <v>12289</v>
      </c>
      <c r="AU981">
        <v>2023</v>
      </c>
      <c r="AV981">
        <v>16</v>
      </c>
      <c r="AW981">
        <v>3</v>
      </c>
      <c r="AX981" t="s">
        <v>74</v>
      </c>
      <c r="AY981" t="s">
        <v>74</v>
      </c>
      <c r="AZ981" t="s">
        <v>74</v>
      </c>
      <c r="BA981" t="s">
        <v>74</v>
      </c>
      <c r="BB981">
        <v>580</v>
      </c>
      <c r="BC981">
        <v>582</v>
      </c>
      <c r="BD981" t="s">
        <v>74</v>
      </c>
      <c r="BE981" t="s">
        <v>17454</v>
      </c>
      <c r="BF981" t="str">
        <f>HYPERLINK("http://dx.doi.org/10.1080/17539153.2023.2231716","http://dx.doi.org/10.1080/17539153.2023.2231716")</f>
        <v>http://dx.doi.org/10.1080/17539153.2023.2231716</v>
      </c>
      <c r="BG981" t="s">
        <v>74</v>
      </c>
      <c r="BH981" t="s">
        <v>12687</v>
      </c>
      <c r="BI981">
        <v>3</v>
      </c>
      <c r="BJ981" t="s">
        <v>6893</v>
      </c>
      <c r="BK981" t="s">
        <v>211</v>
      </c>
      <c r="BL981" t="s">
        <v>6894</v>
      </c>
      <c r="BM981" t="s">
        <v>16222</v>
      </c>
      <c r="BN981" t="s">
        <v>74</v>
      </c>
      <c r="BO981" t="s">
        <v>74</v>
      </c>
      <c r="BP981" t="s">
        <v>74</v>
      </c>
      <c r="BQ981" t="s">
        <v>74</v>
      </c>
      <c r="BR981" t="s">
        <v>105</v>
      </c>
      <c r="BS981" t="s">
        <v>17455</v>
      </c>
      <c r="BT981" t="str">
        <f>HYPERLINK("https%3A%2F%2Fwww.webofscience.com%2Fwos%2Fwoscc%2Ffull-record%2FWOS:001021915400001","View Full Record in Web of Science")</f>
        <v>View Full Record in Web of Science</v>
      </c>
    </row>
    <row r="982" spans="1:72" x14ac:dyDescent="0.15">
      <c r="A982" t="s">
        <v>72</v>
      </c>
      <c r="B982" t="s">
        <v>17456</v>
      </c>
      <c r="C982" t="s">
        <v>74</v>
      </c>
      <c r="D982" t="s">
        <v>74</v>
      </c>
      <c r="E982" t="s">
        <v>74</v>
      </c>
      <c r="F982" t="s">
        <v>17457</v>
      </c>
      <c r="G982" t="s">
        <v>74</v>
      </c>
      <c r="H982" t="s">
        <v>74</v>
      </c>
      <c r="I982" t="s">
        <v>17458</v>
      </c>
      <c r="J982" t="s">
        <v>17459</v>
      </c>
      <c r="K982" t="s">
        <v>74</v>
      </c>
      <c r="L982" t="s">
        <v>74</v>
      </c>
      <c r="M982" t="s">
        <v>78</v>
      </c>
      <c r="N982" t="s">
        <v>79</v>
      </c>
      <c r="O982" t="s">
        <v>74</v>
      </c>
      <c r="P982" t="s">
        <v>74</v>
      </c>
      <c r="Q982" t="s">
        <v>74</v>
      </c>
      <c r="R982" t="s">
        <v>74</v>
      </c>
      <c r="S982" t="s">
        <v>74</v>
      </c>
      <c r="T982" t="s">
        <v>17460</v>
      </c>
      <c r="U982" t="s">
        <v>17461</v>
      </c>
      <c r="V982" t="s">
        <v>17462</v>
      </c>
      <c r="W982" t="s">
        <v>17463</v>
      </c>
      <c r="X982" t="s">
        <v>17464</v>
      </c>
      <c r="Y982" t="s">
        <v>17465</v>
      </c>
      <c r="Z982" t="s">
        <v>17466</v>
      </c>
      <c r="AA982" t="s">
        <v>17467</v>
      </c>
      <c r="AB982" t="s">
        <v>74</v>
      </c>
      <c r="AC982" t="s">
        <v>74</v>
      </c>
      <c r="AD982" t="s">
        <v>74</v>
      </c>
      <c r="AE982" t="s">
        <v>74</v>
      </c>
      <c r="AF982" t="s">
        <v>74</v>
      </c>
      <c r="AG982">
        <v>60</v>
      </c>
      <c r="AH982">
        <v>0</v>
      </c>
      <c r="AI982">
        <v>0</v>
      </c>
      <c r="AJ982">
        <v>13</v>
      </c>
      <c r="AK982">
        <v>13</v>
      </c>
      <c r="AL982" t="s">
        <v>1188</v>
      </c>
      <c r="AM982" t="s">
        <v>93</v>
      </c>
      <c r="AN982" t="s">
        <v>1189</v>
      </c>
      <c r="AO982" t="s">
        <v>17468</v>
      </c>
      <c r="AP982" t="s">
        <v>17469</v>
      </c>
      <c r="AQ982" t="s">
        <v>74</v>
      </c>
      <c r="AR982" t="s">
        <v>17470</v>
      </c>
      <c r="AS982" t="s">
        <v>17471</v>
      </c>
      <c r="AT982" t="s">
        <v>12289</v>
      </c>
      <c r="AU982">
        <v>2023</v>
      </c>
      <c r="AV982">
        <v>10</v>
      </c>
      <c r="AW982">
        <v>3</v>
      </c>
      <c r="AX982" t="s">
        <v>74</v>
      </c>
      <c r="AY982" t="s">
        <v>74</v>
      </c>
      <c r="AZ982" t="s">
        <v>74</v>
      </c>
      <c r="BA982" t="s">
        <v>74</v>
      </c>
      <c r="BB982">
        <v>493</v>
      </c>
      <c r="BC982">
        <v>515</v>
      </c>
      <c r="BD982" t="s">
        <v>74</v>
      </c>
      <c r="BE982" t="s">
        <v>17472</v>
      </c>
      <c r="BF982" t="str">
        <f>HYPERLINK("http://dx.doi.org/10.1080/23270012.2023.2229842","http://dx.doi.org/10.1080/23270012.2023.2229842")</f>
        <v>http://dx.doi.org/10.1080/23270012.2023.2229842</v>
      </c>
      <c r="BG982" t="s">
        <v>74</v>
      </c>
      <c r="BH982" t="s">
        <v>12687</v>
      </c>
      <c r="BI982">
        <v>23</v>
      </c>
      <c r="BJ982" t="s">
        <v>17473</v>
      </c>
      <c r="BK982" t="s">
        <v>272</v>
      </c>
      <c r="BL982" t="s">
        <v>17474</v>
      </c>
      <c r="BM982" t="s">
        <v>17475</v>
      </c>
      <c r="BN982" t="s">
        <v>74</v>
      </c>
      <c r="BO982" t="s">
        <v>74</v>
      </c>
      <c r="BP982" t="s">
        <v>74</v>
      </c>
      <c r="BQ982" t="s">
        <v>74</v>
      </c>
      <c r="BR982" t="s">
        <v>105</v>
      </c>
      <c r="BS982" t="s">
        <v>17476</v>
      </c>
      <c r="BT982" t="str">
        <f>HYPERLINK("https%3A%2F%2Fwww.webofscience.com%2Fwos%2Fwoscc%2Ffull-record%2FWOS:001018761200001","View Full Record in Web of Science")</f>
        <v>View Full Record in Web of Science</v>
      </c>
    </row>
    <row r="983" spans="1:72" x14ac:dyDescent="0.15">
      <c r="A983" t="s">
        <v>72</v>
      </c>
      <c r="B983" t="s">
        <v>17477</v>
      </c>
      <c r="C983" t="s">
        <v>74</v>
      </c>
      <c r="D983" t="s">
        <v>74</v>
      </c>
      <c r="E983" t="s">
        <v>74</v>
      </c>
      <c r="F983" t="s">
        <v>17478</v>
      </c>
      <c r="G983" t="s">
        <v>74</v>
      </c>
      <c r="H983" t="s">
        <v>74</v>
      </c>
      <c r="I983" t="s">
        <v>17479</v>
      </c>
      <c r="J983" t="s">
        <v>11367</v>
      </c>
      <c r="K983" t="s">
        <v>74</v>
      </c>
      <c r="L983" t="s">
        <v>74</v>
      </c>
      <c r="M983" t="s">
        <v>78</v>
      </c>
      <c r="N983" t="s">
        <v>5492</v>
      </c>
      <c r="O983" t="s">
        <v>74</v>
      </c>
      <c r="P983" t="s">
        <v>74</v>
      </c>
      <c r="Q983" t="s">
        <v>74</v>
      </c>
      <c r="R983" t="s">
        <v>74</v>
      </c>
      <c r="S983" t="s">
        <v>74</v>
      </c>
      <c r="T983" t="s">
        <v>17480</v>
      </c>
      <c r="U983" t="s">
        <v>17481</v>
      </c>
      <c r="V983" t="s">
        <v>17482</v>
      </c>
      <c r="W983" t="s">
        <v>17483</v>
      </c>
      <c r="X983" t="s">
        <v>17484</v>
      </c>
      <c r="Y983" t="s">
        <v>17485</v>
      </c>
      <c r="Z983" t="s">
        <v>17486</v>
      </c>
      <c r="AA983" t="s">
        <v>74</v>
      </c>
      <c r="AB983" t="s">
        <v>17487</v>
      </c>
      <c r="AC983" t="s">
        <v>74</v>
      </c>
      <c r="AD983" t="s">
        <v>74</v>
      </c>
      <c r="AE983" t="s">
        <v>74</v>
      </c>
      <c r="AF983" t="s">
        <v>74</v>
      </c>
      <c r="AG983">
        <v>48</v>
      </c>
      <c r="AH983">
        <v>0</v>
      </c>
      <c r="AI983">
        <v>0</v>
      </c>
      <c r="AJ983">
        <v>0</v>
      </c>
      <c r="AK983">
        <v>0</v>
      </c>
      <c r="AL983" t="s">
        <v>92</v>
      </c>
      <c r="AM983" t="s">
        <v>93</v>
      </c>
      <c r="AN983" t="s">
        <v>94</v>
      </c>
      <c r="AO983" t="s">
        <v>11375</v>
      </c>
      <c r="AP983" t="s">
        <v>11376</v>
      </c>
      <c r="AQ983" t="s">
        <v>74</v>
      </c>
      <c r="AR983" t="s">
        <v>11377</v>
      </c>
      <c r="AS983" t="s">
        <v>11378</v>
      </c>
      <c r="AT983" t="s">
        <v>17488</v>
      </c>
      <c r="AU983">
        <v>2023</v>
      </c>
      <c r="AV983" t="s">
        <v>74</v>
      </c>
      <c r="AW983" t="s">
        <v>74</v>
      </c>
      <c r="AX983" t="s">
        <v>74</v>
      </c>
      <c r="AY983" t="s">
        <v>74</v>
      </c>
      <c r="AZ983" t="s">
        <v>74</v>
      </c>
      <c r="BA983" t="s">
        <v>74</v>
      </c>
      <c r="BB983" t="s">
        <v>74</v>
      </c>
      <c r="BC983" t="s">
        <v>74</v>
      </c>
      <c r="BD983" t="s">
        <v>74</v>
      </c>
      <c r="BE983" t="s">
        <v>17489</v>
      </c>
      <c r="BF983" t="str">
        <f>HYPERLINK("http://dx.doi.org/10.1080/10428194.2023.2232490","http://dx.doi.org/10.1080/10428194.2023.2232490")</f>
        <v>http://dx.doi.org/10.1080/10428194.2023.2232490</v>
      </c>
      <c r="BG983" t="s">
        <v>74</v>
      </c>
      <c r="BH983" t="s">
        <v>12687</v>
      </c>
      <c r="BI983">
        <v>9</v>
      </c>
      <c r="BJ983" t="s">
        <v>11380</v>
      </c>
      <c r="BK983" t="s">
        <v>102</v>
      </c>
      <c r="BL983" t="s">
        <v>11380</v>
      </c>
      <c r="BM983" t="s">
        <v>17490</v>
      </c>
      <c r="BN983">
        <v>37424258</v>
      </c>
      <c r="BO983" t="s">
        <v>74</v>
      </c>
      <c r="BP983" t="s">
        <v>74</v>
      </c>
      <c r="BQ983" t="s">
        <v>74</v>
      </c>
      <c r="BR983" t="s">
        <v>105</v>
      </c>
      <c r="BS983" t="s">
        <v>17491</v>
      </c>
      <c r="BT983" t="str">
        <f>HYPERLINK("https%3A%2F%2Fwww.webofscience.com%2Fwos%2Fwoscc%2Ffull-record%2FWOS:001023070000001","View Full Record in Web of Science")</f>
        <v>View Full Record in Web of Science</v>
      </c>
    </row>
    <row r="984" spans="1:72" x14ac:dyDescent="0.15">
      <c r="A984" t="s">
        <v>72</v>
      </c>
      <c r="B984" t="s">
        <v>17492</v>
      </c>
      <c r="C984" t="s">
        <v>74</v>
      </c>
      <c r="D984" t="s">
        <v>74</v>
      </c>
      <c r="E984" t="s">
        <v>74</v>
      </c>
      <c r="F984" t="s">
        <v>17493</v>
      </c>
      <c r="G984" t="s">
        <v>74</v>
      </c>
      <c r="H984" t="s">
        <v>74</v>
      </c>
      <c r="I984" t="s">
        <v>17494</v>
      </c>
      <c r="J984" t="s">
        <v>17495</v>
      </c>
      <c r="K984" t="s">
        <v>74</v>
      </c>
      <c r="L984" t="s">
        <v>74</v>
      </c>
      <c r="M984" t="s">
        <v>78</v>
      </c>
      <c r="N984" t="s">
        <v>5492</v>
      </c>
      <c r="O984" t="s">
        <v>74</v>
      </c>
      <c r="P984" t="s">
        <v>74</v>
      </c>
      <c r="Q984" t="s">
        <v>74</v>
      </c>
      <c r="R984" t="s">
        <v>74</v>
      </c>
      <c r="S984" t="s">
        <v>74</v>
      </c>
      <c r="T984" t="s">
        <v>17496</v>
      </c>
      <c r="U984" t="s">
        <v>74</v>
      </c>
      <c r="V984" t="s">
        <v>17497</v>
      </c>
      <c r="W984" t="s">
        <v>17498</v>
      </c>
      <c r="X984" t="s">
        <v>17499</v>
      </c>
      <c r="Y984" t="s">
        <v>17500</v>
      </c>
      <c r="Z984" t="s">
        <v>17501</v>
      </c>
      <c r="AA984" t="s">
        <v>74</v>
      </c>
      <c r="AB984" t="s">
        <v>17502</v>
      </c>
      <c r="AC984" t="s">
        <v>74</v>
      </c>
      <c r="AD984" t="s">
        <v>74</v>
      </c>
      <c r="AE984" t="s">
        <v>74</v>
      </c>
      <c r="AF984" t="s">
        <v>74</v>
      </c>
      <c r="AG984">
        <v>54</v>
      </c>
      <c r="AH984">
        <v>0</v>
      </c>
      <c r="AI984">
        <v>0</v>
      </c>
      <c r="AJ984">
        <v>0</v>
      </c>
      <c r="AK984">
        <v>0</v>
      </c>
      <c r="AL984" t="s">
        <v>1188</v>
      </c>
      <c r="AM984" t="s">
        <v>93</v>
      </c>
      <c r="AN984" t="s">
        <v>1189</v>
      </c>
      <c r="AO984" t="s">
        <v>17503</v>
      </c>
      <c r="AP984" t="s">
        <v>17504</v>
      </c>
      <c r="AQ984" t="s">
        <v>74</v>
      </c>
      <c r="AR984" t="s">
        <v>17495</v>
      </c>
      <c r="AS984" t="s">
        <v>17505</v>
      </c>
      <c r="AT984" t="s">
        <v>17488</v>
      </c>
      <c r="AU984">
        <v>2023</v>
      </c>
      <c r="AV984" t="s">
        <v>74</v>
      </c>
      <c r="AW984" t="s">
        <v>74</v>
      </c>
      <c r="AX984" t="s">
        <v>74</v>
      </c>
      <c r="AY984" t="s">
        <v>74</v>
      </c>
      <c r="AZ984" t="s">
        <v>74</v>
      </c>
      <c r="BA984" t="s">
        <v>74</v>
      </c>
      <c r="BB984" t="s">
        <v>74</v>
      </c>
      <c r="BC984" t="s">
        <v>74</v>
      </c>
      <c r="BD984" t="s">
        <v>74</v>
      </c>
      <c r="BE984" t="s">
        <v>17506</v>
      </c>
      <c r="BF984" t="str">
        <f>HYPERLINK("http://dx.doi.org/10.1080/1554480X.2023.2230954","http://dx.doi.org/10.1080/1554480X.2023.2230954")</f>
        <v>http://dx.doi.org/10.1080/1554480X.2023.2230954</v>
      </c>
      <c r="BG984" t="s">
        <v>74</v>
      </c>
      <c r="BH984" t="s">
        <v>12687</v>
      </c>
      <c r="BI984">
        <v>18</v>
      </c>
      <c r="BJ984" t="s">
        <v>271</v>
      </c>
      <c r="BK984" t="s">
        <v>211</v>
      </c>
      <c r="BL984" t="s">
        <v>271</v>
      </c>
      <c r="BM984" t="s">
        <v>17507</v>
      </c>
      <c r="BN984" t="s">
        <v>74</v>
      </c>
      <c r="BO984" t="s">
        <v>74</v>
      </c>
      <c r="BP984" t="s">
        <v>74</v>
      </c>
      <c r="BQ984" t="s">
        <v>74</v>
      </c>
      <c r="BR984" t="s">
        <v>105</v>
      </c>
      <c r="BS984" t="s">
        <v>17508</v>
      </c>
      <c r="BT984" t="str">
        <f>HYPERLINK("https%3A%2F%2Fwww.webofscience.com%2Fwos%2Fwoscc%2Ffull-record%2FWOS:001021914400001","View Full Record in Web of Science")</f>
        <v>View Full Record in Web of Science</v>
      </c>
    </row>
    <row r="985" spans="1:72" x14ac:dyDescent="0.15">
      <c r="A985" t="s">
        <v>72</v>
      </c>
      <c r="B985" t="s">
        <v>17509</v>
      </c>
      <c r="C985" t="s">
        <v>74</v>
      </c>
      <c r="D985" t="s">
        <v>74</v>
      </c>
      <c r="E985" t="s">
        <v>74</v>
      </c>
      <c r="F985" t="s">
        <v>17510</v>
      </c>
      <c r="G985" t="s">
        <v>74</v>
      </c>
      <c r="H985" t="s">
        <v>74</v>
      </c>
      <c r="I985" t="s">
        <v>17511</v>
      </c>
      <c r="J985" t="s">
        <v>7467</v>
      </c>
      <c r="K985" t="s">
        <v>74</v>
      </c>
      <c r="L985" t="s">
        <v>74</v>
      </c>
      <c r="M985" t="s">
        <v>78</v>
      </c>
      <c r="N985" t="s">
        <v>5492</v>
      </c>
      <c r="O985" t="s">
        <v>74</v>
      </c>
      <c r="P985" t="s">
        <v>74</v>
      </c>
      <c r="Q985" t="s">
        <v>74</v>
      </c>
      <c r="R985" t="s">
        <v>74</v>
      </c>
      <c r="S985" t="s">
        <v>74</v>
      </c>
      <c r="T985" t="s">
        <v>17512</v>
      </c>
      <c r="U985" t="s">
        <v>17513</v>
      </c>
      <c r="V985" t="s">
        <v>17514</v>
      </c>
      <c r="W985" t="s">
        <v>17515</v>
      </c>
      <c r="X985" t="s">
        <v>17516</v>
      </c>
      <c r="Y985" t="s">
        <v>17517</v>
      </c>
      <c r="Z985" t="s">
        <v>17518</v>
      </c>
      <c r="AA985" t="s">
        <v>74</v>
      </c>
      <c r="AB985" t="s">
        <v>74</v>
      </c>
      <c r="AC985" t="s">
        <v>74</v>
      </c>
      <c r="AD985" t="s">
        <v>74</v>
      </c>
      <c r="AE985" t="s">
        <v>74</v>
      </c>
      <c r="AF985" t="s">
        <v>74</v>
      </c>
      <c r="AG985">
        <v>68</v>
      </c>
      <c r="AH985">
        <v>0</v>
      </c>
      <c r="AI985">
        <v>0</v>
      </c>
      <c r="AJ985">
        <v>0</v>
      </c>
      <c r="AK985">
        <v>0</v>
      </c>
      <c r="AL985" t="s">
        <v>1188</v>
      </c>
      <c r="AM985" t="s">
        <v>93</v>
      </c>
      <c r="AN985" t="s">
        <v>1189</v>
      </c>
      <c r="AO985" t="s">
        <v>7479</v>
      </c>
      <c r="AP985" t="s">
        <v>7480</v>
      </c>
      <c r="AQ985" t="s">
        <v>74</v>
      </c>
      <c r="AR985" t="s">
        <v>7481</v>
      </c>
      <c r="AS985" t="s">
        <v>7482</v>
      </c>
      <c r="AT985" t="s">
        <v>17488</v>
      </c>
      <c r="AU985">
        <v>2023</v>
      </c>
      <c r="AV985" t="s">
        <v>74</v>
      </c>
      <c r="AW985" t="s">
        <v>74</v>
      </c>
      <c r="AX985" t="s">
        <v>74</v>
      </c>
      <c r="AY985" t="s">
        <v>74</v>
      </c>
      <c r="AZ985" t="s">
        <v>74</v>
      </c>
      <c r="BA985" t="s">
        <v>74</v>
      </c>
      <c r="BB985" t="s">
        <v>74</v>
      </c>
      <c r="BC985" t="s">
        <v>74</v>
      </c>
      <c r="BD985" t="s">
        <v>74</v>
      </c>
      <c r="BE985" t="s">
        <v>17519</v>
      </c>
      <c r="BF985" t="str">
        <f>HYPERLINK("http://dx.doi.org/10.1080/13563467.2023.2230557","http://dx.doi.org/10.1080/13563467.2023.2230557")</f>
        <v>http://dx.doi.org/10.1080/13563467.2023.2230557</v>
      </c>
      <c r="BG985" t="s">
        <v>74</v>
      </c>
      <c r="BH985" t="s">
        <v>12687</v>
      </c>
      <c r="BI985">
        <v>14</v>
      </c>
      <c r="BJ985" t="s">
        <v>7485</v>
      </c>
      <c r="BK985" t="s">
        <v>272</v>
      </c>
      <c r="BL985" t="s">
        <v>7486</v>
      </c>
      <c r="BM985" t="s">
        <v>17520</v>
      </c>
      <c r="BN985" t="s">
        <v>74</v>
      </c>
      <c r="BO985" t="s">
        <v>74</v>
      </c>
      <c r="BP985" t="s">
        <v>74</v>
      </c>
      <c r="BQ985" t="s">
        <v>74</v>
      </c>
      <c r="BR985" t="s">
        <v>105</v>
      </c>
      <c r="BS985" t="s">
        <v>17521</v>
      </c>
      <c r="BT985" t="str">
        <f>HYPERLINK("https%3A%2F%2Fwww.webofscience.com%2Fwos%2Fwoscc%2Ffull-record%2FWOS:001022987800001","View Full Record in Web of Science")</f>
        <v>View Full Record in Web of Science</v>
      </c>
    </row>
    <row r="986" spans="1:72" x14ac:dyDescent="0.15">
      <c r="A986" t="s">
        <v>72</v>
      </c>
      <c r="B986" t="s">
        <v>17522</v>
      </c>
      <c r="C986" t="s">
        <v>74</v>
      </c>
      <c r="D986" t="s">
        <v>74</v>
      </c>
      <c r="E986" t="s">
        <v>74</v>
      </c>
      <c r="F986" t="s">
        <v>17523</v>
      </c>
      <c r="G986" t="s">
        <v>74</v>
      </c>
      <c r="H986" t="s">
        <v>74</v>
      </c>
      <c r="I986" t="s">
        <v>17524</v>
      </c>
      <c r="J986" t="s">
        <v>17525</v>
      </c>
      <c r="K986" t="s">
        <v>74</v>
      </c>
      <c r="L986" t="s">
        <v>74</v>
      </c>
      <c r="M986" t="s">
        <v>78</v>
      </c>
      <c r="N986" t="s">
        <v>6754</v>
      </c>
      <c r="O986" t="s">
        <v>74</v>
      </c>
      <c r="P986" t="s">
        <v>74</v>
      </c>
      <c r="Q986" t="s">
        <v>74</v>
      </c>
      <c r="R986" t="s">
        <v>74</v>
      </c>
      <c r="S986" t="s">
        <v>74</v>
      </c>
      <c r="T986" t="s">
        <v>17526</v>
      </c>
      <c r="U986" t="s">
        <v>17527</v>
      </c>
      <c r="V986" t="s">
        <v>17528</v>
      </c>
      <c r="W986" t="s">
        <v>17529</v>
      </c>
      <c r="X986" t="s">
        <v>17530</v>
      </c>
      <c r="Y986" t="s">
        <v>17531</v>
      </c>
      <c r="Z986" t="s">
        <v>17532</v>
      </c>
      <c r="AA986" t="s">
        <v>74</v>
      </c>
      <c r="AB986" t="s">
        <v>17533</v>
      </c>
      <c r="AC986" t="s">
        <v>74</v>
      </c>
      <c r="AD986" t="s">
        <v>74</v>
      </c>
      <c r="AE986" t="s">
        <v>74</v>
      </c>
      <c r="AF986" t="s">
        <v>74</v>
      </c>
      <c r="AG986">
        <v>70</v>
      </c>
      <c r="AH986">
        <v>0</v>
      </c>
      <c r="AI986">
        <v>0</v>
      </c>
      <c r="AJ986">
        <v>2</v>
      </c>
      <c r="AK986">
        <v>2</v>
      </c>
      <c r="AL986" t="s">
        <v>1188</v>
      </c>
      <c r="AM986" t="s">
        <v>93</v>
      </c>
      <c r="AN986" t="s">
        <v>1189</v>
      </c>
      <c r="AO986" t="s">
        <v>17534</v>
      </c>
      <c r="AP986" t="s">
        <v>17535</v>
      </c>
      <c r="AQ986" t="s">
        <v>74</v>
      </c>
      <c r="AR986" t="s">
        <v>17536</v>
      </c>
      <c r="AS986" t="s">
        <v>17537</v>
      </c>
      <c r="AT986" t="s">
        <v>17488</v>
      </c>
      <c r="AU986">
        <v>2023</v>
      </c>
      <c r="AV986" t="s">
        <v>74</v>
      </c>
      <c r="AW986" t="s">
        <v>74</v>
      </c>
      <c r="AX986" t="s">
        <v>74</v>
      </c>
      <c r="AY986" t="s">
        <v>74</v>
      </c>
      <c r="AZ986" t="s">
        <v>74</v>
      </c>
      <c r="BA986" t="s">
        <v>74</v>
      </c>
      <c r="BB986" t="s">
        <v>74</v>
      </c>
      <c r="BC986" t="s">
        <v>74</v>
      </c>
      <c r="BD986" t="s">
        <v>74</v>
      </c>
      <c r="BE986" t="s">
        <v>17538</v>
      </c>
      <c r="BF986" t="str">
        <f>HYPERLINK("http://dx.doi.org/10.1080/19491247.2023.2232200","http://dx.doi.org/10.1080/19491247.2023.2232200")</f>
        <v>http://dx.doi.org/10.1080/19491247.2023.2232200</v>
      </c>
      <c r="BG986" t="s">
        <v>74</v>
      </c>
      <c r="BH986" t="s">
        <v>12687</v>
      </c>
      <c r="BI986">
        <v>38</v>
      </c>
      <c r="BJ986" t="s">
        <v>17539</v>
      </c>
      <c r="BK986" t="s">
        <v>272</v>
      </c>
      <c r="BL986" t="s">
        <v>17540</v>
      </c>
      <c r="BM986" t="s">
        <v>17541</v>
      </c>
      <c r="BN986" t="s">
        <v>74</v>
      </c>
      <c r="BO986" t="s">
        <v>887</v>
      </c>
      <c r="BP986" t="s">
        <v>74</v>
      </c>
      <c r="BQ986" t="s">
        <v>74</v>
      </c>
      <c r="BR986" t="s">
        <v>105</v>
      </c>
      <c r="BS986" t="s">
        <v>17542</v>
      </c>
      <c r="BT986" t="str">
        <f>HYPERLINK("https%3A%2F%2Fwww.webofscience.com%2Fwos%2Fwoscc%2Ffull-record%2FWOS:001050515400001","View Full Record in Web of Science")</f>
        <v>View Full Record in Web of Science</v>
      </c>
    </row>
    <row r="987" spans="1:72" x14ac:dyDescent="0.15">
      <c r="A987" t="s">
        <v>72</v>
      </c>
      <c r="B987" t="s">
        <v>17543</v>
      </c>
      <c r="C987" t="s">
        <v>74</v>
      </c>
      <c r="D987" t="s">
        <v>74</v>
      </c>
      <c r="E987" t="s">
        <v>74</v>
      </c>
      <c r="F987" t="s">
        <v>17544</v>
      </c>
      <c r="G987" t="s">
        <v>74</v>
      </c>
      <c r="H987" t="s">
        <v>74</v>
      </c>
      <c r="I987" t="s">
        <v>17545</v>
      </c>
      <c r="J987" t="s">
        <v>12827</v>
      </c>
      <c r="K987" t="s">
        <v>74</v>
      </c>
      <c r="L987" t="s">
        <v>74</v>
      </c>
      <c r="M987" t="s">
        <v>78</v>
      </c>
      <c r="N987" t="s">
        <v>5492</v>
      </c>
      <c r="O987" t="s">
        <v>74</v>
      </c>
      <c r="P987" t="s">
        <v>74</v>
      </c>
      <c r="Q987" t="s">
        <v>74</v>
      </c>
      <c r="R987" t="s">
        <v>74</v>
      </c>
      <c r="S987" t="s">
        <v>74</v>
      </c>
      <c r="T987" t="s">
        <v>17546</v>
      </c>
      <c r="U987" t="s">
        <v>17547</v>
      </c>
      <c r="V987" t="s">
        <v>17548</v>
      </c>
      <c r="W987" t="s">
        <v>17549</v>
      </c>
      <c r="X987" t="s">
        <v>17550</v>
      </c>
      <c r="Y987" t="s">
        <v>17551</v>
      </c>
      <c r="Z987" t="s">
        <v>17552</v>
      </c>
      <c r="AA987" t="s">
        <v>74</v>
      </c>
      <c r="AB987" t="s">
        <v>17553</v>
      </c>
      <c r="AC987" t="s">
        <v>74</v>
      </c>
      <c r="AD987" t="s">
        <v>74</v>
      </c>
      <c r="AE987" t="s">
        <v>74</v>
      </c>
      <c r="AF987" t="s">
        <v>74</v>
      </c>
      <c r="AG987">
        <v>39</v>
      </c>
      <c r="AH987">
        <v>0</v>
      </c>
      <c r="AI987">
        <v>0</v>
      </c>
      <c r="AJ987">
        <v>0</v>
      </c>
      <c r="AK987">
        <v>0</v>
      </c>
      <c r="AL987" t="s">
        <v>1188</v>
      </c>
      <c r="AM987" t="s">
        <v>93</v>
      </c>
      <c r="AN987" t="s">
        <v>1189</v>
      </c>
      <c r="AO987" t="s">
        <v>12839</v>
      </c>
      <c r="AP987" t="s">
        <v>12840</v>
      </c>
      <c r="AQ987" t="s">
        <v>74</v>
      </c>
      <c r="AR987" t="s">
        <v>12841</v>
      </c>
      <c r="AS987" t="s">
        <v>12842</v>
      </c>
      <c r="AT987" t="s">
        <v>17488</v>
      </c>
      <c r="AU987">
        <v>2023</v>
      </c>
      <c r="AV987" t="s">
        <v>74</v>
      </c>
      <c r="AW987" t="s">
        <v>74</v>
      </c>
      <c r="AX987" t="s">
        <v>74</v>
      </c>
      <c r="AY987" t="s">
        <v>74</v>
      </c>
      <c r="AZ987" t="s">
        <v>74</v>
      </c>
      <c r="BA987" t="s">
        <v>74</v>
      </c>
      <c r="BB987" t="s">
        <v>74</v>
      </c>
      <c r="BC987" t="s">
        <v>74</v>
      </c>
      <c r="BD987" t="s">
        <v>74</v>
      </c>
      <c r="BE987" t="s">
        <v>17554</v>
      </c>
      <c r="BF987" t="str">
        <f>HYPERLINK("http://dx.doi.org/10.1080/09650792.2023.2230593","http://dx.doi.org/10.1080/09650792.2023.2230593")</f>
        <v>http://dx.doi.org/10.1080/09650792.2023.2230593</v>
      </c>
      <c r="BG987" t="s">
        <v>74</v>
      </c>
      <c r="BH987" t="s">
        <v>12687</v>
      </c>
      <c r="BI987">
        <v>17</v>
      </c>
      <c r="BJ987" t="s">
        <v>271</v>
      </c>
      <c r="BK987" t="s">
        <v>211</v>
      </c>
      <c r="BL987" t="s">
        <v>271</v>
      </c>
      <c r="BM987" t="s">
        <v>17555</v>
      </c>
      <c r="BN987" t="s">
        <v>74</v>
      </c>
      <c r="BO987" t="s">
        <v>74</v>
      </c>
      <c r="BP987" t="s">
        <v>74</v>
      </c>
      <c r="BQ987" t="s">
        <v>74</v>
      </c>
      <c r="BR987" t="s">
        <v>105</v>
      </c>
      <c r="BS987" t="s">
        <v>17556</v>
      </c>
      <c r="BT987" t="str">
        <f>HYPERLINK("https%3A%2F%2Fwww.webofscience.com%2Fwos%2Fwoscc%2Ffull-record%2FWOS:001019911700001","View Full Record in Web of Science")</f>
        <v>View Full Record in Web of Science</v>
      </c>
    </row>
    <row r="988" spans="1:72" x14ac:dyDescent="0.15">
      <c r="A988" t="s">
        <v>72</v>
      </c>
      <c r="B988" t="s">
        <v>17557</v>
      </c>
      <c r="C988" t="s">
        <v>74</v>
      </c>
      <c r="D988" t="s">
        <v>74</v>
      </c>
      <c r="E988" t="s">
        <v>74</v>
      </c>
      <c r="F988" t="s">
        <v>17558</v>
      </c>
      <c r="G988" t="s">
        <v>74</v>
      </c>
      <c r="H988" t="s">
        <v>74</v>
      </c>
      <c r="I988" t="s">
        <v>17559</v>
      </c>
      <c r="J988" t="s">
        <v>6564</v>
      </c>
      <c r="K988" t="s">
        <v>74</v>
      </c>
      <c r="L988" t="s">
        <v>74</v>
      </c>
      <c r="M988" t="s">
        <v>78</v>
      </c>
      <c r="N988" t="s">
        <v>5492</v>
      </c>
      <c r="O988" t="s">
        <v>74</v>
      </c>
      <c r="P988" t="s">
        <v>74</v>
      </c>
      <c r="Q988" t="s">
        <v>74</v>
      </c>
      <c r="R988" t="s">
        <v>74</v>
      </c>
      <c r="S988" t="s">
        <v>74</v>
      </c>
      <c r="T988" t="s">
        <v>17560</v>
      </c>
      <c r="U988" t="s">
        <v>17561</v>
      </c>
      <c r="V988" t="s">
        <v>17562</v>
      </c>
      <c r="W988" t="s">
        <v>17563</v>
      </c>
      <c r="X988" t="s">
        <v>17564</v>
      </c>
      <c r="Y988" t="s">
        <v>17565</v>
      </c>
      <c r="Z988" t="s">
        <v>17566</v>
      </c>
      <c r="AA988" t="s">
        <v>17567</v>
      </c>
      <c r="AB988" t="s">
        <v>17568</v>
      </c>
      <c r="AC988" t="s">
        <v>17569</v>
      </c>
      <c r="AD988" t="s">
        <v>17570</v>
      </c>
      <c r="AE988" t="s">
        <v>17571</v>
      </c>
      <c r="AF988" t="s">
        <v>74</v>
      </c>
      <c r="AG988">
        <v>23</v>
      </c>
      <c r="AH988">
        <v>0</v>
      </c>
      <c r="AI988">
        <v>0</v>
      </c>
      <c r="AJ988">
        <v>1</v>
      </c>
      <c r="AK988">
        <v>1</v>
      </c>
      <c r="AL988" t="s">
        <v>92</v>
      </c>
      <c r="AM988" t="s">
        <v>93</v>
      </c>
      <c r="AN988" t="s">
        <v>94</v>
      </c>
      <c r="AO988" t="s">
        <v>6575</v>
      </c>
      <c r="AP988" t="s">
        <v>6576</v>
      </c>
      <c r="AQ988" t="s">
        <v>74</v>
      </c>
      <c r="AR988" t="s">
        <v>6577</v>
      </c>
      <c r="AS988" t="s">
        <v>6578</v>
      </c>
      <c r="AT988" t="s">
        <v>17488</v>
      </c>
      <c r="AU988">
        <v>2023</v>
      </c>
      <c r="AV988" t="s">
        <v>74</v>
      </c>
      <c r="AW988" t="s">
        <v>74</v>
      </c>
      <c r="AX988" t="s">
        <v>74</v>
      </c>
      <c r="AY988" t="s">
        <v>74</v>
      </c>
      <c r="AZ988" t="s">
        <v>74</v>
      </c>
      <c r="BA988" t="s">
        <v>74</v>
      </c>
      <c r="BB988" t="s">
        <v>74</v>
      </c>
      <c r="BC988" t="s">
        <v>74</v>
      </c>
      <c r="BD988" t="s">
        <v>74</v>
      </c>
      <c r="BE988" t="s">
        <v>17572</v>
      </c>
      <c r="BF988" t="str">
        <f>HYPERLINK("http://dx.doi.org/10.1080/14786419.2023.2232083","http://dx.doi.org/10.1080/14786419.2023.2232083")</f>
        <v>http://dx.doi.org/10.1080/14786419.2023.2232083</v>
      </c>
      <c r="BG988" t="s">
        <v>74</v>
      </c>
      <c r="BH988" t="s">
        <v>12687</v>
      </c>
      <c r="BI988">
        <v>8</v>
      </c>
      <c r="BJ988" t="s">
        <v>6580</v>
      </c>
      <c r="BK988" t="s">
        <v>102</v>
      </c>
      <c r="BL988" t="s">
        <v>6581</v>
      </c>
      <c r="BM988" t="s">
        <v>17573</v>
      </c>
      <c r="BN988">
        <v>37436783</v>
      </c>
      <c r="BO988" t="s">
        <v>5486</v>
      </c>
      <c r="BP988" t="s">
        <v>74</v>
      </c>
      <c r="BQ988" t="s">
        <v>74</v>
      </c>
      <c r="BR988" t="s">
        <v>105</v>
      </c>
      <c r="BS988" t="s">
        <v>17574</v>
      </c>
      <c r="BT988" t="str">
        <f>HYPERLINK("https%3A%2F%2Fwww.webofscience.com%2Fwos%2Fwoscc%2Ffull-record%2FWOS:001026775800001","View Full Record in Web of Science")</f>
        <v>View Full Record in Web of Science</v>
      </c>
    </row>
    <row r="989" spans="1:72" x14ac:dyDescent="0.15">
      <c r="A989" t="s">
        <v>72</v>
      </c>
      <c r="B989" t="s">
        <v>17575</v>
      </c>
      <c r="C989" t="s">
        <v>74</v>
      </c>
      <c r="D989" t="s">
        <v>74</v>
      </c>
      <c r="E989" t="s">
        <v>74</v>
      </c>
      <c r="F989" t="s">
        <v>17576</v>
      </c>
      <c r="G989" t="s">
        <v>74</v>
      </c>
      <c r="H989" t="s">
        <v>74</v>
      </c>
      <c r="I989" t="s">
        <v>17577</v>
      </c>
      <c r="J989" t="s">
        <v>7155</v>
      </c>
      <c r="K989" t="s">
        <v>74</v>
      </c>
      <c r="L989" t="s">
        <v>74</v>
      </c>
      <c r="M989" t="s">
        <v>78</v>
      </c>
      <c r="N989" t="s">
        <v>5492</v>
      </c>
      <c r="O989" t="s">
        <v>74</v>
      </c>
      <c r="P989" t="s">
        <v>74</v>
      </c>
      <c r="Q989" t="s">
        <v>74</v>
      </c>
      <c r="R989" t="s">
        <v>74</v>
      </c>
      <c r="S989" t="s">
        <v>74</v>
      </c>
      <c r="T989" t="s">
        <v>17578</v>
      </c>
      <c r="U989" t="s">
        <v>74</v>
      </c>
      <c r="V989" t="s">
        <v>17579</v>
      </c>
      <c r="W989" t="s">
        <v>17580</v>
      </c>
      <c r="X989" t="s">
        <v>74</v>
      </c>
      <c r="Y989" t="s">
        <v>17581</v>
      </c>
      <c r="Z989" t="s">
        <v>17582</v>
      </c>
      <c r="AA989" t="s">
        <v>74</v>
      </c>
      <c r="AB989" t="s">
        <v>74</v>
      </c>
      <c r="AC989" t="s">
        <v>74</v>
      </c>
      <c r="AD989" t="s">
        <v>74</v>
      </c>
      <c r="AE989" t="s">
        <v>74</v>
      </c>
      <c r="AF989" t="s">
        <v>74</v>
      </c>
      <c r="AG989">
        <v>88</v>
      </c>
      <c r="AH989">
        <v>0</v>
      </c>
      <c r="AI989">
        <v>0</v>
      </c>
      <c r="AJ989">
        <v>0</v>
      </c>
      <c r="AK989">
        <v>0</v>
      </c>
      <c r="AL989" t="s">
        <v>1188</v>
      </c>
      <c r="AM989" t="s">
        <v>93</v>
      </c>
      <c r="AN989" t="s">
        <v>1189</v>
      </c>
      <c r="AO989" t="s">
        <v>7163</v>
      </c>
      <c r="AP989" t="s">
        <v>7164</v>
      </c>
      <c r="AQ989" t="s">
        <v>74</v>
      </c>
      <c r="AR989" t="s">
        <v>7165</v>
      </c>
      <c r="AS989" t="s">
        <v>7166</v>
      </c>
      <c r="AT989" t="s">
        <v>17488</v>
      </c>
      <c r="AU989">
        <v>2023</v>
      </c>
      <c r="AV989" t="s">
        <v>74</v>
      </c>
      <c r="AW989" t="s">
        <v>74</v>
      </c>
      <c r="AX989" t="s">
        <v>74</v>
      </c>
      <c r="AY989" t="s">
        <v>74</v>
      </c>
      <c r="AZ989" t="s">
        <v>74</v>
      </c>
      <c r="BA989" t="s">
        <v>74</v>
      </c>
      <c r="BB989" t="s">
        <v>74</v>
      </c>
      <c r="BC989" t="s">
        <v>74</v>
      </c>
      <c r="BD989" t="s">
        <v>74</v>
      </c>
      <c r="BE989" t="s">
        <v>17583</v>
      </c>
      <c r="BF989" t="str">
        <f>HYPERLINK("http://dx.doi.org/10.1080/00856401.2023.2218237","http://dx.doi.org/10.1080/00856401.2023.2218237")</f>
        <v>http://dx.doi.org/10.1080/00856401.2023.2218237</v>
      </c>
      <c r="BG989" t="s">
        <v>74</v>
      </c>
      <c r="BH989" t="s">
        <v>12687</v>
      </c>
      <c r="BI989">
        <v>18</v>
      </c>
      <c r="BJ989" t="s">
        <v>7169</v>
      </c>
      <c r="BK989" t="s">
        <v>7170</v>
      </c>
      <c r="BL989" t="s">
        <v>7169</v>
      </c>
      <c r="BM989" t="s">
        <v>17584</v>
      </c>
      <c r="BN989" t="s">
        <v>74</v>
      </c>
      <c r="BO989" t="s">
        <v>74</v>
      </c>
      <c r="BP989" t="s">
        <v>74</v>
      </c>
      <c r="BQ989" t="s">
        <v>74</v>
      </c>
      <c r="BR989" t="s">
        <v>105</v>
      </c>
      <c r="BS989" t="s">
        <v>17585</v>
      </c>
      <c r="BT989" t="str">
        <f>HYPERLINK("https%3A%2F%2Fwww.webofscience.com%2Fwos%2Fwoscc%2Ffull-record%2FWOS:001022165600001","View Full Record in Web of Science")</f>
        <v>View Full Record in Web of Science</v>
      </c>
    </row>
    <row r="990" spans="1:72" x14ac:dyDescent="0.15">
      <c r="A990" t="s">
        <v>72</v>
      </c>
      <c r="B990" t="s">
        <v>17586</v>
      </c>
      <c r="C990" t="s">
        <v>74</v>
      </c>
      <c r="D990" t="s">
        <v>74</v>
      </c>
      <c r="E990" t="s">
        <v>74</v>
      </c>
      <c r="F990" t="s">
        <v>17587</v>
      </c>
      <c r="G990" t="s">
        <v>74</v>
      </c>
      <c r="H990" t="s">
        <v>74</v>
      </c>
      <c r="I990" t="s">
        <v>17588</v>
      </c>
      <c r="J990" t="s">
        <v>17589</v>
      </c>
      <c r="K990" t="s">
        <v>74</v>
      </c>
      <c r="L990" t="s">
        <v>74</v>
      </c>
      <c r="M990" t="s">
        <v>78</v>
      </c>
      <c r="N990" t="s">
        <v>5492</v>
      </c>
      <c r="O990" t="s">
        <v>74</v>
      </c>
      <c r="P990" t="s">
        <v>74</v>
      </c>
      <c r="Q990" t="s">
        <v>74</v>
      </c>
      <c r="R990" t="s">
        <v>74</v>
      </c>
      <c r="S990" t="s">
        <v>74</v>
      </c>
      <c r="T990" t="s">
        <v>17590</v>
      </c>
      <c r="U990" t="s">
        <v>74</v>
      </c>
      <c r="V990" t="s">
        <v>17591</v>
      </c>
      <c r="W990" t="s">
        <v>17592</v>
      </c>
      <c r="X990" t="s">
        <v>17593</v>
      </c>
      <c r="Y990" t="s">
        <v>17594</v>
      </c>
      <c r="Z990" t="s">
        <v>17595</v>
      </c>
      <c r="AA990" t="s">
        <v>74</v>
      </c>
      <c r="AB990" t="s">
        <v>74</v>
      </c>
      <c r="AC990" t="s">
        <v>74</v>
      </c>
      <c r="AD990" t="s">
        <v>74</v>
      </c>
      <c r="AE990" t="s">
        <v>74</v>
      </c>
      <c r="AF990" t="s">
        <v>74</v>
      </c>
      <c r="AG990">
        <v>35</v>
      </c>
      <c r="AH990">
        <v>0</v>
      </c>
      <c r="AI990">
        <v>0</v>
      </c>
      <c r="AJ990">
        <v>2</v>
      </c>
      <c r="AK990">
        <v>2</v>
      </c>
      <c r="AL990" t="s">
        <v>1188</v>
      </c>
      <c r="AM990" t="s">
        <v>93</v>
      </c>
      <c r="AN990" t="s">
        <v>1189</v>
      </c>
      <c r="AO990" t="s">
        <v>17596</v>
      </c>
      <c r="AP990" t="s">
        <v>17597</v>
      </c>
      <c r="AQ990" t="s">
        <v>74</v>
      </c>
      <c r="AR990" t="s">
        <v>17598</v>
      </c>
      <c r="AS990" t="s">
        <v>17599</v>
      </c>
      <c r="AT990" t="s">
        <v>17488</v>
      </c>
      <c r="AU990">
        <v>2023</v>
      </c>
      <c r="AV990" t="s">
        <v>74</v>
      </c>
      <c r="AW990" t="s">
        <v>74</v>
      </c>
      <c r="AX990" t="s">
        <v>74</v>
      </c>
      <c r="AY990" t="s">
        <v>74</v>
      </c>
      <c r="AZ990" t="s">
        <v>74</v>
      </c>
      <c r="BA990" t="s">
        <v>74</v>
      </c>
      <c r="BB990" t="s">
        <v>74</v>
      </c>
      <c r="BC990" t="s">
        <v>74</v>
      </c>
      <c r="BD990" t="s">
        <v>74</v>
      </c>
      <c r="BE990" t="s">
        <v>17600</v>
      </c>
      <c r="BF990" t="str">
        <f>HYPERLINK("http://dx.doi.org/10.1080/0907676X.2023.2227386","http://dx.doi.org/10.1080/0907676X.2023.2227386")</f>
        <v>http://dx.doi.org/10.1080/0907676X.2023.2227386</v>
      </c>
      <c r="BG990" t="s">
        <v>74</v>
      </c>
      <c r="BH990" t="s">
        <v>12687</v>
      </c>
      <c r="BI990">
        <v>14</v>
      </c>
      <c r="BJ990" t="s">
        <v>8183</v>
      </c>
      <c r="BK990" t="s">
        <v>7170</v>
      </c>
      <c r="BL990" t="s">
        <v>8184</v>
      </c>
      <c r="BM990" t="s">
        <v>17601</v>
      </c>
      <c r="BN990" t="s">
        <v>74</v>
      </c>
      <c r="BO990" t="s">
        <v>74</v>
      </c>
      <c r="BP990" t="s">
        <v>74</v>
      </c>
      <c r="BQ990" t="s">
        <v>74</v>
      </c>
      <c r="BR990" t="s">
        <v>105</v>
      </c>
      <c r="BS990" t="s">
        <v>17602</v>
      </c>
      <c r="BT990" t="str">
        <f>HYPERLINK("https%3A%2F%2Fwww.webofscience.com%2Fwos%2Fwoscc%2Ffull-record%2FWOS:001021417800001","View Full Record in Web of Science")</f>
        <v>View Full Record in Web of Science</v>
      </c>
    </row>
    <row r="991" spans="1:72" x14ac:dyDescent="0.15">
      <c r="A991" t="s">
        <v>72</v>
      </c>
      <c r="B991" t="s">
        <v>17603</v>
      </c>
      <c r="C991" t="s">
        <v>74</v>
      </c>
      <c r="D991" t="s">
        <v>74</v>
      </c>
      <c r="E991" t="s">
        <v>74</v>
      </c>
      <c r="F991" t="s">
        <v>17604</v>
      </c>
      <c r="G991" t="s">
        <v>74</v>
      </c>
      <c r="H991" t="s">
        <v>74</v>
      </c>
      <c r="I991" t="s">
        <v>17605</v>
      </c>
      <c r="J991" t="s">
        <v>5679</v>
      </c>
      <c r="K991" t="s">
        <v>74</v>
      </c>
      <c r="L991" t="s">
        <v>74</v>
      </c>
      <c r="M991" t="s">
        <v>78</v>
      </c>
      <c r="N991" t="s">
        <v>5492</v>
      </c>
      <c r="O991" t="s">
        <v>74</v>
      </c>
      <c r="P991" t="s">
        <v>74</v>
      </c>
      <c r="Q991" t="s">
        <v>74</v>
      </c>
      <c r="R991" t="s">
        <v>74</v>
      </c>
      <c r="S991" t="s">
        <v>74</v>
      </c>
      <c r="T991" t="s">
        <v>17606</v>
      </c>
      <c r="U991" t="s">
        <v>17607</v>
      </c>
      <c r="V991" t="s">
        <v>17608</v>
      </c>
      <c r="W991" t="s">
        <v>17609</v>
      </c>
      <c r="X991" t="s">
        <v>17610</v>
      </c>
      <c r="Y991" t="s">
        <v>17611</v>
      </c>
      <c r="Z991" t="s">
        <v>17612</v>
      </c>
      <c r="AA991" t="s">
        <v>74</v>
      </c>
      <c r="AB991" t="s">
        <v>74</v>
      </c>
      <c r="AC991" t="s">
        <v>17613</v>
      </c>
      <c r="AD991" t="s">
        <v>17614</v>
      </c>
      <c r="AE991" t="s">
        <v>17615</v>
      </c>
      <c r="AF991" t="s">
        <v>74</v>
      </c>
      <c r="AG991">
        <v>19</v>
      </c>
      <c r="AH991">
        <v>0</v>
      </c>
      <c r="AI991">
        <v>0</v>
      </c>
      <c r="AJ991">
        <v>1</v>
      </c>
      <c r="AK991">
        <v>1</v>
      </c>
      <c r="AL991" t="s">
        <v>184</v>
      </c>
      <c r="AM991" t="s">
        <v>185</v>
      </c>
      <c r="AN991" t="s">
        <v>186</v>
      </c>
      <c r="AO991" t="s">
        <v>5689</v>
      </c>
      <c r="AP991" t="s">
        <v>5690</v>
      </c>
      <c r="AQ991" t="s">
        <v>74</v>
      </c>
      <c r="AR991" t="s">
        <v>5691</v>
      </c>
      <c r="AS991" t="s">
        <v>5692</v>
      </c>
      <c r="AT991" t="s">
        <v>17616</v>
      </c>
      <c r="AU991">
        <v>2023</v>
      </c>
      <c r="AV991" t="s">
        <v>74</v>
      </c>
      <c r="AW991" t="s">
        <v>74</v>
      </c>
      <c r="AX991" t="s">
        <v>74</v>
      </c>
      <c r="AY991" t="s">
        <v>74</v>
      </c>
      <c r="AZ991" t="s">
        <v>74</v>
      </c>
      <c r="BA991" t="s">
        <v>74</v>
      </c>
      <c r="BB991" t="s">
        <v>74</v>
      </c>
      <c r="BC991" t="s">
        <v>74</v>
      </c>
      <c r="BD991" t="s">
        <v>74</v>
      </c>
      <c r="BE991" t="s">
        <v>17617</v>
      </c>
      <c r="BF991" t="str">
        <f>HYPERLINK("http://dx.doi.org/10.1080/02726351.2023.2230548","http://dx.doi.org/10.1080/02726351.2023.2230548")</f>
        <v>http://dx.doi.org/10.1080/02726351.2023.2230548</v>
      </c>
      <c r="BG991" t="s">
        <v>74</v>
      </c>
      <c r="BH991" t="s">
        <v>17618</v>
      </c>
      <c r="BI991">
        <v>6</v>
      </c>
      <c r="BJ991" t="s">
        <v>2840</v>
      </c>
      <c r="BK991" t="s">
        <v>102</v>
      </c>
      <c r="BL991" t="s">
        <v>1095</v>
      </c>
      <c r="BM991" t="s">
        <v>17619</v>
      </c>
      <c r="BN991" t="s">
        <v>74</v>
      </c>
      <c r="BO991" t="s">
        <v>74</v>
      </c>
      <c r="BP991" t="s">
        <v>74</v>
      </c>
      <c r="BQ991" t="s">
        <v>74</v>
      </c>
      <c r="BR991" t="s">
        <v>105</v>
      </c>
      <c r="BS991" t="s">
        <v>17620</v>
      </c>
      <c r="BT991" t="str">
        <f>HYPERLINK("https%3A%2F%2Fwww.webofscience.com%2Fwos%2Fwoscc%2Ffull-record%2FWOS:001021416300001","View Full Record in Web of Science")</f>
        <v>View Full Record in Web of Science</v>
      </c>
    </row>
    <row r="992" spans="1:72" x14ac:dyDescent="0.15">
      <c r="A992" t="s">
        <v>72</v>
      </c>
      <c r="B992" t="s">
        <v>17621</v>
      </c>
      <c r="C992" t="s">
        <v>74</v>
      </c>
      <c r="D992" t="s">
        <v>74</v>
      </c>
      <c r="E992" t="s">
        <v>74</v>
      </c>
      <c r="F992" t="s">
        <v>17622</v>
      </c>
      <c r="G992" t="s">
        <v>74</v>
      </c>
      <c r="H992" t="s">
        <v>74</v>
      </c>
      <c r="I992" t="s">
        <v>17623</v>
      </c>
      <c r="J992" t="s">
        <v>17624</v>
      </c>
      <c r="K992" t="s">
        <v>74</v>
      </c>
      <c r="L992" t="s">
        <v>74</v>
      </c>
      <c r="M992" t="s">
        <v>78</v>
      </c>
      <c r="N992" t="s">
        <v>5492</v>
      </c>
      <c r="O992" t="s">
        <v>74</v>
      </c>
      <c r="P992" t="s">
        <v>74</v>
      </c>
      <c r="Q992" t="s">
        <v>74</v>
      </c>
      <c r="R992" t="s">
        <v>74</v>
      </c>
      <c r="S992" t="s">
        <v>74</v>
      </c>
      <c r="T992" t="s">
        <v>17625</v>
      </c>
      <c r="U992" t="s">
        <v>17626</v>
      </c>
      <c r="V992" t="s">
        <v>17627</v>
      </c>
      <c r="W992" t="s">
        <v>17628</v>
      </c>
      <c r="X992" t="s">
        <v>17629</v>
      </c>
      <c r="Y992" t="s">
        <v>17630</v>
      </c>
      <c r="Z992" t="s">
        <v>17631</v>
      </c>
      <c r="AA992" t="s">
        <v>74</v>
      </c>
      <c r="AB992" t="s">
        <v>74</v>
      </c>
      <c r="AC992" t="s">
        <v>17632</v>
      </c>
      <c r="AD992" t="s">
        <v>17633</v>
      </c>
      <c r="AE992" t="s">
        <v>17634</v>
      </c>
      <c r="AF992" t="s">
        <v>74</v>
      </c>
      <c r="AG992">
        <v>44</v>
      </c>
      <c r="AH992">
        <v>1</v>
      </c>
      <c r="AI992">
        <v>1</v>
      </c>
      <c r="AJ992">
        <v>2</v>
      </c>
      <c r="AK992">
        <v>2</v>
      </c>
      <c r="AL992" t="s">
        <v>184</v>
      </c>
      <c r="AM992" t="s">
        <v>185</v>
      </c>
      <c r="AN992" t="s">
        <v>186</v>
      </c>
      <c r="AO992" t="s">
        <v>17635</v>
      </c>
      <c r="AP992" t="s">
        <v>17636</v>
      </c>
      <c r="AQ992" t="s">
        <v>74</v>
      </c>
      <c r="AR992" t="s">
        <v>17637</v>
      </c>
      <c r="AS992" t="s">
        <v>17638</v>
      </c>
      <c r="AT992" t="s">
        <v>17616</v>
      </c>
      <c r="AU992">
        <v>2023</v>
      </c>
      <c r="AV992" t="s">
        <v>74</v>
      </c>
      <c r="AW992" t="s">
        <v>74</v>
      </c>
      <c r="AX992" t="s">
        <v>74</v>
      </c>
      <c r="AY992" t="s">
        <v>74</v>
      </c>
      <c r="AZ992" t="s">
        <v>74</v>
      </c>
      <c r="BA992" t="s">
        <v>74</v>
      </c>
      <c r="BB992" t="s">
        <v>74</v>
      </c>
      <c r="BC992" t="s">
        <v>74</v>
      </c>
      <c r="BD992" t="s">
        <v>74</v>
      </c>
      <c r="BE992" t="s">
        <v>17639</v>
      </c>
      <c r="BF992" t="str">
        <f>HYPERLINK("http://dx.doi.org/10.1080/10618600.2023.2218428","http://dx.doi.org/10.1080/10618600.2023.2218428")</f>
        <v>http://dx.doi.org/10.1080/10618600.2023.2218428</v>
      </c>
      <c r="BG992" t="s">
        <v>74</v>
      </c>
      <c r="BH992" t="s">
        <v>17618</v>
      </c>
      <c r="BI992">
        <v>14</v>
      </c>
      <c r="BJ992" t="s">
        <v>5630</v>
      </c>
      <c r="BK992" t="s">
        <v>102</v>
      </c>
      <c r="BL992" t="s">
        <v>5435</v>
      </c>
      <c r="BM992" t="s">
        <v>17640</v>
      </c>
      <c r="BN992" t="s">
        <v>74</v>
      </c>
      <c r="BO992" t="s">
        <v>74</v>
      </c>
      <c r="BP992" t="s">
        <v>74</v>
      </c>
      <c r="BQ992" t="s">
        <v>74</v>
      </c>
      <c r="BR992" t="s">
        <v>105</v>
      </c>
      <c r="BS992" t="s">
        <v>17641</v>
      </c>
      <c r="BT992" t="str">
        <f>HYPERLINK("https%3A%2F%2Fwww.webofscience.com%2Fwos%2Fwoscc%2Ffull-record%2FWOS:001026552100001","View Full Record in Web of Science")</f>
        <v>View Full Record in Web of Science</v>
      </c>
    </row>
    <row r="993" spans="1:72" x14ac:dyDescent="0.15">
      <c r="A993" t="s">
        <v>72</v>
      </c>
      <c r="B993" t="s">
        <v>17642</v>
      </c>
      <c r="C993" t="s">
        <v>74</v>
      </c>
      <c r="D993" t="s">
        <v>74</v>
      </c>
      <c r="E993" t="s">
        <v>74</v>
      </c>
      <c r="F993" t="s">
        <v>17643</v>
      </c>
      <c r="G993" t="s">
        <v>74</v>
      </c>
      <c r="H993" t="s">
        <v>74</v>
      </c>
      <c r="I993" t="s">
        <v>17644</v>
      </c>
      <c r="J993" t="s">
        <v>5916</v>
      </c>
      <c r="K993" t="s">
        <v>74</v>
      </c>
      <c r="L993" t="s">
        <v>74</v>
      </c>
      <c r="M993" t="s">
        <v>78</v>
      </c>
      <c r="N993" t="s">
        <v>5492</v>
      </c>
      <c r="O993" t="s">
        <v>74</v>
      </c>
      <c r="P993" t="s">
        <v>74</v>
      </c>
      <c r="Q993" t="s">
        <v>74</v>
      </c>
      <c r="R993" t="s">
        <v>74</v>
      </c>
      <c r="S993" t="s">
        <v>74</v>
      </c>
      <c r="T993" t="s">
        <v>17645</v>
      </c>
      <c r="U993" t="s">
        <v>74</v>
      </c>
      <c r="V993" t="s">
        <v>17646</v>
      </c>
      <c r="W993" t="s">
        <v>17647</v>
      </c>
      <c r="X993" t="s">
        <v>5920</v>
      </c>
      <c r="Y993" t="s">
        <v>17648</v>
      </c>
      <c r="Z993" t="s">
        <v>5922</v>
      </c>
      <c r="AA993" t="s">
        <v>74</v>
      </c>
      <c r="AB993" t="s">
        <v>74</v>
      </c>
      <c r="AC993" t="s">
        <v>74</v>
      </c>
      <c r="AD993" t="s">
        <v>74</v>
      </c>
      <c r="AE993" t="s">
        <v>74</v>
      </c>
      <c r="AF993" t="s">
        <v>74</v>
      </c>
      <c r="AG993">
        <v>38</v>
      </c>
      <c r="AH993">
        <v>0</v>
      </c>
      <c r="AI993">
        <v>0</v>
      </c>
      <c r="AJ993">
        <v>4</v>
      </c>
      <c r="AK993">
        <v>4</v>
      </c>
      <c r="AL993" t="s">
        <v>92</v>
      </c>
      <c r="AM993" t="s">
        <v>93</v>
      </c>
      <c r="AN993" t="s">
        <v>94</v>
      </c>
      <c r="AO993" t="s">
        <v>5925</v>
      </c>
      <c r="AP993" t="s">
        <v>5926</v>
      </c>
      <c r="AQ993" t="s">
        <v>74</v>
      </c>
      <c r="AR993" t="s">
        <v>5927</v>
      </c>
      <c r="AS993" t="s">
        <v>5928</v>
      </c>
      <c r="AT993" t="s">
        <v>17616</v>
      </c>
      <c r="AU993">
        <v>2023</v>
      </c>
      <c r="AV993" t="s">
        <v>74</v>
      </c>
      <c r="AW993" t="s">
        <v>74</v>
      </c>
      <c r="AX993" t="s">
        <v>74</v>
      </c>
      <c r="AY993" t="s">
        <v>74</v>
      </c>
      <c r="AZ993" t="s">
        <v>74</v>
      </c>
      <c r="BA993" t="s">
        <v>74</v>
      </c>
      <c r="BB993" t="s">
        <v>74</v>
      </c>
      <c r="BC993" t="s">
        <v>74</v>
      </c>
      <c r="BD993" t="s">
        <v>74</v>
      </c>
      <c r="BE993" t="s">
        <v>17649</v>
      </c>
      <c r="BF993" t="str">
        <f>HYPERLINK("http://dx.doi.org/10.1080/0952813X.2023.2222720","http://dx.doi.org/10.1080/0952813X.2023.2222720")</f>
        <v>http://dx.doi.org/10.1080/0952813X.2023.2222720</v>
      </c>
      <c r="BG993" t="s">
        <v>74</v>
      </c>
      <c r="BH993" t="s">
        <v>17618</v>
      </c>
      <c r="BI993">
        <v>17</v>
      </c>
      <c r="BJ993" t="s">
        <v>5930</v>
      </c>
      <c r="BK993" t="s">
        <v>102</v>
      </c>
      <c r="BL993" t="s">
        <v>2621</v>
      </c>
      <c r="BM993" t="s">
        <v>17650</v>
      </c>
      <c r="BN993" t="s">
        <v>74</v>
      </c>
      <c r="BO993" t="s">
        <v>74</v>
      </c>
      <c r="BP993" t="s">
        <v>74</v>
      </c>
      <c r="BQ993" t="s">
        <v>74</v>
      </c>
      <c r="BR993" t="s">
        <v>105</v>
      </c>
      <c r="BS993" t="s">
        <v>17651</v>
      </c>
      <c r="BT993" t="str">
        <f>HYPERLINK("https%3A%2F%2Fwww.webofscience.com%2Fwos%2Fwoscc%2Ffull-record%2FWOS:001019903800001","View Full Record in Web of Science")</f>
        <v>View Full Record in Web of Science</v>
      </c>
    </row>
    <row r="994" spans="1:72" x14ac:dyDescent="0.15">
      <c r="A994" t="s">
        <v>72</v>
      </c>
      <c r="B994" t="s">
        <v>17652</v>
      </c>
      <c r="C994" t="s">
        <v>74</v>
      </c>
      <c r="D994" t="s">
        <v>74</v>
      </c>
      <c r="E994" t="s">
        <v>74</v>
      </c>
      <c r="F994" t="s">
        <v>17653</v>
      </c>
      <c r="G994" t="s">
        <v>74</v>
      </c>
      <c r="H994" t="s">
        <v>74</v>
      </c>
      <c r="I994" t="s">
        <v>17654</v>
      </c>
      <c r="J994" t="s">
        <v>17655</v>
      </c>
      <c r="K994" t="s">
        <v>74</v>
      </c>
      <c r="L994" t="s">
        <v>74</v>
      </c>
      <c r="M994" t="s">
        <v>78</v>
      </c>
      <c r="N994" t="s">
        <v>5492</v>
      </c>
      <c r="O994" t="s">
        <v>74</v>
      </c>
      <c r="P994" t="s">
        <v>74</v>
      </c>
      <c r="Q994" t="s">
        <v>74</v>
      </c>
      <c r="R994" t="s">
        <v>74</v>
      </c>
      <c r="S994" t="s">
        <v>74</v>
      </c>
      <c r="T994" t="s">
        <v>17656</v>
      </c>
      <c r="U994" t="s">
        <v>17657</v>
      </c>
      <c r="V994" t="s">
        <v>17658</v>
      </c>
      <c r="W994" t="s">
        <v>17659</v>
      </c>
      <c r="X994" t="s">
        <v>17660</v>
      </c>
      <c r="Y994" t="s">
        <v>17661</v>
      </c>
      <c r="Z994" t="s">
        <v>17662</v>
      </c>
      <c r="AA994" t="s">
        <v>74</v>
      </c>
      <c r="AB994" t="s">
        <v>17663</v>
      </c>
      <c r="AC994" t="s">
        <v>17664</v>
      </c>
      <c r="AD994" t="s">
        <v>17665</v>
      </c>
      <c r="AE994" t="s">
        <v>17666</v>
      </c>
      <c r="AF994" t="s">
        <v>74</v>
      </c>
      <c r="AG994">
        <v>79</v>
      </c>
      <c r="AH994">
        <v>0</v>
      </c>
      <c r="AI994">
        <v>0</v>
      </c>
      <c r="AJ994">
        <v>3</v>
      </c>
      <c r="AK994">
        <v>3</v>
      </c>
      <c r="AL994" t="s">
        <v>1188</v>
      </c>
      <c r="AM994" t="s">
        <v>93</v>
      </c>
      <c r="AN994" t="s">
        <v>1189</v>
      </c>
      <c r="AO994" t="s">
        <v>17667</v>
      </c>
      <c r="AP994" t="s">
        <v>17668</v>
      </c>
      <c r="AQ994" t="s">
        <v>74</v>
      </c>
      <c r="AR994" t="s">
        <v>17669</v>
      </c>
      <c r="AS994" t="s">
        <v>17670</v>
      </c>
      <c r="AT994" t="s">
        <v>17616</v>
      </c>
      <c r="AU994">
        <v>2023</v>
      </c>
      <c r="AV994" t="s">
        <v>74</v>
      </c>
      <c r="AW994" t="s">
        <v>74</v>
      </c>
      <c r="AX994" t="s">
        <v>74</v>
      </c>
      <c r="AY994" t="s">
        <v>74</v>
      </c>
      <c r="AZ994" t="s">
        <v>74</v>
      </c>
      <c r="BA994" t="s">
        <v>74</v>
      </c>
      <c r="BB994" t="s">
        <v>74</v>
      </c>
      <c r="BC994" t="s">
        <v>74</v>
      </c>
      <c r="BD994" t="s">
        <v>74</v>
      </c>
      <c r="BE994" t="s">
        <v>17671</v>
      </c>
      <c r="BF994" t="str">
        <f>HYPERLINK("http://dx.doi.org/10.1080/09640568.2023.2232539","http://dx.doi.org/10.1080/09640568.2023.2232539")</f>
        <v>http://dx.doi.org/10.1080/09640568.2023.2232539</v>
      </c>
      <c r="BG994" t="s">
        <v>74</v>
      </c>
      <c r="BH994" t="s">
        <v>17618</v>
      </c>
      <c r="BI994">
        <v>25</v>
      </c>
      <c r="BJ994" t="s">
        <v>10412</v>
      </c>
      <c r="BK994" t="s">
        <v>272</v>
      </c>
      <c r="BL994" t="s">
        <v>10413</v>
      </c>
      <c r="BM994" t="s">
        <v>17672</v>
      </c>
      <c r="BN994" t="s">
        <v>74</v>
      </c>
      <c r="BO994" t="s">
        <v>74</v>
      </c>
      <c r="BP994" t="s">
        <v>74</v>
      </c>
      <c r="BQ994" t="s">
        <v>74</v>
      </c>
      <c r="BR994" t="s">
        <v>105</v>
      </c>
      <c r="BS994" t="s">
        <v>17673</v>
      </c>
      <c r="BT994" t="str">
        <f>HYPERLINK("https%3A%2F%2Fwww.webofscience.com%2Fwos%2Fwoscc%2Ffull-record%2FWOS:001024649700001","View Full Record in Web of Science")</f>
        <v>View Full Record in Web of Science</v>
      </c>
    </row>
    <row r="995" spans="1:72" x14ac:dyDescent="0.15">
      <c r="A995" t="s">
        <v>72</v>
      </c>
      <c r="B995" t="s">
        <v>17674</v>
      </c>
      <c r="C995" t="s">
        <v>74</v>
      </c>
      <c r="D995" t="s">
        <v>74</v>
      </c>
      <c r="E995" t="s">
        <v>74</v>
      </c>
      <c r="F995" t="s">
        <v>17675</v>
      </c>
      <c r="G995" t="s">
        <v>74</v>
      </c>
      <c r="H995" t="s">
        <v>74</v>
      </c>
      <c r="I995" t="s">
        <v>17676</v>
      </c>
      <c r="J995" t="s">
        <v>15383</v>
      </c>
      <c r="K995" t="s">
        <v>74</v>
      </c>
      <c r="L995" t="s">
        <v>74</v>
      </c>
      <c r="M995" t="s">
        <v>78</v>
      </c>
      <c r="N995" t="s">
        <v>17677</v>
      </c>
      <c r="O995" t="s">
        <v>74</v>
      </c>
      <c r="P995" t="s">
        <v>74</v>
      </c>
      <c r="Q995" t="s">
        <v>74</v>
      </c>
      <c r="R995" t="s">
        <v>74</v>
      </c>
      <c r="S995" t="s">
        <v>74</v>
      </c>
      <c r="T995" t="s">
        <v>74</v>
      </c>
      <c r="U995" t="s">
        <v>74</v>
      </c>
      <c r="V995" t="s">
        <v>74</v>
      </c>
      <c r="W995" t="s">
        <v>17678</v>
      </c>
      <c r="X995" t="s">
        <v>17679</v>
      </c>
      <c r="Y995" t="s">
        <v>17680</v>
      </c>
      <c r="Z995" t="s">
        <v>17681</v>
      </c>
      <c r="AA995" t="s">
        <v>74</v>
      </c>
      <c r="AB995" t="s">
        <v>74</v>
      </c>
      <c r="AC995" t="s">
        <v>74</v>
      </c>
      <c r="AD995" t="s">
        <v>74</v>
      </c>
      <c r="AE995" t="s">
        <v>74</v>
      </c>
      <c r="AF995" t="s">
        <v>74</v>
      </c>
      <c r="AG995">
        <v>0</v>
      </c>
      <c r="AH995">
        <v>0</v>
      </c>
      <c r="AI995">
        <v>0</v>
      </c>
      <c r="AJ995">
        <v>0</v>
      </c>
      <c r="AK995">
        <v>0</v>
      </c>
      <c r="AL995" t="s">
        <v>1188</v>
      </c>
      <c r="AM995" t="s">
        <v>93</v>
      </c>
      <c r="AN995" t="s">
        <v>1189</v>
      </c>
      <c r="AO995" t="s">
        <v>15392</v>
      </c>
      <c r="AP995" t="s">
        <v>15393</v>
      </c>
      <c r="AQ995" t="s">
        <v>74</v>
      </c>
      <c r="AR995" t="s">
        <v>15394</v>
      </c>
      <c r="AS995" t="s">
        <v>15395</v>
      </c>
      <c r="AT995" t="s">
        <v>17616</v>
      </c>
      <c r="AU995">
        <v>2023</v>
      </c>
      <c r="AV995" t="s">
        <v>74</v>
      </c>
      <c r="AW995" t="s">
        <v>74</v>
      </c>
      <c r="AX995" t="s">
        <v>74</v>
      </c>
      <c r="AY995" t="s">
        <v>74</v>
      </c>
      <c r="AZ995" t="s">
        <v>74</v>
      </c>
      <c r="BA995" t="s">
        <v>74</v>
      </c>
      <c r="BB995" t="s">
        <v>74</v>
      </c>
      <c r="BC995" t="s">
        <v>74</v>
      </c>
      <c r="BD995" t="s">
        <v>74</v>
      </c>
      <c r="BE995" t="s">
        <v>17682</v>
      </c>
      <c r="BF995" t="str">
        <f>HYPERLINK("http://dx.doi.org/10.1080/10474412.2023.2229230","http://dx.doi.org/10.1080/10474412.2023.2229230")</f>
        <v>http://dx.doi.org/10.1080/10474412.2023.2229230</v>
      </c>
      <c r="BG995" t="s">
        <v>74</v>
      </c>
      <c r="BH995" t="s">
        <v>17618</v>
      </c>
      <c r="BI995">
        <v>4</v>
      </c>
      <c r="BJ995" t="s">
        <v>13700</v>
      </c>
      <c r="BK995" t="s">
        <v>272</v>
      </c>
      <c r="BL995" t="s">
        <v>1691</v>
      </c>
      <c r="BM995" t="s">
        <v>17683</v>
      </c>
      <c r="BN995" t="s">
        <v>74</v>
      </c>
      <c r="BO995" t="s">
        <v>74</v>
      </c>
      <c r="BP995" t="s">
        <v>74</v>
      </c>
      <c r="BQ995" t="s">
        <v>74</v>
      </c>
      <c r="BR995" t="s">
        <v>105</v>
      </c>
      <c r="BS995" t="s">
        <v>17684</v>
      </c>
      <c r="BT995" t="str">
        <f>HYPERLINK("https%3A%2F%2Fwww.webofscience.com%2Fwos%2Fwoscc%2Ffull-record%2FWOS:001021914800001","View Full Record in Web of Science")</f>
        <v>View Full Record in Web of Science</v>
      </c>
    </row>
    <row r="996" spans="1:72" x14ac:dyDescent="0.15">
      <c r="A996" t="s">
        <v>72</v>
      </c>
      <c r="B996" t="s">
        <v>17685</v>
      </c>
      <c r="C996" t="s">
        <v>74</v>
      </c>
      <c r="D996" t="s">
        <v>74</v>
      </c>
      <c r="E996" t="s">
        <v>74</v>
      </c>
      <c r="F996" t="s">
        <v>17686</v>
      </c>
      <c r="G996" t="s">
        <v>74</v>
      </c>
      <c r="H996" t="s">
        <v>74</v>
      </c>
      <c r="I996" t="s">
        <v>17687</v>
      </c>
      <c r="J996" t="s">
        <v>17688</v>
      </c>
      <c r="K996" t="s">
        <v>74</v>
      </c>
      <c r="L996" t="s">
        <v>74</v>
      </c>
      <c r="M996" t="s">
        <v>78</v>
      </c>
      <c r="N996" t="s">
        <v>2650</v>
      </c>
      <c r="O996" t="s">
        <v>74</v>
      </c>
      <c r="P996" t="s">
        <v>74</v>
      </c>
      <c r="Q996" t="s">
        <v>74</v>
      </c>
      <c r="R996" t="s">
        <v>74</v>
      </c>
      <c r="S996" t="s">
        <v>74</v>
      </c>
      <c r="T996" t="s">
        <v>17689</v>
      </c>
      <c r="U996" t="s">
        <v>74</v>
      </c>
      <c r="V996" t="s">
        <v>74</v>
      </c>
      <c r="W996" t="s">
        <v>17690</v>
      </c>
      <c r="X996" t="s">
        <v>17691</v>
      </c>
      <c r="Y996" t="s">
        <v>17692</v>
      </c>
      <c r="Z996" t="s">
        <v>17693</v>
      </c>
      <c r="AA996" t="s">
        <v>74</v>
      </c>
      <c r="AB996" t="s">
        <v>74</v>
      </c>
      <c r="AC996" t="s">
        <v>74</v>
      </c>
      <c r="AD996" t="s">
        <v>74</v>
      </c>
      <c r="AE996" t="s">
        <v>74</v>
      </c>
      <c r="AF996" t="s">
        <v>74</v>
      </c>
      <c r="AG996">
        <v>4</v>
      </c>
      <c r="AH996">
        <v>0</v>
      </c>
      <c r="AI996">
        <v>0</v>
      </c>
      <c r="AJ996">
        <v>0</v>
      </c>
      <c r="AK996">
        <v>0</v>
      </c>
      <c r="AL996" t="s">
        <v>1188</v>
      </c>
      <c r="AM996" t="s">
        <v>93</v>
      </c>
      <c r="AN996" t="s">
        <v>1189</v>
      </c>
      <c r="AO996" t="s">
        <v>17694</v>
      </c>
      <c r="AP996" t="s">
        <v>17695</v>
      </c>
      <c r="AQ996" t="s">
        <v>74</v>
      </c>
      <c r="AR996" t="s">
        <v>17696</v>
      </c>
      <c r="AS996" t="s">
        <v>17697</v>
      </c>
      <c r="AT996" t="s">
        <v>17698</v>
      </c>
      <c r="AU996">
        <v>2023</v>
      </c>
      <c r="AV996">
        <v>15</v>
      </c>
      <c r="AW996" t="s">
        <v>74</v>
      </c>
      <c r="AX996" t="s">
        <v>74</v>
      </c>
      <c r="AY996">
        <v>1</v>
      </c>
      <c r="AZ996" t="s">
        <v>5344</v>
      </c>
      <c r="BA996" t="s">
        <v>74</v>
      </c>
      <c r="BB996" t="s">
        <v>17699</v>
      </c>
      <c r="BC996" t="s">
        <v>17700</v>
      </c>
      <c r="BD996" t="s">
        <v>74</v>
      </c>
      <c r="BE996" t="s">
        <v>17701</v>
      </c>
      <c r="BF996" t="str">
        <f>HYPERLINK("http://dx.doi.org/10.1080/19424280.2023.2218664","http://dx.doi.org/10.1080/19424280.2023.2218664")</f>
        <v>http://dx.doi.org/10.1080/19424280.2023.2218664</v>
      </c>
      <c r="BG996" t="s">
        <v>74</v>
      </c>
      <c r="BH996" t="s">
        <v>74</v>
      </c>
      <c r="BI996">
        <v>2</v>
      </c>
      <c r="BJ996" t="s">
        <v>17702</v>
      </c>
      <c r="BK996" t="s">
        <v>211</v>
      </c>
      <c r="BL996" t="s">
        <v>1095</v>
      </c>
      <c r="BM996" t="s">
        <v>17703</v>
      </c>
      <c r="BN996" t="s">
        <v>74</v>
      </c>
      <c r="BO996" t="s">
        <v>74</v>
      </c>
      <c r="BP996" t="s">
        <v>74</v>
      </c>
      <c r="BQ996" t="s">
        <v>74</v>
      </c>
      <c r="BR996" t="s">
        <v>105</v>
      </c>
      <c r="BS996" t="s">
        <v>17704</v>
      </c>
      <c r="BT996" t="str">
        <f>HYPERLINK("https%3A%2F%2Fwww.webofscience.com%2Fwos%2Fwoscc%2Ffull-record%2FWOS:001021764100093","View Full Record in Web of Science")</f>
        <v>View Full Record in Web of Science</v>
      </c>
    </row>
    <row r="997" spans="1:72" x14ac:dyDescent="0.15">
      <c r="A997" t="s">
        <v>72</v>
      </c>
      <c r="B997" t="s">
        <v>17705</v>
      </c>
      <c r="C997" t="s">
        <v>74</v>
      </c>
      <c r="D997" t="s">
        <v>74</v>
      </c>
      <c r="E997" t="s">
        <v>74</v>
      </c>
      <c r="F997" t="s">
        <v>17706</v>
      </c>
      <c r="G997" t="s">
        <v>74</v>
      </c>
      <c r="H997" t="s">
        <v>74</v>
      </c>
      <c r="I997" t="s">
        <v>17707</v>
      </c>
      <c r="J997" t="s">
        <v>14194</v>
      </c>
      <c r="K997" t="s">
        <v>74</v>
      </c>
      <c r="L997" t="s">
        <v>74</v>
      </c>
      <c r="M997" t="s">
        <v>78</v>
      </c>
      <c r="N997" t="s">
        <v>6754</v>
      </c>
      <c r="O997" t="s">
        <v>74</v>
      </c>
      <c r="P997" t="s">
        <v>74</v>
      </c>
      <c r="Q997" t="s">
        <v>74</v>
      </c>
      <c r="R997" t="s">
        <v>74</v>
      </c>
      <c r="S997" t="s">
        <v>74</v>
      </c>
      <c r="T997" t="s">
        <v>17708</v>
      </c>
      <c r="U997" t="s">
        <v>17709</v>
      </c>
      <c r="V997" t="s">
        <v>17710</v>
      </c>
      <c r="W997" t="s">
        <v>17711</v>
      </c>
      <c r="X997" t="s">
        <v>17712</v>
      </c>
      <c r="Y997" t="s">
        <v>17713</v>
      </c>
      <c r="Z997" t="s">
        <v>17714</v>
      </c>
      <c r="AA997" t="s">
        <v>17715</v>
      </c>
      <c r="AB997" t="s">
        <v>17716</v>
      </c>
      <c r="AC997" t="s">
        <v>17717</v>
      </c>
      <c r="AD997" t="s">
        <v>17718</v>
      </c>
      <c r="AE997" t="s">
        <v>17719</v>
      </c>
      <c r="AF997" t="s">
        <v>74</v>
      </c>
      <c r="AG997">
        <v>149</v>
      </c>
      <c r="AH997">
        <v>0</v>
      </c>
      <c r="AI997">
        <v>0</v>
      </c>
      <c r="AJ997">
        <v>17</v>
      </c>
      <c r="AK997">
        <v>17</v>
      </c>
      <c r="AL997" t="s">
        <v>184</v>
      </c>
      <c r="AM997" t="s">
        <v>185</v>
      </c>
      <c r="AN997" t="s">
        <v>186</v>
      </c>
      <c r="AO997" t="s">
        <v>14204</v>
      </c>
      <c r="AP997" t="s">
        <v>14205</v>
      </c>
      <c r="AQ997" t="s">
        <v>74</v>
      </c>
      <c r="AR997" t="s">
        <v>14206</v>
      </c>
      <c r="AS997" t="s">
        <v>14207</v>
      </c>
      <c r="AT997" t="s">
        <v>17616</v>
      </c>
      <c r="AU997">
        <v>2023</v>
      </c>
      <c r="AV997" t="s">
        <v>74</v>
      </c>
      <c r="AW997" t="s">
        <v>74</v>
      </c>
      <c r="AX997" t="s">
        <v>74</v>
      </c>
      <c r="AY997" t="s">
        <v>74</v>
      </c>
      <c r="AZ997" t="s">
        <v>74</v>
      </c>
      <c r="BA997" t="s">
        <v>74</v>
      </c>
      <c r="BB997" t="s">
        <v>74</v>
      </c>
      <c r="BC997" t="s">
        <v>74</v>
      </c>
      <c r="BD997" t="s">
        <v>74</v>
      </c>
      <c r="BE997" t="s">
        <v>17720</v>
      </c>
      <c r="BF997" t="str">
        <f>HYPERLINK("http://dx.doi.org/10.1080/10643389.2023.2232257","http://dx.doi.org/10.1080/10643389.2023.2232257")</f>
        <v>http://dx.doi.org/10.1080/10643389.2023.2232257</v>
      </c>
      <c r="BG997" t="s">
        <v>74</v>
      </c>
      <c r="BH997" t="s">
        <v>17618</v>
      </c>
      <c r="BI997">
        <v>28</v>
      </c>
      <c r="BJ997" t="s">
        <v>7096</v>
      </c>
      <c r="BK997" t="s">
        <v>102</v>
      </c>
      <c r="BL997" t="s">
        <v>7097</v>
      </c>
      <c r="BM997" t="s">
        <v>17721</v>
      </c>
      <c r="BN997" t="s">
        <v>74</v>
      </c>
      <c r="BO997" t="s">
        <v>74</v>
      </c>
      <c r="BP997" t="s">
        <v>74</v>
      </c>
      <c r="BQ997" t="s">
        <v>74</v>
      </c>
      <c r="BR997" t="s">
        <v>105</v>
      </c>
      <c r="BS997" t="s">
        <v>17722</v>
      </c>
      <c r="BT997" t="str">
        <f>HYPERLINK("https%3A%2F%2Fwww.webofscience.com%2Fwos%2Fwoscc%2Ffull-record%2FWOS:001032859400001","View Full Record in Web of Science")</f>
        <v>View Full Record in Web of Science</v>
      </c>
    </row>
    <row r="998" spans="1:72" x14ac:dyDescent="0.15">
      <c r="A998" t="s">
        <v>72</v>
      </c>
      <c r="B998" t="s">
        <v>17723</v>
      </c>
      <c r="C998" t="s">
        <v>74</v>
      </c>
      <c r="D998" t="s">
        <v>74</v>
      </c>
      <c r="E998" t="s">
        <v>74</v>
      </c>
      <c r="F998" t="s">
        <v>17724</v>
      </c>
      <c r="G998" t="s">
        <v>74</v>
      </c>
      <c r="H998" t="s">
        <v>74</v>
      </c>
      <c r="I998" t="s">
        <v>17725</v>
      </c>
      <c r="J998" t="s">
        <v>17726</v>
      </c>
      <c r="K998" t="s">
        <v>74</v>
      </c>
      <c r="L998" t="s">
        <v>74</v>
      </c>
      <c r="M998" t="s">
        <v>78</v>
      </c>
      <c r="N998" t="s">
        <v>5492</v>
      </c>
      <c r="O998" t="s">
        <v>74</v>
      </c>
      <c r="P998" t="s">
        <v>74</v>
      </c>
      <c r="Q998" t="s">
        <v>74</v>
      </c>
      <c r="R998" t="s">
        <v>74</v>
      </c>
      <c r="S998" t="s">
        <v>74</v>
      </c>
      <c r="T998" t="s">
        <v>17727</v>
      </c>
      <c r="U998" t="s">
        <v>17728</v>
      </c>
      <c r="V998" t="s">
        <v>17729</v>
      </c>
      <c r="W998" t="s">
        <v>17730</v>
      </c>
      <c r="X998" t="s">
        <v>74</v>
      </c>
      <c r="Y998" t="s">
        <v>17731</v>
      </c>
      <c r="Z998" t="s">
        <v>17732</v>
      </c>
      <c r="AA998" t="s">
        <v>74</v>
      </c>
      <c r="AB998" t="s">
        <v>74</v>
      </c>
      <c r="AC998" t="s">
        <v>74</v>
      </c>
      <c r="AD998" t="s">
        <v>74</v>
      </c>
      <c r="AE998" t="s">
        <v>74</v>
      </c>
      <c r="AF998" t="s">
        <v>74</v>
      </c>
      <c r="AG998">
        <v>61</v>
      </c>
      <c r="AH998">
        <v>0</v>
      </c>
      <c r="AI998">
        <v>0</v>
      </c>
      <c r="AJ998">
        <v>3</v>
      </c>
      <c r="AK998">
        <v>3</v>
      </c>
      <c r="AL998" t="s">
        <v>1188</v>
      </c>
      <c r="AM998" t="s">
        <v>93</v>
      </c>
      <c r="AN998" t="s">
        <v>1189</v>
      </c>
      <c r="AO998" t="s">
        <v>17733</v>
      </c>
      <c r="AP998" t="s">
        <v>17734</v>
      </c>
      <c r="AQ998" t="s">
        <v>74</v>
      </c>
      <c r="AR998" t="s">
        <v>17735</v>
      </c>
      <c r="AS998" t="s">
        <v>17736</v>
      </c>
      <c r="AT998" t="s">
        <v>17616</v>
      </c>
      <c r="AU998">
        <v>2023</v>
      </c>
      <c r="AV998" t="s">
        <v>74</v>
      </c>
      <c r="AW998" t="s">
        <v>74</v>
      </c>
      <c r="AX998" t="s">
        <v>74</v>
      </c>
      <c r="AY998" t="s">
        <v>74</v>
      </c>
      <c r="AZ998" t="s">
        <v>74</v>
      </c>
      <c r="BA998" t="s">
        <v>74</v>
      </c>
      <c r="BB998" t="s">
        <v>74</v>
      </c>
      <c r="BC998" t="s">
        <v>74</v>
      </c>
      <c r="BD998" t="s">
        <v>74</v>
      </c>
      <c r="BE998" t="s">
        <v>17737</v>
      </c>
      <c r="BF998" t="str">
        <f>HYPERLINK("http://dx.doi.org/10.1080/13547860.2023.2230007","http://dx.doi.org/10.1080/13547860.2023.2230007")</f>
        <v>http://dx.doi.org/10.1080/13547860.2023.2230007</v>
      </c>
      <c r="BG998" t="s">
        <v>74</v>
      </c>
      <c r="BH998" t="s">
        <v>17618</v>
      </c>
      <c r="BI998">
        <v>18</v>
      </c>
      <c r="BJ998" t="s">
        <v>373</v>
      </c>
      <c r="BK998" t="s">
        <v>272</v>
      </c>
      <c r="BL998" t="s">
        <v>295</v>
      </c>
      <c r="BM998" t="s">
        <v>17738</v>
      </c>
      <c r="BN998" t="s">
        <v>74</v>
      </c>
      <c r="BO998" t="s">
        <v>74</v>
      </c>
      <c r="BP998" t="s">
        <v>74</v>
      </c>
      <c r="BQ998" t="s">
        <v>74</v>
      </c>
      <c r="BR998" t="s">
        <v>105</v>
      </c>
      <c r="BS998" t="s">
        <v>17739</v>
      </c>
      <c r="BT998" t="str">
        <f>HYPERLINK("https%3A%2F%2Fwww.webofscience.com%2Fwos%2Fwoscc%2Ffull-record%2FWOS:001026519200001","View Full Record in Web of Science")</f>
        <v>View Full Record in Web of Science</v>
      </c>
    </row>
    <row r="999" spans="1:72" x14ac:dyDescent="0.15">
      <c r="A999" t="s">
        <v>72</v>
      </c>
      <c r="B999" t="s">
        <v>17740</v>
      </c>
      <c r="C999" t="s">
        <v>74</v>
      </c>
      <c r="D999" t="s">
        <v>74</v>
      </c>
      <c r="E999" t="s">
        <v>74</v>
      </c>
      <c r="F999" t="s">
        <v>17741</v>
      </c>
      <c r="G999" t="s">
        <v>74</v>
      </c>
      <c r="H999" t="s">
        <v>74</v>
      </c>
      <c r="I999" t="s">
        <v>17742</v>
      </c>
      <c r="J999" t="s">
        <v>14878</v>
      </c>
      <c r="K999" t="s">
        <v>74</v>
      </c>
      <c r="L999" t="s">
        <v>74</v>
      </c>
      <c r="M999" t="s">
        <v>78</v>
      </c>
      <c r="N999" t="s">
        <v>5492</v>
      </c>
      <c r="O999" t="s">
        <v>74</v>
      </c>
      <c r="P999" t="s">
        <v>74</v>
      </c>
      <c r="Q999" t="s">
        <v>74</v>
      </c>
      <c r="R999" t="s">
        <v>74</v>
      </c>
      <c r="S999" t="s">
        <v>74</v>
      </c>
      <c r="T999" t="s">
        <v>17743</v>
      </c>
      <c r="U999" t="s">
        <v>74</v>
      </c>
      <c r="V999" t="s">
        <v>17744</v>
      </c>
      <c r="W999" t="s">
        <v>17745</v>
      </c>
      <c r="X999" t="s">
        <v>17746</v>
      </c>
      <c r="Y999" t="s">
        <v>17747</v>
      </c>
      <c r="Z999" t="s">
        <v>17748</v>
      </c>
      <c r="AA999" t="s">
        <v>74</v>
      </c>
      <c r="AB999" t="s">
        <v>17749</v>
      </c>
      <c r="AC999" t="s">
        <v>17750</v>
      </c>
      <c r="AD999" t="s">
        <v>17751</v>
      </c>
      <c r="AE999" t="s">
        <v>17752</v>
      </c>
      <c r="AF999" t="s">
        <v>74</v>
      </c>
      <c r="AG999">
        <v>14</v>
      </c>
      <c r="AH999">
        <v>0</v>
      </c>
      <c r="AI999">
        <v>0</v>
      </c>
      <c r="AJ999">
        <v>1</v>
      </c>
      <c r="AK999">
        <v>1</v>
      </c>
      <c r="AL999" t="s">
        <v>1188</v>
      </c>
      <c r="AM999" t="s">
        <v>93</v>
      </c>
      <c r="AN999" t="s">
        <v>1189</v>
      </c>
      <c r="AO999" t="s">
        <v>14891</v>
      </c>
      <c r="AP999" t="s">
        <v>14892</v>
      </c>
      <c r="AQ999" t="s">
        <v>74</v>
      </c>
      <c r="AR999" t="s">
        <v>14893</v>
      </c>
      <c r="AS999" t="s">
        <v>14894</v>
      </c>
      <c r="AT999" t="s">
        <v>17616</v>
      </c>
      <c r="AU999">
        <v>2023</v>
      </c>
      <c r="AV999" t="s">
        <v>74</v>
      </c>
      <c r="AW999" t="s">
        <v>74</v>
      </c>
      <c r="AX999" t="s">
        <v>74</v>
      </c>
      <c r="AY999" t="s">
        <v>74</v>
      </c>
      <c r="AZ999" t="s">
        <v>74</v>
      </c>
      <c r="BA999" t="s">
        <v>74</v>
      </c>
      <c r="BB999" t="s">
        <v>74</v>
      </c>
      <c r="BC999" t="s">
        <v>74</v>
      </c>
      <c r="BD999" t="s">
        <v>74</v>
      </c>
      <c r="BE999" t="s">
        <v>17753</v>
      </c>
      <c r="BF999" t="str">
        <f>HYPERLINK("http://dx.doi.org/10.1080/13645579.2023.2229651","http://dx.doi.org/10.1080/13645579.2023.2229651")</f>
        <v>http://dx.doi.org/10.1080/13645579.2023.2229651</v>
      </c>
      <c r="BG999" t="s">
        <v>74</v>
      </c>
      <c r="BH999" t="s">
        <v>17618</v>
      </c>
      <c r="BI999">
        <v>7</v>
      </c>
      <c r="BJ999" t="s">
        <v>396</v>
      </c>
      <c r="BK999" t="s">
        <v>272</v>
      </c>
      <c r="BL999" t="s">
        <v>397</v>
      </c>
      <c r="BM999" t="s">
        <v>17754</v>
      </c>
      <c r="BN999" t="s">
        <v>74</v>
      </c>
      <c r="BO999" t="s">
        <v>74</v>
      </c>
      <c r="BP999" t="s">
        <v>74</v>
      </c>
      <c r="BQ999" t="s">
        <v>74</v>
      </c>
      <c r="BR999" t="s">
        <v>105</v>
      </c>
      <c r="BS999" t="s">
        <v>17755</v>
      </c>
      <c r="BT999" t="str">
        <f>HYPERLINK("https%3A%2F%2Fwww.webofscience.com%2Fwos%2Fwoscc%2Ffull-record%2FWOS:001021413200001","View Full Record in Web of Science")</f>
        <v>View Full Record in Web of Science</v>
      </c>
    </row>
    <row r="1000" spans="1:72" x14ac:dyDescent="0.15">
      <c r="A1000" t="s">
        <v>72</v>
      </c>
      <c r="B1000" t="s">
        <v>17756</v>
      </c>
      <c r="C1000" t="s">
        <v>74</v>
      </c>
      <c r="D1000" t="s">
        <v>74</v>
      </c>
      <c r="E1000" t="s">
        <v>74</v>
      </c>
      <c r="F1000" t="s">
        <v>17757</v>
      </c>
      <c r="G1000" t="s">
        <v>74</v>
      </c>
      <c r="H1000" t="s">
        <v>74</v>
      </c>
      <c r="I1000" t="s">
        <v>17758</v>
      </c>
      <c r="J1000" t="s">
        <v>17688</v>
      </c>
      <c r="K1000" t="s">
        <v>74</v>
      </c>
      <c r="L1000" t="s">
        <v>74</v>
      </c>
      <c r="M1000" t="s">
        <v>78</v>
      </c>
      <c r="N1000" t="s">
        <v>2650</v>
      </c>
      <c r="O1000" t="s">
        <v>74</v>
      </c>
      <c r="P1000" t="s">
        <v>74</v>
      </c>
      <c r="Q1000" t="s">
        <v>74</v>
      </c>
      <c r="R1000" t="s">
        <v>74</v>
      </c>
      <c r="S1000" t="s">
        <v>74</v>
      </c>
      <c r="T1000" t="s">
        <v>74</v>
      </c>
      <c r="U1000" t="s">
        <v>74</v>
      </c>
      <c r="V1000" t="s">
        <v>74</v>
      </c>
      <c r="W1000" t="s">
        <v>17759</v>
      </c>
      <c r="X1000" t="s">
        <v>74</v>
      </c>
      <c r="Y1000" t="s">
        <v>17760</v>
      </c>
      <c r="Z1000" t="s">
        <v>17761</v>
      </c>
      <c r="AA1000" t="s">
        <v>74</v>
      </c>
      <c r="AB1000" t="s">
        <v>74</v>
      </c>
      <c r="AC1000" t="s">
        <v>74</v>
      </c>
      <c r="AD1000" t="s">
        <v>74</v>
      </c>
      <c r="AE1000" t="s">
        <v>74</v>
      </c>
      <c r="AF1000" t="s">
        <v>74</v>
      </c>
      <c r="AG1000">
        <v>0</v>
      </c>
      <c r="AH1000">
        <v>0</v>
      </c>
      <c r="AI1000">
        <v>0</v>
      </c>
      <c r="AJ1000">
        <v>0</v>
      </c>
      <c r="AK1000">
        <v>0</v>
      </c>
      <c r="AL1000" t="s">
        <v>1188</v>
      </c>
      <c r="AM1000" t="s">
        <v>93</v>
      </c>
      <c r="AN1000" t="s">
        <v>1189</v>
      </c>
      <c r="AO1000" t="s">
        <v>17694</v>
      </c>
      <c r="AP1000" t="s">
        <v>17695</v>
      </c>
      <c r="AQ1000" t="s">
        <v>74</v>
      </c>
      <c r="AR1000" t="s">
        <v>17696</v>
      </c>
      <c r="AS1000" t="s">
        <v>17697</v>
      </c>
      <c r="AT1000" t="s">
        <v>17698</v>
      </c>
      <c r="AU1000">
        <v>2023</v>
      </c>
      <c r="AV1000">
        <v>15</v>
      </c>
      <c r="AW1000" t="s">
        <v>74</v>
      </c>
      <c r="AX1000" t="s">
        <v>74</v>
      </c>
      <c r="AY1000">
        <v>1</v>
      </c>
      <c r="AZ1000" t="s">
        <v>5344</v>
      </c>
      <c r="BA1000" t="s">
        <v>74</v>
      </c>
      <c r="BB1000" t="s">
        <v>17762</v>
      </c>
      <c r="BC1000" t="s">
        <v>17762</v>
      </c>
      <c r="BD1000" t="s">
        <v>74</v>
      </c>
      <c r="BE1000" t="s">
        <v>17763</v>
      </c>
      <c r="BF1000" t="str">
        <f>HYPERLINK("http://dx.doi.org/10.1080/19424280.2023.2211389","http://dx.doi.org/10.1080/19424280.2023.2211389")</f>
        <v>http://dx.doi.org/10.1080/19424280.2023.2211389</v>
      </c>
      <c r="BG1000" t="s">
        <v>74</v>
      </c>
      <c r="BH1000" t="s">
        <v>74</v>
      </c>
      <c r="BI1000">
        <v>1</v>
      </c>
      <c r="BJ1000" t="s">
        <v>17702</v>
      </c>
      <c r="BK1000" t="s">
        <v>211</v>
      </c>
      <c r="BL1000" t="s">
        <v>1095</v>
      </c>
      <c r="BM1000" t="s">
        <v>17703</v>
      </c>
      <c r="BN1000" t="s">
        <v>74</v>
      </c>
      <c r="BO1000" t="s">
        <v>5391</v>
      </c>
      <c r="BP1000" t="s">
        <v>74</v>
      </c>
      <c r="BQ1000" t="s">
        <v>74</v>
      </c>
      <c r="BR1000" t="s">
        <v>105</v>
      </c>
      <c r="BS1000" t="s">
        <v>17764</v>
      </c>
      <c r="BT1000" t="str">
        <f>HYPERLINK("https%3A%2F%2Fwww.webofscience.com%2Fwos%2Fwoscc%2Ffull-record%2FWOS:001021764100001","View Full Record in Web of Science")</f>
        <v>View Full Record in Web of Science</v>
      </c>
    </row>
    <row r="1001" spans="1:72" x14ac:dyDescent="0.15">
      <c r="A1001" t="s">
        <v>72</v>
      </c>
      <c r="B1001" t="s">
        <v>17765</v>
      </c>
      <c r="C1001" t="s">
        <v>74</v>
      </c>
      <c r="D1001" t="s">
        <v>74</v>
      </c>
      <c r="E1001" t="s">
        <v>74</v>
      </c>
      <c r="F1001" t="s">
        <v>17766</v>
      </c>
      <c r="G1001" t="s">
        <v>74</v>
      </c>
      <c r="H1001" t="s">
        <v>74</v>
      </c>
      <c r="I1001" t="s">
        <v>17767</v>
      </c>
      <c r="J1001" t="s">
        <v>17768</v>
      </c>
      <c r="K1001" t="s">
        <v>74</v>
      </c>
      <c r="L1001" t="s">
        <v>74</v>
      </c>
      <c r="M1001" t="s">
        <v>78</v>
      </c>
      <c r="N1001" t="s">
        <v>79</v>
      </c>
      <c r="O1001" t="s">
        <v>74</v>
      </c>
      <c r="P1001" t="s">
        <v>74</v>
      </c>
      <c r="Q1001" t="s">
        <v>74</v>
      </c>
      <c r="R1001" t="s">
        <v>74</v>
      </c>
      <c r="S1001" t="s">
        <v>74</v>
      </c>
      <c r="T1001" t="s">
        <v>17769</v>
      </c>
      <c r="U1001" t="s">
        <v>17770</v>
      </c>
      <c r="V1001" t="s">
        <v>17771</v>
      </c>
      <c r="W1001" t="s">
        <v>17772</v>
      </c>
      <c r="X1001" t="s">
        <v>17773</v>
      </c>
      <c r="Y1001" t="s">
        <v>17774</v>
      </c>
      <c r="Z1001" t="s">
        <v>17775</v>
      </c>
      <c r="AA1001" t="s">
        <v>74</v>
      </c>
      <c r="AB1001" t="s">
        <v>17776</v>
      </c>
      <c r="AC1001" t="s">
        <v>17777</v>
      </c>
      <c r="AD1001" t="s">
        <v>17777</v>
      </c>
      <c r="AE1001" t="s">
        <v>17778</v>
      </c>
      <c r="AF1001" t="s">
        <v>74</v>
      </c>
      <c r="AG1001">
        <v>67</v>
      </c>
      <c r="AH1001">
        <v>0</v>
      </c>
      <c r="AI1001">
        <v>0</v>
      </c>
      <c r="AJ1001">
        <v>0</v>
      </c>
      <c r="AK1001">
        <v>0</v>
      </c>
      <c r="AL1001" t="s">
        <v>1188</v>
      </c>
      <c r="AM1001" t="s">
        <v>93</v>
      </c>
      <c r="AN1001" t="s">
        <v>1189</v>
      </c>
      <c r="AO1001" t="s">
        <v>17779</v>
      </c>
      <c r="AP1001" t="s">
        <v>17780</v>
      </c>
      <c r="AQ1001" t="s">
        <v>74</v>
      </c>
      <c r="AR1001" t="s">
        <v>17781</v>
      </c>
      <c r="AS1001" t="s">
        <v>17782</v>
      </c>
      <c r="AT1001" t="s">
        <v>10220</v>
      </c>
      <c r="AU1001">
        <v>2023</v>
      </c>
      <c r="AV1001">
        <v>18</v>
      </c>
      <c r="AW1001">
        <v>3</v>
      </c>
      <c r="AX1001" t="s">
        <v>74</v>
      </c>
      <c r="AY1001" t="s">
        <v>74</v>
      </c>
      <c r="AZ1001" t="s">
        <v>74</v>
      </c>
      <c r="BA1001" t="s">
        <v>74</v>
      </c>
      <c r="BB1001">
        <v>171</v>
      </c>
      <c r="BC1001">
        <v>182</v>
      </c>
      <c r="BD1001" t="s">
        <v>74</v>
      </c>
      <c r="BE1001" t="s">
        <v>17783</v>
      </c>
      <c r="BF1001" t="str">
        <f>HYPERLINK("http://dx.doi.org/10.1080/17470919.2023.2229082","http://dx.doi.org/10.1080/17470919.2023.2229082")</f>
        <v>http://dx.doi.org/10.1080/17470919.2023.2229082</v>
      </c>
      <c r="BG1001" t="s">
        <v>74</v>
      </c>
      <c r="BH1001" t="s">
        <v>17618</v>
      </c>
      <c r="BI1001">
        <v>12</v>
      </c>
      <c r="BJ1001" t="s">
        <v>17784</v>
      </c>
      <c r="BK1001" t="s">
        <v>102</v>
      </c>
      <c r="BL1001" t="s">
        <v>6326</v>
      </c>
      <c r="BM1001" t="s">
        <v>17785</v>
      </c>
      <c r="BN1001">
        <v>37381132</v>
      </c>
      <c r="BO1001" t="s">
        <v>74</v>
      </c>
      <c r="BP1001" t="s">
        <v>74</v>
      </c>
      <c r="BQ1001" t="s">
        <v>74</v>
      </c>
      <c r="BR1001" t="s">
        <v>105</v>
      </c>
      <c r="BS1001" t="s">
        <v>17786</v>
      </c>
      <c r="BT1001" t="str">
        <f>HYPERLINK("https%3A%2F%2Fwww.webofscience.com%2Fwos%2Fwoscc%2Ffull-record%2FWOS:001019894000001","View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Zubcic</cp:lastModifiedBy>
  <dcterms:created xsi:type="dcterms:W3CDTF">2023-10-10T07:04:32Z</dcterms:created>
  <dcterms:modified xsi:type="dcterms:W3CDTF">2023-10-10T07:04:32Z</dcterms:modified>
</cp:coreProperties>
</file>